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counting and Finance\MISO\2018\Preliminary Submission 4-13-18\"/>
    </mc:Choice>
  </mc:AlternateContent>
  <xr:revisionPtr revIDLastSave="0" documentId="10_ncr:8100000_{7C19038A-63F9-4C97-8E1C-17D29E9842A5}" xr6:coauthVersionLast="32" xr6:coauthVersionMax="32" xr10:uidLastSave="{00000000-0000-0000-0000-000000000000}"/>
  <bookViews>
    <workbookView xWindow="150" yWindow="-105" windowWidth="19260" windowHeight="5955" tabRatio="619" activeTab="4" xr2:uid="{00000000-000D-0000-FFFF-FFFF00000000}"/>
  </bookViews>
  <sheets>
    <sheet name="Sch3 Ln2,3" sheetId="1" r:id="rId1"/>
    <sheet name="Sch3 Ln11" sheetId="5" r:id="rId2"/>
    <sheet name="Sch3 Ln12" sheetId="6" r:id="rId3"/>
    <sheet name="Sch4" sheetId="13" r:id="rId4"/>
    <sheet name="Sch4 Depreciation" sheetId="12" r:id="rId5"/>
    <sheet name="Sch5" sheetId="7" r:id="rId6"/>
    <sheet name="Sch7 Recap" sheetId="11" r:id="rId7"/>
    <sheet name="Sch7 Ln7" sheetId="8" r:id="rId8"/>
    <sheet name="Sch7 Ln8,9" sheetId="9" r:id="rId9"/>
    <sheet name="Sch7 Ln12" sheetId="10" r:id="rId10"/>
    <sheet name="PILOT" sheetId="14" r:id="rId11"/>
    <sheet name="Payroll Dist" sheetId="15" r:id="rId12"/>
  </sheets>
  <definedNames>
    <definedName name="_xlnm._FilterDatabase" localSheetId="3" hidden="1">'Sch4'!$A$1:$L$69</definedName>
    <definedName name="_xlnm.Print_Area" localSheetId="11">'Payroll Dist'!$A$1:$F$45</definedName>
  </definedNames>
  <calcPr calcId="162913"/>
</workbook>
</file>

<file path=xl/calcChain.xml><?xml version="1.0" encoding="utf-8"?>
<calcChain xmlns="http://schemas.openxmlformats.org/spreadsheetml/2006/main">
  <c r="H13" i="12" l="1"/>
  <c r="G13" i="12"/>
  <c r="B8" i="10" l="1"/>
  <c r="D20" i="15" l="1"/>
  <c r="D25" i="15"/>
  <c r="D23" i="15"/>
  <c r="C18" i="15"/>
  <c r="B13" i="15"/>
  <c r="B17" i="15"/>
  <c r="B8" i="15"/>
  <c r="F13" i="15"/>
  <c r="E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2" i="15"/>
  <c r="F11" i="15"/>
  <c r="F10" i="15"/>
  <c r="F9" i="15"/>
  <c r="F7" i="15"/>
  <c r="B43" i="15" l="1"/>
  <c r="C43" i="15"/>
  <c r="D43" i="15"/>
  <c r="F8" i="15"/>
  <c r="F43" i="15" s="1"/>
  <c r="B11" i="14" l="1"/>
  <c r="J15" i="12" l="1"/>
  <c r="J13" i="12"/>
  <c r="J17" i="12" s="1"/>
  <c r="J11" i="12"/>
  <c r="J9" i="12"/>
  <c r="I13" i="12"/>
  <c r="G70" i="13" l="1"/>
  <c r="F70" i="13"/>
  <c r="E70" i="13"/>
  <c r="I69" i="13"/>
  <c r="H69" i="13"/>
  <c r="I68" i="13"/>
  <c r="H68" i="13"/>
  <c r="I67" i="13"/>
  <c r="H67" i="13"/>
  <c r="I66" i="13"/>
  <c r="H66" i="13"/>
  <c r="I65" i="13"/>
  <c r="H65" i="13"/>
  <c r="I64" i="13"/>
  <c r="H64" i="13"/>
  <c r="G63" i="13"/>
  <c r="F63" i="13"/>
  <c r="E63" i="13"/>
  <c r="I62" i="13"/>
  <c r="H62" i="13"/>
  <c r="I61" i="13"/>
  <c r="H61" i="13"/>
  <c r="G60" i="13"/>
  <c r="F60" i="13"/>
  <c r="E60" i="13"/>
  <c r="I59" i="13"/>
  <c r="H59" i="13"/>
  <c r="I58" i="13"/>
  <c r="H58" i="13"/>
  <c r="I57" i="13"/>
  <c r="H57" i="13"/>
  <c r="I56" i="13"/>
  <c r="H56" i="13"/>
  <c r="I55" i="13"/>
  <c r="H55" i="13"/>
  <c r="I54" i="13"/>
  <c r="H54" i="13"/>
  <c r="I53" i="13"/>
  <c r="H53" i="13"/>
  <c r="I52" i="13"/>
  <c r="H52" i="13"/>
  <c r="I51" i="13"/>
  <c r="H51" i="13"/>
  <c r="I50" i="13"/>
  <c r="H50" i="13"/>
  <c r="I49" i="13"/>
  <c r="H49" i="13"/>
  <c r="I48" i="13"/>
  <c r="H48" i="13"/>
  <c r="I47" i="13"/>
  <c r="H47" i="13"/>
  <c r="I46" i="13"/>
  <c r="H46" i="13"/>
  <c r="I45" i="13"/>
  <c r="H45" i="13"/>
  <c r="I44" i="13"/>
  <c r="H44" i="13"/>
  <c r="I43" i="13"/>
  <c r="H43" i="13"/>
  <c r="I42" i="13"/>
  <c r="H42" i="13"/>
  <c r="I41" i="13"/>
  <c r="H41" i="13"/>
  <c r="I40" i="13"/>
  <c r="H40" i="13"/>
  <c r="I39" i="13"/>
  <c r="H39" i="13"/>
  <c r="I38" i="13"/>
  <c r="H38" i="13"/>
  <c r="G37" i="13"/>
  <c r="F37" i="13"/>
  <c r="E37" i="13"/>
  <c r="I36" i="13"/>
  <c r="H36" i="13"/>
  <c r="H37" i="13" s="1"/>
  <c r="G35" i="13"/>
  <c r="F35" i="13"/>
  <c r="E35" i="13"/>
  <c r="I34" i="13"/>
  <c r="H34" i="13"/>
  <c r="I33" i="13"/>
  <c r="H33" i="13"/>
  <c r="I32" i="13"/>
  <c r="H32" i="13"/>
  <c r="I31" i="13"/>
  <c r="H31" i="13"/>
  <c r="I30" i="13"/>
  <c r="H30" i="13"/>
  <c r="I29" i="13"/>
  <c r="H29" i="13"/>
  <c r="I28" i="13"/>
  <c r="H28" i="13"/>
  <c r="I27" i="13"/>
  <c r="H27" i="13"/>
  <c r="I26" i="13"/>
  <c r="H26" i="13"/>
  <c r="I25" i="13"/>
  <c r="H25" i="13"/>
  <c r="I24" i="13"/>
  <c r="H24" i="13"/>
  <c r="I23" i="13"/>
  <c r="H23" i="13"/>
  <c r="I22" i="13"/>
  <c r="H22" i="13"/>
  <c r="I21" i="13"/>
  <c r="H21" i="13"/>
  <c r="I20" i="13"/>
  <c r="H20" i="13"/>
  <c r="I19" i="13"/>
  <c r="H19" i="13"/>
  <c r="I18" i="13"/>
  <c r="H18" i="13"/>
  <c r="G17" i="13"/>
  <c r="F17" i="13"/>
  <c r="E17" i="13"/>
  <c r="I16" i="13"/>
  <c r="H16" i="13"/>
  <c r="I15" i="13"/>
  <c r="H15" i="13"/>
  <c r="I14" i="13"/>
  <c r="H14" i="13"/>
  <c r="I13" i="13"/>
  <c r="H13" i="13"/>
  <c r="I12" i="13"/>
  <c r="H12" i="13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G3" i="13"/>
  <c r="F3" i="13"/>
  <c r="E3" i="13"/>
  <c r="I2" i="13"/>
  <c r="H2" i="13"/>
  <c r="H3" i="13" s="1"/>
  <c r="H35" i="13" l="1"/>
  <c r="H70" i="13"/>
  <c r="F71" i="13"/>
  <c r="E71" i="13"/>
  <c r="H17" i="13"/>
  <c r="G71" i="13"/>
  <c r="H60" i="13"/>
  <c r="H63" i="13"/>
  <c r="H71" i="13" l="1"/>
  <c r="H17" i="12" l="1"/>
  <c r="G17" i="12"/>
  <c r="I17" i="12"/>
  <c r="H5" i="12"/>
  <c r="I6" i="12" s="1"/>
  <c r="J5" i="12" s="1"/>
  <c r="D17" i="12"/>
  <c r="B17" i="12"/>
  <c r="E15" i="12"/>
  <c r="C15" i="12"/>
  <c r="F15" i="12" s="1"/>
  <c r="E13" i="12"/>
  <c r="C13" i="12"/>
  <c r="C11" i="12"/>
  <c r="F11" i="12" s="1"/>
  <c r="E9" i="12"/>
  <c r="C9" i="12"/>
  <c r="F9" i="12" s="1"/>
  <c r="D5" i="12"/>
  <c r="E6" i="12" s="1"/>
  <c r="F5" i="12" s="1"/>
  <c r="J20" i="12" l="1"/>
  <c r="F13" i="12"/>
  <c r="F17" i="12" s="1"/>
  <c r="E17" i="12"/>
  <c r="C17" i="12"/>
  <c r="D12" i="6"/>
  <c r="B10" i="10"/>
  <c r="B15" i="10" s="1"/>
  <c r="B12" i="10"/>
  <c r="B13" i="10" s="1"/>
  <c r="B18" i="9"/>
  <c r="B17" i="9"/>
  <c r="B11" i="9"/>
  <c r="B14" i="9"/>
  <c r="B13" i="9"/>
  <c r="B12" i="9"/>
  <c r="B7" i="8"/>
  <c r="B10" i="8" s="1"/>
  <c r="B11" i="8"/>
  <c r="C26" i="11"/>
  <c r="E26" i="11"/>
  <c r="D20" i="11"/>
  <c r="E20" i="11" s="1"/>
  <c r="D13" i="11"/>
  <c r="D33" i="11"/>
  <c r="C32" i="11"/>
  <c r="B13" i="11"/>
  <c r="C15" i="11"/>
  <c r="E15" i="11" s="1"/>
  <c r="C11" i="11"/>
  <c r="D9" i="11"/>
  <c r="D16" i="11" s="1"/>
  <c r="C9" i="11"/>
  <c r="B9" i="11"/>
  <c r="E25" i="11"/>
  <c r="E23" i="11"/>
  <c r="E21" i="11"/>
  <c r="E18" i="11"/>
  <c r="B15" i="9" l="1"/>
  <c r="B12" i="8"/>
  <c r="B16" i="11"/>
  <c r="B27" i="11" s="1"/>
  <c r="C30" i="11" s="1"/>
  <c r="E13" i="11"/>
  <c r="D27" i="11"/>
  <c r="D36" i="11" s="1"/>
  <c r="C16" i="11"/>
  <c r="C27" i="11" s="1"/>
  <c r="C36" i="11" s="1"/>
  <c r="E9" i="11"/>
  <c r="E11" i="11"/>
  <c r="E16" i="11" l="1"/>
  <c r="E27" i="11" s="1"/>
  <c r="B19" i="9" l="1"/>
  <c r="B21" i="9" l="1"/>
  <c r="E13" i="7"/>
  <c r="B25" i="5" l="1"/>
  <c r="D8" i="6" s="1"/>
  <c r="B20" i="5"/>
  <c r="B18" i="5"/>
  <c r="B11" i="5"/>
  <c r="B28" i="5" l="1"/>
  <c r="B12" i="1" l="1"/>
  <c r="B27" i="1" l="1"/>
  <c r="B8" i="1"/>
  <c r="B14" i="1" s="1"/>
  <c r="B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Kasey Lewis</author>
  </authors>
  <commentList>
    <comment ref="I13" authorId="0" shapeId="0" xr:uid="{3D12C2C2-230D-4821-AFD1-05E50CEE0917}">
      <text>
        <r>
          <rPr>
            <b/>
            <sz val="9"/>
            <color indexed="81"/>
            <rFont val="Tahoma"/>
            <charset val="1"/>
          </rPr>
          <t>Kasey Lewis:</t>
        </r>
        <r>
          <rPr>
            <sz val="9"/>
            <color indexed="81"/>
            <rFont val="Tahoma"/>
            <charset val="1"/>
          </rPr>
          <t xml:space="preserve">
$1500 adjustment reviewed GL and couldn't determine</t>
        </r>
      </text>
    </comment>
  </commentList>
</comments>
</file>

<file path=xl/sharedStrings.xml><?xml version="1.0" encoding="utf-8"?>
<sst xmlns="http://schemas.openxmlformats.org/spreadsheetml/2006/main" count="575" uniqueCount="223">
  <si>
    <t>Waverly Light and Power</t>
  </si>
  <si>
    <t>Workpaper for Schedule 3 - Lines 2 &amp; 3</t>
  </si>
  <si>
    <t>Line 2</t>
  </si>
  <si>
    <t>Line 3</t>
  </si>
  <si>
    <t>Total</t>
  </si>
  <si>
    <t>Less:  Depreciation</t>
  </si>
  <si>
    <t>Difference</t>
  </si>
  <si>
    <t>Reconciliation of Difference</t>
  </si>
  <si>
    <t>Rounding Difference</t>
  </si>
  <si>
    <t>OH line expense and tools expense for Fiber plant,</t>
  </si>
  <si>
    <t>Additions</t>
  </si>
  <si>
    <t>Deletions</t>
  </si>
  <si>
    <t>Steam Production</t>
  </si>
  <si>
    <t>Hydros</t>
  </si>
  <si>
    <t>Other Production</t>
  </si>
  <si>
    <t>Buildings and grounds</t>
  </si>
  <si>
    <t>Switchgear and electric equipment</t>
  </si>
  <si>
    <t>Wind generation</t>
  </si>
  <si>
    <t>Miscellaneous equipment</t>
  </si>
  <si>
    <t>Transmission</t>
  </si>
  <si>
    <t>Station equipment</t>
  </si>
  <si>
    <t>Services</t>
  </si>
  <si>
    <t>Meters</t>
  </si>
  <si>
    <t>Office furniture and equipment</t>
  </si>
  <si>
    <t>Transportation equipment</t>
  </si>
  <si>
    <t>Tools</t>
  </si>
  <si>
    <t>Storage equipment</t>
  </si>
  <si>
    <t>Laboratory equipment</t>
  </si>
  <si>
    <t>Power operated equipment</t>
  </si>
  <si>
    <t>Communications equipment</t>
  </si>
  <si>
    <t>Sector 40-0 Expenses</t>
  </si>
  <si>
    <t xml:space="preserve">is netted for audit purposes but is included as an </t>
  </si>
  <si>
    <t>operating expense for 412 purposes</t>
  </si>
  <si>
    <t>These are operating expenses in the audit</t>
  </si>
  <si>
    <t>GL Acct 409.00</t>
  </si>
  <si>
    <t>Property Taxes on Line 6 of 412</t>
  </si>
  <si>
    <t>Per Audited Income Statement</t>
  </si>
  <si>
    <t xml:space="preserve">     Miscellaneous revenue</t>
  </si>
  <si>
    <t xml:space="preserve">     Royalties</t>
  </si>
  <si>
    <t xml:space="preserve">     Investment Income</t>
  </si>
  <si>
    <t xml:space="preserve">     Contributions</t>
  </si>
  <si>
    <t xml:space="preserve">          Subtotal</t>
  </si>
  <si>
    <t>in miscellaneous revenue above</t>
  </si>
  <si>
    <t>Other Fiber Expenses</t>
  </si>
  <si>
    <t>Jobbing and Water Heater Expenses netted for audit and included</t>
  </si>
  <si>
    <t>Total - Schedule 3, Line 11</t>
  </si>
  <si>
    <t>Fiber Expenses netted for audit and included in misc revenue above</t>
  </si>
  <si>
    <t>OH/URD Expense &amp; Tools</t>
  </si>
  <si>
    <t>(40-0 583.00/583.02/584.00)</t>
  </si>
  <si>
    <t>(40-0 403.00)</t>
  </si>
  <si>
    <t xml:space="preserve">Depreciation </t>
  </si>
  <si>
    <t>(40-0 other accounts)</t>
  </si>
  <si>
    <t>(55-0 415.01/416.00/416.01)</t>
  </si>
  <si>
    <t>Jobbing Exp &amp; Water Heater Exp</t>
  </si>
  <si>
    <t>Reconciliation for Schedule 3 - Line 12</t>
  </si>
  <si>
    <t>Jobbing expenses netted for audit and included</t>
  </si>
  <si>
    <t xml:space="preserve">in miscellaneous revenues for audited income </t>
  </si>
  <si>
    <t>statement</t>
  </si>
  <si>
    <t>Gain/loss on sale of plant - audited income statement</t>
  </si>
  <si>
    <t>Total Schedule 3, Line 12</t>
  </si>
  <si>
    <t>Sector</t>
  </si>
  <si>
    <t>Account</t>
  </si>
  <si>
    <t>Description</t>
  </si>
  <si>
    <t>Amount</t>
  </si>
  <si>
    <t>10-0</t>
  </si>
  <si>
    <t>Property taxes</t>
  </si>
  <si>
    <t>Distribution</t>
  </si>
  <si>
    <t>20-5</t>
  </si>
  <si>
    <t>Louisa</t>
  </si>
  <si>
    <t>Production</t>
  </si>
  <si>
    <t>20-8</t>
  </si>
  <si>
    <t xml:space="preserve">WS4  </t>
  </si>
  <si>
    <t>35-0</t>
  </si>
  <si>
    <t>Local (sub integrated transmission)</t>
  </si>
  <si>
    <t>35-5</t>
  </si>
  <si>
    <t>Louisa Transmission *</t>
  </si>
  <si>
    <t>35-8</t>
  </si>
  <si>
    <t>WS4 Transmission *</t>
  </si>
  <si>
    <t>Note:  Payroll taxes are the only other taxes that WLP</t>
  </si>
  <si>
    <t>pays.  These are included with wages and would take</t>
  </si>
  <si>
    <t xml:space="preserve">a great amount of work to separate.  This treatment is </t>
  </si>
  <si>
    <t xml:space="preserve">consistent with prior year.  </t>
  </si>
  <si>
    <t>* - This is 100KV and above</t>
  </si>
  <si>
    <t>Reconciliation for Schedule 3 - Line 11</t>
  </si>
  <si>
    <t>Reconciliation for Schedule 5</t>
  </si>
  <si>
    <t>Reconciliation for Schedule 7 - Line 7</t>
  </si>
  <si>
    <t>Less property taxes included on Schedule 5</t>
  </si>
  <si>
    <t>Schedule 7, Line 7</t>
  </si>
  <si>
    <t>Reconciliation for Schedule 7 - Lines 8 &amp; 9</t>
  </si>
  <si>
    <t>Transmission WS4</t>
  </si>
  <si>
    <t>Transmission Louisa</t>
  </si>
  <si>
    <t>Transmission Local 69 kV</t>
  </si>
  <si>
    <t xml:space="preserve">Schedule 7 - Line 8 </t>
  </si>
  <si>
    <t>Schedule 7 - Line 9</t>
  </si>
  <si>
    <t>Reconciliation for Schedule 7 - Line 12</t>
  </si>
  <si>
    <t xml:space="preserve">     Community Development</t>
  </si>
  <si>
    <t xml:space="preserve">     Conservation</t>
  </si>
  <si>
    <t xml:space="preserve">     Water Heater</t>
  </si>
  <si>
    <t>Schedule 7 - Line 12</t>
  </si>
  <si>
    <t>Recap of Expenses for EIA 412 - Schedule 7</t>
  </si>
  <si>
    <t>Fuel</t>
  </si>
  <si>
    <t>Operations</t>
  </si>
  <si>
    <t>Maintenance</t>
  </si>
  <si>
    <t>Steam Power Generation</t>
  </si>
  <si>
    <t xml:space="preserve">     Total Production Expenses</t>
  </si>
  <si>
    <t>Total Electric Operation and Maintenance Expenses</t>
  </si>
  <si>
    <t>Fuel included on Sch 3 Line 2</t>
  </si>
  <si>
    <t>Schedule 3, Line 2 (Operations)</t>
  </si>
  <si>
    <t>Schedule 3, Line 3 (Maintenance)</t>
  </si>
  <si>
    <t>Nuclear Power Generation</t>
  </si>
  <si>
    <t>Sector 20-5 and 20-8</t>
  </si>
  <si>
    <t>Sector 20-2</t>
  </si>
  <si>
    <t>Hydraulic Power Generation</t>
  </si>
  <si>
    <r>
      <t>Purchased Power (</t>
    </r>
    <r>
      <rPr>
        <i/>
        <sz val="11"/>
        <color theme="1"/>
        <rFont val="Calibri"/>
        <family val="2"/>
        <scheme val="minor"/>
      </rPr>
      <t>Sector 50-0</t>
    </r>
    <r>
      <rPr>
        <sz val="11"/>
        <color theme="1"/>
        <rFont val="Calibri"/>
        <family val="2"/>
        <scheme val="minor"/>
      </rPr>
      <t>)</t>
    </r>
  </si>
  <si>
    <r>
      <t>Other Power Generation (</t>
    </r>
    <r>
      <rPr>
        <i/>
        <sz val="11"/>
        <color theme="1"/>
        <rFont val="Calibri"/>
        <family val="2"/>
        <scheme val="minor"/>
      </rPr>
      <t>Sector 20-1, 20-3, 20-7</t>
    </r>
    <r>
      <rPr>
        <sz val="11"/>
        <color theme="1"/>
        <rFont val="Calibri"/>
        <family val="2"/>
        <scheme val="minor"/>
      </rPr>
      <t>)</t>
    </r>
  </si>
  <si>
    <r>
      <t xml:space="preserve">Transmission (Louisa, WS4, and 69kV - </t>
    </r>
    <r>
      <rPr>
        <i/>
        <sz val="11"/>
        <color theme="1"/>
        <rFont val="Calibri"/>
        <family val="2"/>
        <scheme val="minor"/>
      </rPr>
      <t>Sector 35-0, 35-5, 35-8</t>
    </r>
    <r>
      <rPr>
        <sz val="11"/>
        <color theme="1"/>
        <rFont val="Calibri"/>
        <family val="2"/>
        <scheme val="minor"/>
      </rPr>
      <t>)</t>
    </r>
  </si>
  <si>
    <r>
      <t>Customer Service and Information (</t>
    </r>
    <r>
      <rPr>
        <i/>
        <sz val="11"/>
        <color theme="1"/>
        <rFont val="Calibri"/>
        <family val="2"/>
        <scheme val="minor"/>
      </rPr>
      <t>Sector 33-0)</t>
    </r>
  </si>
  <si>
    <r>
      <t>Sales (</t>
    </r>
    <r>
      <rPr>
        <i/>
        <sz val="11"/>
        <color theme="1"/>
        <rFont val="Calibri"/>
        <family val="2"/>
        <scheme val="minor"/>
      </rPr>
      <t>Sector 25-0, 26-0, 32-0</t>
    </r>
    <r>
      <rPr>
        <sz val="11"/>
        <color theme="1"/>
        <rFont val="Calibri"/>
        <family val="2"/>
        <scheme val="minor"/>
      </rPr>
      <t>)</t>
    </r>
  </si>
  <si>
    <r>
      <t>Customer accounts (</t>
    </r>
    <r>
      <rPr>
        <i/>
        <sz val="11"/>
        <color theme="1"/>
        <rFont val="Calibri"/>
        <family val="2"/>
        <scheme val="minor"/>
      </rPr>
      <t>Sector 30-0 - 902.00, 902.01, 902.02, 903.00, 904.00)</t>
    </r>
  </si>
  <si>
    <t>2017</t>
  </si>
  <si>
    <r>
      <t xml:space="preserve">Distribution (Distribution and Meter - </t>
    </r>
    <r>
      <rPr>
        <i/>
        <sz val="11"/>
        <color theme="1"/>
        <rFont val="Calibri"/>
        <family val="2"/>
        <scheme val="minor"/>
      </rPr>
      <t>Sector 10-0, 10-5, 15-0</t>
    </r>
    <r>
      <rPr>
        <sz val="11"/>
        <color theme="1"/>
        <rFont val="Calibri"/>
        <family val="2"/>
        <scheme val="minor"/>
      </rPr>
      <t>)</t>
    </r>
  </si>
  <si>
    <r>
      <t>Admin and General (</t>
    </r>
    <r>
      <rPr>
        <i/>
        <sz val="11"/>
        <color theme="1"/>
        <rFont val="Calibri"/>
        <family val="2"/>
        <scheme val="minor"/>
      </rPr>
      <t>Sector 30-0 (not used above, 40-0, 00-0</t>
    </r>
    <r>
      <rPr>
        <sz val="11"/>
        <color theme="1"/>
        <rFont val="Calibri"/>
        <family val="2"/>
        <scheme val="minor"/>
      </rPr>
      <t>)</t>
    </r>
  </si>
  <si>
    <t>Sector Name</t>
  </si>
  <si>
    <t xml:space="preserve">Less: Property taxes for transmission and distribution on Schedule 5 </t>
  </si>
  <si>
    <t>Operating Expenses per audited Income Statement</t>
  </si>
  <si>
    <t xml:space="preserve">Production </t>
  </si>
  <si>
    <t>Category</t>
  </si>
  <si>
    <t>Operating Expenses per Audit</t>
  </si>
  <si>
    <t>Accumulated Depreciation for Attachment O</t>
  </si>
  <si>
    <t>EIA 412</t>
  </si>
  <si>
    <t>Depreciation</t>
  </si>
  <si>
    <t>A/D</t>
  </si>
  <si>
    <t>Cleared</t>
  </si>
  <si>
    <t>Retirements</t>
  </si>
  <si>
    <t>General</t>
  </si>
  <si>
    <t>PeriodPost</t>
  </si>
  <si>
    <t>GL Acct</t>
  </si>
  <si>
    <t>Account Description</t>
  </si>
  <si>
    <t>Begin Balance
12/31/2016</t>
  </si>
  <si>
    <t>End Balance
12/31/2017</t>
  </si>
  <si>
    <t>GL</t>
  </si>
  <si>
    <t>Schedule</t>
  </si>
  <si>
    <t>Entered</t>
  </si>
  <si>
    <t>2017-12</t>
  </si>
  <si>
    <t>107.00</t>
  </si>
  <si>
    <t>Construction Work in Progress</t>
  </si>
  <si>
    <t>Sch 1 Line 2</t>
  </si>
  <si>
    <t>CWIP</t>
  </si>
  <si>
    <t>CWIP Total</t>
  </si>
  <si>
    <t>101.353</t>
  </si>
  <si>
    <t>69 line station equipment</t>
  </si>
  <si>
    <t>Sch 1 Line 1</t>
  </si>
  <si>
    <t>101.362</t>
  </si>
  <si>
    <t>101.364</t>
  </si>
  <si>
    <t>Poles, towers and fixtures</t>
  </si>
  <si>
    <t>101.365</t>
  </si>
  <si>
    <t>OH conductors and devices</t>
  </si>
  <si>
    <t>40-0</t>
  </si>
  <si>
    <t>OH Fiber &amp; Devices</t>
  </si>
  <si>
    <t>101.367</t>
  </si>
  <si>
    <t>URD conductors and devices</t>
  </si>
  <si>
    <t>URD Fiber &amp; Devices</t>
  </si>
  <si>
    <t>101.368</t>
  </si>
  <si>
    <t>Line transformers</t>
  </si>
  <si>
    <t>101.369</t>
  </si>
  <si>
    <t>15-0</t>
  </si>
  <si>
    <t>101.370</t>
  </si>
  <si>
    <t>101.371</t>
  </si>
  <si>
    <t>Security lights</t>
  </si>
  <si>
    <t>101.373</t>
  </si>
  <si>
    <t>Street lights</t>
  </si>
  <si>
    <t>Distribution Total</t>
  </si>
  <si>
    <t>101.391</t>
  </si>
  <si>
    <t>20-1</t>
  </si>
  <si>
    <t>25-0</t>
  </si>
  <si>
    <t>30-0</t>
  </si>
  <si>
    <t>101.392</t>
  </si>
  <si>
    <t>101.393</t>
  </si>
  <si>
    <t>101.394</t>
  </si>
  <si>
    <t>101.395</t>
  </si>
  <si>
    <t>101.396</t>
  </si>
  <si>
    <t>101.397</t>
  </si>
  <si>
    <t>General Total</t>
  </si>
  <si>
    <t>20-2</t>
  </si>
  <si>
    <t>101.333</t>
  </si>
  <si>
    <t>Hydraulic</t>
  </si>
  <si>
    <t>Hydraulic Total</t>
  </si>
  <si>
    <t>101.340</t>
  </si>
  <si>
    <t>Land and land rights</t>
  </si>
  <si>
    <t>20-3</t>
  </si>
  <si>
    <t>20-7</t>
  </si>
  <si>
    <t>101.341</t>
  </si>
  <si>
    <t>101.342</t>
  </si>
  <si>
    <t>Fuel holders and accessories</t>
  </si>
  <si>
    <t>101.344</t>
  </si>
  <si>
    <t>Engines, generators and accessories</t>
  </si>
  <si>
    <t>101.345</t>
  </si>
  <si>
    <t>101.346</t>
  </si>
  <si>
    <t>101.347</t>
  </si>
  <si>
    <t>Other Production Total</t>
  </si>
  <si>
    <t>102.00</t>
  </si>
  <si>
    <t>Louisa plant in service - Generating</t>
  </si>
  <si>
    <t>102.01</t>
  </si>
  <si>
    <t>Walter Scott, Jr. plant in service - Generating</t>
  </si>
  <si>
    <t>Steam Production Total</t>
  </si>
  <si>
    <t>101.355</t>
  </si>
  <si>
    <t>69 line poles, towers and fixtures</t>
  </si>
  <si>
    <t>101.356</t>
  </si>
  <si>
    <t>69 line conductors and devices</t>
  </si>
  <si>
    <t>Louisa plant in service - Transmission</t>
  </si>
  <si>
    <t>Walter Scott, Jr. plant in service - Transmission</t>
  </si>
  <si>
    <t>Transmission Total</t>
  </si>
  <si>
    <t>Grand Total</t>
  </si>
  <si>
    <t>Payments in Lieu of Taxes</t>
  </si>
  <si>
    <t>Less Wartburg Contribution</t>
  </si>
  <si>
    <t>Less Hospital Contribution</t>
  </si>
  <si>
    <t>Total City Transfer for 2017</t>
  </si>
  <si>
    <t>Payroll Distribution</t>
  </si>
  <si>
    <t>500-557</t>
  </si>
  <si>
    <t>560-573</t>
  </si>
  <si>
    <t>580-598</t>
  </si>
  <si>
    <t>901-910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</si>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</sst>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ARIAL"/>
      <charset val="1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2" xfId="1" applyNumberFormat="1" applyFont="1" applyBorder="1"/>
    <xf numFmtId="0" fontId="2" fillId="0" borderId="0" xfId="0" applyFont="1"/>
    <xf numFmtId="165" fontId="0" fillId="0" borderId="0" xfId="1" applyNumberFormat="1" applyFont="1" applyFill="1"/>
    <xf numFmtId="165" fontId="0" fillId="0" borderId="1" xfId="1" applyNumberFormat="1" applyFont="1" applyFill="1" applyBorder="1"/>
    <xf numFmtId="165" fontId="0" fillId="0" borderId="2" xfId="1" applyNumberFormat="1" applyFont="1" applyFill="1" applyBorder="1"/>
    <xf numFmtId="165" fontId="0" fillId="0" borderId="3" xfId="1" applyNumberFormat="1" applyFont="1" applyFill="1" applyBorder="1"/>
    <xf numFmtId="43" fontId="0" fillId="0" borderId="0" xfId="0" applyNumberFormat="1"/>
    <xf numFmtId="165" fontId="0" fillId="0" borderId="0" xfId="0" applyNumberFormat="1"/>
    <xf numFmtId="165" fontId="0" fillId="0" borderId="4" xfId="1" applyNumberFormat="1" applyFont="1" applyBorder="1"/>
    <xf numFmtId="165" fontId="0" fillId="0" borderId="0" xfId="1" applyNumberFormat="1" applyFont="1" applyBorder="1"/>
    <xf numFmtId="43" fontId="0" fillId="0" borderId="0" xfId="1" applyFont="1"/>
    <xf numFmtId="165" fontId="0" fillId="0" borderId="0" xfId="1" applyNumberFormat="1" applyFont="1" applyFill="1" applyBorder="1"/>
    <xf numFmtId="0" fontId="0" fillId="0" borderId="0" xfId="0" applyFill="1"/>
    <xf numFmtId="165" fontId="0" fillId="0" borderId="0" xfId="0" applyNumberFormat="1" applyFill="1"/>
    <xf numFmtId="49" fontId="0" fillId="0" borderId="0" xfId="0" applyNumberFormat="1" applyAlignment="1">
      <alignment horizontal="right"/>
    </xf>
    <xf numFmtId="2" fontId="0" fillId="0" borderId="0" xfId="0" applyNumberFormat="1"/>
    <xf numFmtId="43" fontId="0" fillId="0" borderId="1" xfId="1" applyFont="1" applyBorder="1"/>
    <xf numFmtId="43" fontId="0" fillId="0" borderId="2" xfId="1" applyFont="1" applyBorder="1"/>
    <xf numFmtId="0" fontId="2" fillId="0" borderId="0" xfId="0" quotePrefix="1" applyFon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right"/>
    </xf>
    <xf numFmtId="0" fontId="0" fillId="0" borderId="1" xfId="0" applyBorder="1" applyAlignment="1">
      <alignment horizontal="center"/>
    </xf>
    <xf numFmtId="0" fontId="3" fillId="0" borderId="0" xfId="0" applyFont="1"/>
    <xf numFmtId="164" fontId="2" fillId="0" borderId="0" xfId="0" applyNumberFormat="1" applyFont="1" applyAlignment="1">
      <alignment horizontal="left"/>
    </xf>
    <xf numFmtId="0" fontId="0" fillId="0" borderId="0" xfId="0" quotePrefix="1"/>
    <xf numFmtId="0" fontId="2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43" fontId="0" fillId="0" borderId="0" xfId="1" applyFont="1" applyFill="1"/>
    <xf numFmtId="10" fontId="0" fillId="0" borderId="0" xfId="2" applyNumberFormat="1" applyFont="1" applyFill="1"/>
    <xf numFmtId="0" fontId="2" fillId="0" borderId="0" xfId="0" quotePrefix="1" applyFont="1" applyFill="1"/>
    <xf numFmtId="0" fontId="0" fillId="0" borderId="1" xfId="0" applyFill="1" applyBorder="1" applyAlignment="1">
      <alignment horizontal="center"/>
    </xf>
    <xf numFmtId="43" fontId="0" fillId="0" borderId="4" xfId="0" applyNumberFormat="1" applyFill="1" applyBorder="1"/>
    <xf numFmtId="39" fontId="5" fillId="0" borderId="0" xfId="3" applyNumberFormat="1" applyFont="1" applyFill="1" applyAlignment="1">
      <alignment vertical="top"/>
    </xf>
    <xf numFmtId="0" fontId="5" fillId="0" borderId="0" xfId="3" applyFont="1" applyFill="1" applyAlignment="1">
      <alignment horizontal="center" vertical="top"/>
    </xf>
    <xf numFmtId="0" fontId="5" fillId="0" borderId="0" xfId="3" applyFont="1" applyFill="1" applyAlignment="1">
      <alignment horizontal="center" vertical="top" wrapText="1"/>
    </xf>
    <xf numFmtId="0" fontId="5" fillId="0" borderId="0" xfId="3" applyFont="1" applyFill="1" applyAlignment="1">
      <alignment horizontal="center"/>
    </xf>
    <xf numFmtId="0" fontId="5" fillId="0" borderId="0" xfId="3" applyFont="1" applyFill="1" applyAlignment="1">
      <alignment vertical="top"/>
    </xf>
    <xf numFmtId="0" fontId="5" fillId="0" borderId="0" xfId="3" applyFont="1" applyFill="1"/>
    <xf numFmtId="0" fontId="8" fillId="0" borderId="0" xfId="3" applyFont="1" applyFill="1"/>
    <xf numFmtId="39" fontId="5" fillId="0" borderId="0" xfId="3" applyNumberFormat="1" applyFont="1" applyFill="1"/>
    <xf numFmtId="164" fontId="2" fillId="0" borderId="0" xfId="0" applyNumberFormat="1" applyFont="1" applyAlignment="1">
      <alignment horizontal="left"/>
    </xf>
  </cellXfs>
  <cellStyles count="4">
    <cellStyle name="Comma" xfId="1" builtinId="3"/>
    <cellStyle name="Normal" xfId="0" builtinId="0"/>
    <cellStyle name="Normal 2" xfId="3" xr:uid="{D4D60CF4-5A66-42ED-8983-ADA13FB7FF75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28"/>
  <sheetViews>
    <sheetView zoomScale="90" zoomScaleNormal="90" workbookViewId="0">
      <selection activeCell="B40" sqref="B40"/>
    </sheetView>
  </sheetViews>
  <sheetFormatPr defaultRowHeight="15" x14ac:dyDescent="0.25"/>
  <cols>
    <col min="1" max="1" width="47" bestFit="1" customWidth="1"/>
    <col min="2" max="2" width="15" style="3" bestFit="1" customWidth="1"/>
  </cols>
  <sheetData>
    <row r="1" spans="1:2" x14ac:dyDescent="0.25">
      <c r="A1" s="1" t="s">
        <v>0</v>
      </c>
    </row>
    <row r="2" spans="1:2" x14ac:dyDescent="0.25">
      <c r="A2" s="1" t="s">
        <v>1</v>
      </c>
    </row>
    <row r="3" spans="1:2" x14ac:dyDescent="0.25">
      <c r="A3" s="2">
        <v>43100</v>
      </c>
    </row>
    <row r="6" spans="1:2" x14ac:dyDescent="0.25">
      <c r="A6" t="s">
        <v>2</v>
      </c>
      <c r="B6" s="7">
        <v>15115921</v>
      </c>
    </row>
    <row r="7" spans="1:2" x14ac:dyDescent="0.25">
      <c r="A7" t="s">
        <v>3</v>
      </c>
      <c r="B7" s="8">
        <v>927176.04</v>
      </c>
    </row>
    <row r="8" spans="1:2" ht="15.75" thickBot="1" x14ac:dyDescent="0.3">
      <c r="A8" t="s">
        <v>4</v>
      </c>
      <c r="B8" s="9">
        <f>SUM(B6:B7)</f>
        <v>16043097.039999999</v>
      </c>
    </row>
    <row r="9" spans="1:2" ht="15.75" thickTop="1" x14ac:dyDescent="0.25">
      <c r="B9" s="7"/>
    </row>
    <row r="10" spans="1:2" x14ac:dyDescent="0.25">
      <c r="A10" t="s">
        <v>127</v>
      </c>
      <c r="B10" s="7">
        <v>18090779</v>
      </c>
    </row>
    <row r="11" spans="1:2" x14ac:dyDescent="0.25">
      <c r="A11" t="s">
        <v>5</v>
      </c>
      <c r="B11" s="8">
        <v>-2030899</v>
      </c>
    </row>
    <row r="12" spans="1:2" ht="15.75" thickBot="1" x14ac:dyDescent="0.3">
      <c r="A12" t="s">
        <v>4</v>
      </c>
      <c r="B12" s="9">
        <f>SUM(B10:B11)</f>
        <v>16059880</v>
      </c>
    </row>
    <row r="13" spans="1:2" ht="16.5" thickTop="1" thickBot="1" x14ac:dyDescent="0.3">
      <c r="B13" s="7"/>
    </row>
    <row r="14" spans="1:2" ht="15.75" thickBot="1" x14ac:dyDescent="0.3">
      <c r="A14" t="s">
        <v>6</v>
      </c>
      <c r="B14" s="10">
        <f>+B12-B8</f>
        <v>16782.960000000894</v>
      </c>
    </row>
    <row r="15" spans="1:2" x14ac:dyDescent="0.25">
      <c r="B15" s="7"/>
    </row>
    <row r="16" spans="1:2" x14ac:dyDescent="0.25">
      <c r="A16" s="6" t="s">
        <v>7</v>
      </c>
      <c r="B16" s="7"/>
    </row>
    <row r="17" spans="1:2" x14ac:dyDescent="0.25">
      <c r="B17" s="7"/>
    </row>
    <row r="18" spans="1:2" x14ac:dyDescent="0.25">
      <c r="A18" t="s">
        <v>35</v>
      </c>
      <c r="B18" s="7"/>
    </row>
    <row r="19" spans="1:2" x14ac:dyDescent="0.25">
      <c r="A19" t="s">
        <v>33</v>
      </c>
      <c r="B19" s="7"/>
    </row>
    <row r="20" spans="1:2" x14ac:dyDescent="0.25">
      <c r="A20" t="s">
        <v>34</v>
      </c>
      <c r="B20" s="7">
        <v>144479.4</v>
      </c>
    </row>
    <row r="21" spans="1:2" x14ac:dyDescent="0.25">
      <c r="B21" s="7"/>
    </row>
    <row r="22" spans="1:2" x14ac:dyDescent="0.25">
      <c r="A22" t="s">
        <v>9</v>
      </c>
      <c r="B22" s="7"/>
    </row>
    <row r="23" spans="1:2" x14ac:dyDescent="0.25">
      <c r="A23" t="s">
        <v>31</v>
      </c>
      <c r="B23" s="7"/>
    </row>
    <row r="24" spans="1:2" x14ac:dyDescent="0.25">
      <c r="A24" t="s">
        <v>32</v>
      </c>
      <c r="B24" s="7"/>
    </row>
    <row r="25" spans="1:2" x14ac:dyDescent="0.25">
      <c r="A25" t="s">
        <v>30</v>
      </c>
      <c r="B25" s="7">
        <v>-127697.15</v>
      </c>
    </row>
    <row r="26" spans="1:2" ht="15.75" thickBot="1" x14ac:dyDescent="0.3">
      <c r="B26" s="7"/>
    </row>
    <row r="27" spans="1:2" ht="15.75" thickBot="1" x14ac:dyDescent="0.3">
      <c r="A27" t="s">
        <v>4</v>
      </c>
      <c r="B27" s="10">
        <f>SUM(B20:B25)</f>
        <v>16782.25</v>
      </c>
    </row>
    <row r="28" spans="1:2" x14ac:dyDescent="0.25">
      <c r="A28" t="s">
        <v>8</v>
      </c>
      <c r="B28" s="7">
        <f>+B14-B27</f>
        <v>0.71000000089406967</v>
      </c>
    </row>
  </sheetData>
  <pageMargins left="0.7" right="0.7" top="0.75" bottom="0.75" header="0.3" footer="0.3"/>
  <pageSetup orientation="portrait" horizontalDpi="4294967295" verticalDpi="4294967295" r:id="rId1"/>
  <headerFooter>
    <oddFooter>&amp;L&amp;8&amp;Z&amp;F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9926B-613B-4CCE-8AD0-923C5FB1481D}">
  <sheetPr>
    <tabColor rgb="FF92D050"/>
  </sheetPr>
  <dimension ref="A1:B17"/>
  <sheetViews>
    <sheetView workbookViewId="0">
      <selection activeCell="D15" sqref="D15"/>
    </sheetView>
  </sheetViews>
  <sheetFormatPr defaultRowHeight="15" x14ac:dyDescent="0.25"/>
  <cols>
    <col min="1" max="1" width="48.28515625" customWidth="1"/>
    <col min="2" max="2" width="13.28515625" bestFit="1" customWidth="1"/>
  </cols>
  <sheetData>
    <row r="1" spans="1:2" x14ac:dyDescent="0.25">
      <c r="A1" s="1" t="s">
        <v>0</v>
      </c>
    </row>
    <row r="2" spans="1:2" x14ac:dyDescent="0.25">
      <c r="A2" s="1" t="s">
        <v>94</v>
      </c>
    </row>
    <row r="3" spans="1:2" x14ac:dyDescent="0.25">
      <c r="A3" s="2">
        <v>43100</v>
      </c>
    </row>
    <row r="6" spans="1:2" x14ac:dyDescent="0.25">
      <c r="A6" t="s">
        <v>124</v>
      </c>
    </row>
    <row r="7" spans="1:2" x14ac:dyDescent="0.25">
      <c r="A7" t="s">
        <v>95</v>
      </c>
      <c r="B7" s="3">
        <v>105392</v>
      </c>
    </row>
    <row r="8" spans="1:2" x14ac:dyDescent="0.25">
      <c r="A8" t="s">
        <v>96</v>
      </c>
      <c r="B8" s="7">
        <f>312245-114997-72278-1</f>
        <v>124969</v>
      </c>
    </row>
    <row r="9" spans="1:2" x14ac:dyDescent="0.25">
      <c r="A9" t="s">
        <v>97</v>
      </c>
      <c r="B9" s="16">
        <v>-1703</v>
      </c>
    </row>
    <row r="10" spans="1:2" ht="15.75" thickBot="1" x14ac:dyDescent="0.3">
      <c r="A10" t="s">
        <v>4</v>
      </c>
      <c r="B10" s="13">
        <f>SUM(B7:B9)</f>
        <v>228658</v>
      </c>
    </row>
    <row r="11" spans="1:2" ht="15.75" thickTop="1" x14ac:dyDescent="0.25">
      <c r="B11" s="3"/>
    </row>
    <row r="12" spans="1:2" x14ac:dyDescent="0.25">
      <c r="A12" t="s">
        <v>98</v>
      </c>
      <c r="B12" s="7">
        <f>+'Sch7 Recap'!E25</f>
        <v>228658.71</v>
      </c>
    </row>
    <row r="13" spans="1:2" ht="15.75" thickBot="1" x14ac:dyDescent="0.3">
      <c r="A13" t="s">
        <v>4</v>
      </c>
      <c r="B13" s="13">
        <f>SUM(B12:B12)</f>
        <v>228658.71</v>
      </c>
    </row>
    <row r="14" spans="1:2" ht="15.75" thickTop="1" x14ac:dyDescent="0.25">
      <c r="B14" s="3"/>
    </row>
    <row r="15" spans="1:2" x14ac:dyDescent="0.25">
      <c r="A15" t="s">
        <v>6</v>
      </c>
      <c r="B15" s="3">
        <f>+B13-B10</f>
        <v>0.70999999999185093</v>
      </c>
    </row>
    <row r="17" spans="2:2" x14ac:dyDescent="0.25">
      <c r="B17" s="12"/>
    </row>
  </sheetData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D4330-73A5-4E86-AE79-CCE81490C25C}">
  <sheetPr>
    <tabColor rgb="FF92D050"/>
  </sheetPr>
  <dimension ref="A1:B12"/>
  <sheetViews>
    <sheetView workbookViewId="0">
      <selection activeCell="B8" sqref="B8"/>
    </sheetView>
  </sheetViews>
  <sheetFormatPr defaultRowHeight="15" x14ac:dyDescent="0.25"/>
  <cols>
    <col min="1" max="1" width="25.7109375" bestFit="1" customWidth="1"/>
    <col min="2" max="2" width="9.7109375" bestFit="1" customWidth="1"/>
  </cols>
  <sheetData>
    <row r="1" spans="1:2" x14ac:dyDescent="0.25">
      <c r="A1" s="1" t="s">
        <v>0</v>
      </c>
    </row>
    <row r="2" spans="1:2" x14ac:dyDescent="0.25">
      <c r="A2" s="1" t="s">
        <v>213</v>
      </c>
    </row>
    <row r="3" spans="1:2" x14ac:dyDescent="0.25">
      <c r="A3" s="28">
        <v>43100</v>
      </c>
    </row>
    <row r="7" spans="1:2" x14ac:dyDescent="0.25">
      <c r="A7" t="s">
        <v>216</v>
      </c>
      <c r="B7" s="3">
        <v>861864</v>
      </c>
    </row>
    <row r="8" spans="1:2" x14ac:dyDescent="0.25">
      <c r="A8" t="s">
        <v>214</v>
      </c>
      <c r="B8" s="3">
        <v>-120000</v>
      </c>
    </row>
    <row r="9" spans="1:2" x14ac:dyDescent="0.25">
      <c r="A9" t="s">
        <v>215</v>
      </c>
      <c r="B9" s="4">
        <v>0</v>
      </c>
    </row>
    <row r="10" spans="1:2" x14ac:dyDescent="0.25">
      <c r="B10" s="3"/>
    </row>
    <row r="11" spans="1:2" ht="15.75" thickBot="1" x14ac:dyDescent="0.3">
      <c r="A11" t="s">
        <v>213</v>
      </c>
      <c r="B11" s="5">
        <f>SUM(B7:B9)</f>
        <v>741864</v>
      </c>
    </row>
    <row r="12" spans="1:2" ht="15.75" thickTop="1" x14ac:dyDescent="0.25"/>
  </sheetData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8A595-F675-4352-B9EA-19B670294318}">
  <sheetPr>
    <tabColor rgb="FF92D050"/>
    <pageSetUpPr fitToPage="1"/>
  </sheetPr>
  <dimension ref="A1:K44"/>
  <sheetViews>
    <sheetView topLeftCell="A16" zoomScale="90" zoomScaleNormal="90" workbookViewId="0">
      <selection activeCell="L18" sqref="L18"/>
    </sheetView>
  </sheetViews>
  <sheetFormatPr defaultRowHeight="15" x14ac:dyDescent="0.25"/>
  <cols>
    <col min="1" max="1" width="15" style="17" customWidth="1"/>
    <col min="2" max="2" width="12.28515625" style="17" bestFit="1" customWidth="1"/>
    <col min="3" max="3" width="12.85546875" style="17" bestFit="1" customWidth="1"/>
    <col min="4" max="4" width="12.28515625" style="17" bestFit="1" customWidth="1"/>
    <col min="5" max="5" width="11.85546875" style="17" bestFit="1" customWidth="1"/>
    <col min="6" max="6" width="13.7109375" style="17" customWidth="1"/>
    <col min="7" max="10" width="9.140625" style="17"/>
    <col min="11" max="11" width="13.28515625" style="17" bestFit="1" customWidth="1"/>
    <col min="12" max="16384" width="9.140625" style="17"/>
  </cols>
  <sheetData>
    <row r="1" spans="1:6" x14ac:dyDescent="0.25">
      <c r="A1" s="30" t="s">
        <v>0</v>
      </c>
    </row>
    <row r="2" spans="1:6" x14ac:dyDescent="0.25">
      <c r="A2" s="30" t="s">
        <v>217</v>
      </c>
    </row>
    <row r="3" spans="1:6" x14ac:dyDescent="0.25">
      <c r="A3" s="35" t="s">
        <v>119</v>
      </c>
    </row>
    <row r="4" spans="1:6" x14ac:dyDescent="0.25">
      <c r="A4" s="30"/>
    </row>
    <row r="5" spans="1:6" x14ac:dyDescent="0.25">
      <c r="B5" s="36" t="s">
        <v>218</v>
      </c>
      <c r="C5" s="36" t="s">
        <v>219</v>
      </c>
      <c r="D5" s="36" t="s">
        <v>220</v>
      </c>
      <c r="E5" s="36" t="s">
        <v>221</v>
      </c>
      <c r="F5" s="36" t="s">
        <v>4</v>
      </c>
    </row>
    <row r="6" spans="1:6" x14ac:dyDescent="0.25">
      <c r="B6" s="31" t="s">
        <v>69</v>
      </c>
      <c r="C6" s="31" t="s">
        <v>19</v>
      </c>
      <c r="D6" s="31" t="s">
        <v>66</v>
      </c>
      <c r="E6" s="31" t="s">
        <v>222</v>
      </c>
      <c r="F6" s="31"/>
    </row>
    <row r="7" spans="1:6" x14ac:dyDescent="0.25">
      <c r="A7" s="32">
        <v>537</v>
      </c>
      <c r="B7" s="33">
        <v>8041.42</v>
      </c>
      <c r="C7" s="33"/>
      <c r="D7" s="33"/>
      <c r="E7" s="33"/>
      <c r="F7" s="33">
        <f t="shared" ref="F7:F19" si="0">SUM(B7:E7)</f>
        <v>8041.42</v>
      </c>
    </row>
    <row r="8" spans="1:6" x14ac:dyDescent="0.25">
      <c r="A8" s="32">
        <v>538</v>
      </c>
      <c r="B8" s="33">
        <f>24886.51+8023.99+1818.85</f>
        <v>34729.35</v>
      </c>
      <c r="C8" s="33"/>
      <c r="D8" s="33"/>
      <c r="E8" s="33"/>
      <c r="F8" s="33">
        <f t="shared" si="0"/>
        <v>34729.35</v>
      </c>
    </row>
    <row r="9" spans="1:6" x14ac:dyDescent="0.25">
      <c r="A9" s="32">
        <v>539</v>
      </c>
      <c r="B9" s="33"/>
      <c r="C9" s="33"/>
      <c r="D9" s="33"/>
      <c r="E9" s="33"/>
      <c r="F9" s="33">
        <f t="shared" si="0"/>
        <v>0</v>
      </c>
    </row>
    <row r="10" spans="1:6" x14ac:dyDescent="0.25">
      <c r="A10" s="32">
        <v>542</v>
      </c>
      <c r="B10" s="33"/>
      <c r="C10" s="33"/>
      <c r="D10" s="33"/>
      <c r="E10" s="33"/>
      <c r="F10" s="33">
        <f t="shared" si="0"/>
        <v>0</v>
      </c>
    </row>
    <row r="11" spans="1:6" x14ac:dyDescent="0.25">
      <c r="A11" s="32">
        <v>543</v>
      </c>
      <c r="B11" s="33"/>
      <c r="C11" s="33"/>
      <c r="D11" s="33"/>
      <c r="E11" s="33"/>
      <c r="F11" s="33">
        <f t="shared" si="0"/>
        <v>0</v>
      </c>
    </row>
    <row r="12" spans="1:6" x14ac:dyDescent="0.25">
      <c r="A12" s="32">
        <v>544</v>
      </c>
      <c r="B12" s="33"/>
      <c r="C12" s="33"/>
      <c r="D12" s="33"/>
      <c r="E12" s="33"/>
      <c r="F12" s="33">
        <f t="shared" si="0"/>
        <v>0</v>
      </c>
    </row>
    <row r="13" spans="1:6" x14ac:dyDescent="0.25">
      <c r="A13" s="32">
        <v>546</v>
      </c>
      <c r="B13" s="33">
        <f>60418.65+2131.52+10811.36+6479.54+5983.96+6479.54</f>
        <v>92304.569999999992</v>
      </c>
      <c r="C13" s="33"/>
      <c r="D13" s="33"/>
      <c r="E13" s="33"/>
      <c r="F13" s="33">
        <f t="shared" si="0"/>
        <v>92304.569999999992</v>
      </c>
    </row>
    <row r="14" spans="1:6" x14ac:dyDescent="0.25">
      <c r="A14" s="32">
        <v>548</v>
      </c>
      <c r="B14" s="33"/>
      <c r="C14" s="33"/>
      <c r="D14" s="33"/>
      <c r="E14" s="33"/>
      <c r="F14" s="33">
        <f t="shared" si="0"/>
        <v>0</v>
      </c>
    </row>
    <row r="15" spans="1:6" x14ac:dyDescent="0.25">
      <c r="A15" s="32">
        <v>551</v>
      </c>
      <c r="B15" s="33"/>
      <c r="C15" s="33"/>
      <c r="D15" s="33"/>
      <c r="E15" s="33"/>
      <c r="F15" s="33">
        <f t="shared" si="0"/>
        <v>0</v>
      </c>
    </row>
    <row r="16" spans="1:6" x14ac:dyDescent="0.25">
      <c r="A16" s="32">
        <v>552</v>
      </c>
      <c r="B16" s="33">
        <v>2415.23</v>
      </c>
      <c r="C16" s="33"/>
      <c r="D16" s="33"/>
      <c r="E16" s="33"/>
      <c r="F16" s="33">
        <f t="shared" si="0"/>
        <v>2415.23</v>
      </c>
    </row>
    <row r="17" spans="1:11" x14ac:dyDescent="0.25">
      <c r="A17" s="32">
        <v>553</v>
      </c>
      <c r="B17" s="33">
        <f>42218.27+1858.1+4294.65</f>
        <v>48371.02</v>
      </c>
      <c r="C17" s="33"/>
      <c r="D17" s="33"/>
      <c r="E17" s="33"/>
      <c r="F17" s="33">
        <f t="shared" si="0"/>
        <v>48371.02</v>
      </c>
    </row>
    <row r="18" spans="1:11" x14ac:dyDescent="0.25">
      <c r="A18" s="32">
        <v>560</v>
      </c>
      <c r="B18" s="33"/>
      <c r="C18" s="33">
        <f>7912.34+4435.12+4435.12</f>
        <v>16782.579999999998</v>
      </c>
      <c r="D18" s="33"/>
      <c r="E18" s="33"/>
      <c r="F18" s="33">
        <f t="shared" si="0"/>
        <v>16782.579999999998</v>
      </c>
    </row>
    <row r="19" spans="1:11" x14ac:dyDescent="0.25">
      <c r="A19" s="32">
        <v>566</v>
      </c>
      <c r="B19" s="33"/>
      <c r="C19" s="33"/>
      <c r="D19" s="33"/>
      <c r="E19" s="33"/>
      <c r="F19" s="33">
        <f t="shared" si="0"/>
        <v>0</v>
      </c>
    </row>
    <row r="20" spans="1:11" x14ac:dyDescent="0.25">
      <c r="A20" s="32">
        <v>580</v>
      </c>
      <c r="B20" s="33"/>
      <c r="C20" s="33"/>
      <c r="D20" s="33">
        <f>58985+23476.75+10028.6</f>
        <v>92490.35</v>
      </c>
      <c r="E20" s="33"/>
      <c r="F20" s="33">
        <f t="shared" ref="F20:F42" si="1">SUM(B20:E20)</f>
        <v>92490.35</v>
      </c>
    </row>
    <row r="21" spans="1:11" x14ac:dyDescent="0.25">
      <c r="A21" s="32">
        <v>582</v>
      </c>
      <c r="B21" s="33"/>
      <c r="C21" s="33"/>
      <c r="D21" s="33">
        <v>49581.69</v>
      </c>
      <c r="E21" s="33"/>
      <c r="F21" s="33">
        <f t="shared" si="1"/>
        <v>49581.69</v>
      </c>
    </row>
    <row r="22" spans="1:11" x14ac:dyDescent="0.25">
      <c r="A22" s="32">
        <v>582.01</v>
      </c>
      <c r="B22" s="33"/>
      <c r="C22" s="33"/>
      <c r="D22" s="33">
        <v>29237.68</v>
      </c>
      <c r="E22" s="33"/>
      <c r="F22" s="33">
        <f t="shared" si="1"/>
        <v>29237.68</v>
      </c>
    </row>
    <row r="23" spans="1:11" x14ac:dyDescent="0.25">
      <c r="A23" s="32">
        <v>583</v>
      </c>
      <c r="B23" s="33"/>
      <c r="C23" s="33"/>
      <c r="D23" s="33">
        <f>56358.03+9171.57</f>
        <v>65529.599999999999</v>
      </c>
      <c r="E23" s="33"/>
      <c r="F23" s="33">
        <f t="shared" si="1"/>
        <v>65529.599999999999</v>
      </c>
    </row>
    <row r="24" spans="1:11" x14ac:dyDescent="0.25">
      <c r="A24" s="32">
        <v>583.01</v>
      </c>
      <c r="B24" s="33"/>
      <c r="C24" s="33"/>
      <c r="D24" s="33">
        <v>35204.559999999998</v>
      </c>
      <c r="E24" s="33"/>
      <c r="F24" s="33">
        <f t="shared" si="1"/>
        <v>35204.559999999998</v>
      </c>
    </row>
    <row r="25" spans="1:11" x14ac:dyDescent="0.25">
      <c r="A25" s="32">
        <v>584</v>
      </c>
      <c r="B25" s="33"/>
      <c r="C25" s="33"/>
      <c r="D25" s="33">
        <f>62320.12+23311.33</f>
        <v>85631.450000000012</v>
      </c>
      <c r="E25" s="33"/>
      <c r="F25" s="33">
        <f t="shared" si="1"/>
        <v>85631.450000000012</v>
      </c>
    </row>
    <row r="26" spans="1:11" x14ac:dyDescent="0.25">
      <c r="A26" s="32">
        <v>586</v>
      </c>
      <c r="B26" s="33"/>
      <c r="C26" s="33"/>
      <c r="D26" s="33">
        <v>120633.36</v>
      </c>
      <c r="E26" s="33"/>
      <c r="F26" s="33">
        <f t="shared" si="1"/>
        <v>120633.36</v>
      </c>
    </row>
    <row r="27" spans="1:11" x14ac:dyDescent="0.25">
      <c r="A27" s="32">
        <v>587</v>
      </c>
      <c r="B27" s="33"/>
      <c r="C27" s="33"/>
      <c r="D27" s="33">
        <v>35961.42</v>
      </c>
      <c r="E27" s="33"/>
      <c r="F27" s="33">
        <f t="shared" si="1"/>
        <v>35961.42</v>
      </c>
    </row>
    <row r="28" spans="1:11" x14ac:dyDescent="0.25">
      <c r="A28" s="32">
        <v>587.01</v>
      </c>
      <c r="B28" s="33"/>
      <c r="C28" s="33"/>
      <c r="D28" s="33">
        <v>4625.6099999999997</v>
      </c>
      <c r="E28" s="33"/>
      <c r="F28" s="33">
        <f t="shared" si="1"/>
        <v>4625.6099999999997</v>
      </c>
    </row>
    <row r="29" spans="1:11" x14ac:dyDescent="0.25">
      <c r="A29" s="32">
        <v>587.02</v>
      </c>
      <c r="B29" s="33"/>
      <c r="C29" s="33"/>
      <c r="D29" s="33">
        <v>10026.56</v>
      </c>
      <c r="E29" s="33"/>
      <c r="F29" s="33">
        <f t="shared" si="1"/>
        <v>10026.56</v>
      </c>
    </row>
    <row r="30" spans="1:11" x14ac:dyDescent="0.25">
      <c r="A30" s="32">
        <v>592</v>
      </c>
      <c r="B30" s="33"/>
      <c r="C30" s="33"/>
      <c r="D30" s="33"/>
      <c r="E30" s="33"/>
      <c r="F30" s="33">
        <f t="shared" si="1"/>
        <v>0</v>
      </c>
    </row>
    <row r="31" spans="1:11" x14ac:dyDescent="0.25">
      <c r="A31" s="32">
        <v>593</v>
      </c>
      <c r="B31" s="33"/>
      <c r="C31" s="33"/>
      <c r="D31" s="33"/>
      <c r="E31" s="33"/>
      <c r="F31" s="33">
        <f t="shared" si="1"/>
        <v>0</v>
      </c>
      <c r="K31" s="34"/>
    </row>
    <row r="32" spans="1:11" x14ac:dyDescent="0.25">
      <c r="A32" s="32">
        <v>593.01</v>
      </c>
      <c r="B32" s="33"/>
      <c r="C32" s="33"/>
      <c r="D32" s="33">
        <v>47358.54</v>
      </c>
      <c r="E32" s="33"/>
      <c r="F32" s="33">
        <f t="shared" si="1"/>
        <v>47358.54</v>
      </c>
    </row>
    <row r="33" spans="1:6" x14ac:dyDescent="0.25">
      <c r="A33" s="32">
        <v>594</v>
      </c>
      <c r="B33" s="33"/>
      <c r="C33" s="33"/>
      <c r="D33" s="33"/>
      <c r="E33" s="33"/>
      <c r="F33" s="33">
        <f t="shared" si="1"/>
        <v>0</v>
      </c>
    </row>
    <row r="34" spans="1:6" x14ac:dyDescent="0.25">
      <c r="A34" s="32">
        <v>595</v>
      </c>
      <c r="B34" s="33"/>
      <c r="C34" s="33"/>
      <c r="D34" s="33">
        <v>567.62</v>
      </c>
      <c r="E34" s="33"/>
      <c r="F34" s="33">
        <f t="shared" si="1"/>
        <v>567.62</v>
      </c>
    </row>
    <row r="35" spans="1:6" x14ac:dyDescent="0.25">
      <c r="A35" s="32">
        <v>596</v>
      </c>
      <c r="B35" s="33"/>
      <c r="C35" s="33"/>
      <c r="D35" s="33"/>
      <c r="E35" s="33"/>
      <c r="F35" s="33">
        <f t="shared" si="1"/>
        <v>0</v>
      </c>
    </row>
    <row r="36" spans="1:6" x14ac:dyDescent="0.25">
      <c r="A36" s="32">
        <v>597</v>
      </c>
      <c r="B36" s="33"/>
      <c r="C36" s="33"/>
      <c r="D36" s="33"/>
      <c r="E36" s="33"/>
      <c r="F36" s="33">
        <f t="shared" si="1"/>
        <v>0</v>
      </c>
    </row>
    <row r="37" spans="1:6" x14ac:dyDescent="0.25">
      <c r="A37" s="32">
        <v>598</v>
      </c>
      <c r="B37" s="33"/>
      <c r="C37" s="33"/>
      <c r="D37" s="33"/>
      <c r="E37" s="33"/>
      <c r="F37" s="33">
        <f t="shared" si="1"/>
        <v>0</v>
      </c>
    </row>
    <row r="38" spans="1:6" x14ac:dyDescent="0.25">
      <c r="A38" s="32">
        <v>902</v>
      </c>
      <c r="B38" s="33"/>
      <c r="C38" s="33"/>
      <c r="D38" s="33"/>
      <c r="E38" s="33">
        <v>78.92</v>
      </c>
      <c r="F38" s="33">
        <f t="shared" si="1"/>
        <v>78.92</v>
      </c>
    </row>
    <row r="39" spans="1:6" x14ac:dyDescent="0.25">
      <c r="A39" s="32">
        <v>903</v>
      </c>
      <c r="B39" s="33"/>
      <c r="C39" s="33"/>
      <c r="D39" s="33"/>
      <c r="E39" s="33">
        <v>4892.17</v>
      </c>
      <c r="F39" s="33">
        <f t="shared" si="1"/>
        <v>4892.17</v>
      </c>
    </row>
    <row r="40" spans="1:6" x14ac:dyDescent="0.25">
      <c r="A40" s="32">
        <v>908</v>
      </c>
      <c r="B40" s="33"/>
      <c r="C40" s="33"/>
      <c r="D40" s="33"/>
      <c r="E40" s="33">
        <v>45789.85</v>
      </c>
      <c r="F40" s="33">
        <f t="shared" si="1"/>
        <v>45789.85</v>
      </c>
    </row>
    <row r="41" spans="1:6" x14ac:dyDescent="0.25">
      <c r="A41" s="32">
        <v>910</v>
      </c>
      <c r="B41" s="33"/>
      <c r="C41" s="33"/>
      <c r="D41" s="33"/>
      <c r="E41" s="33">
        <v>23849.759999999998</v>
      </c>
      <c r="F41" s="33">
        <f t="shared" si="1"/>
        <v>23849.759999999998</v>
      </c>
    </row>
    <row r="42" spans="1:6" x14ac:dyDescent="0.25">
      <c r="A42" s="32">
        <v>910.02</v>
      </c>
      <c r="B42" s="33"/>
      <c r="C42" s="33"/>
      <c r="D42" s="33"/>
      <c r="E42" s="33"/>
      <c r="F42" s="33">
        <f t="shared" si="1"/>
        <v>0</v>
      </c>
    </row>
    <row r="43" spans="1:6" ht="15.75" thickBot="1" x14ac:dyDescent="0.3">
      <c r="B43" s="37">
        <f>SUM(B7:B42)</f>
        <v>185861.59</v>
      </c>
      <c r="C43" s="37">
        <f>SUM(C7:C42)</f>
        <v>16782.579999999998</v>
      </c>
      <c r="D43" s="37">
        <f>SUM(D7:D42)</f>
        <v>576848.44000000006</v>
      </c>
      <c r="E43" s="37">
        <f>SUM(E7:E42)</f>
        <v>74610.7</v>
      </c>
      <c r="F43" s="37">
        <f>SUM(F7:F42)</f>
        <v>854103.31000000017</v>
      </c>
    </row>
    <row r="44" spans="1:6" ht="15.75" thickTop="1" x14ac:dyDescent="0.25"/>
  </sheetData>
  <pageMargins left="0.7" right="0.7" top="0.35" bottom="0.28999999999999998" header="0.3" footer="0.3"/>
  <pageSetup orientation="portrait" horizontalDpi="4294967295" verticalDpi="4294967295" r:id="rId1"/>
  <headerFoot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7291-0A3B-48D7-B90A-F77FEBF8FAEB}">
  <sheetPr>
    <tabColor rgb="FF92D050"/>
  </sheetPr>
  <dimension ref="A1:E33"/>
  <sheetViews>
    <sheetView workbookViewId="0">
      <selection activeCell="A6" sqref="A6:XFD6"/>
    </sheetView>
  </sheetViews>
  <sheetFormatPr defaultRowHeight="15" x14ac:dyDescent="0.25"/>
  <cols>
    <col min="1" max="1" width="39.7109375" customWidth="1"/>
    <col min="2" max="2" width="13.28515625" style="17" bestFit="1" customWidth="1"/>
  </cols>
  <sheetData>
    <row r="1" spans="1:2" x14ac:dyDescent="0.25">
      <c r="A1" s="1" t="s">
        <v>0</v>
      </c>
    </row>
    <row r="2" spans="1:2" x14ac:dyDescent="0.25">
      <c r="A2" s="1" t="s">
        <v>83</v>
      </c>
    </row>
    <row r="3" spans="1:2" x14ac:dyDescent="0.25">
      <c r="A3" s="2">
        <v>43100</v>
      </c>
    </row>
    <row r="6" spans="1:2" x14ac:dyDescent="0.25">
      <c r="A6" s="6" t="s">
        <v>36</v>
      </c>
    </row>
    <row r="7" spans="1:2" x14ac:dyDescent="0.25">
      <c r="A7" t="s">
        <v>37</v>
      </c>
      <c r="B7" s="7">
        <v>3970478</v>
      </c>
    </row>
    <row r="8" spans="1:2" x14ac:dyDescent="0.25">
      <c r="A8" t="s">
        <v>38</v>
      </c>
      <c r="B8" s="7">
        <v>0</v>
      </c>
    </row>
    <row r="9" spans="1:2" x14ac:dyDescent="0.25">
      <c r="A9" t="s">
        <v>39</v>
      </c>
      <c r="B9" s="7">
        <v>200780</v>
      </c>
    </row>
    <row r="10" spans="1:2" x14ac:dyDescent="0.25">
      <c r="A10" t="s">
        <v>40</v>
      </c>
      <c r="B10" s="8">
        <v>-562</v>
      </c>
    </row>
    <row r="11" spans="1:2" x14ac:dyDescent="0.25">
      <c r="A11" s="6" t="s">
        <v>41</v>
      </c>
      <c r="B11" s="7">
        <f>SUM(B7:B10)</f>
        <v>4170696</v>
      </c>
    </row>
    <row r="12" spans="1:2" x14ac:dyDescent="0.25">
      <c r="B12" s="7"/>
    </row>
    <row r="13" spans="1:2" x14ac:dyDescent="0.25">
      <c r="B13" s="7"/>
    </row>
    <row r="14" spans="1:2" x14ac:dyDescent="0.25">
      <c r="B14" s="7"/>
    </row>
    <row r="15" spans="1:2" x14ac:dyDescent="0.25">
      <c r="A15" s="6" t="s">
        <v>46</v>
      </c>
      <c r="B15" s="7"/>
    </row>
    <row r="16" spans="1:2" x14ac:dyDescent="0.25">
      <c r="A16" t="s">
        <v>50</v>
      </c>
      <c r="B16" s="7">
        <v>221112.48</v>
      </c>
    </row>
    <row r="17" spans="1:5" x14ac:dyDescent="0.25">
      <c r="A17" t="s">
        <v>49</v>
      </c>
      <c r="B17" s="7"/>
    </row>
    <row r="18" spans="1:5" x14ac:dyDescent="0.25">
      <c r="A18" t="s">
        <v>47</v>
      </c>
      <c r="B18" s="7">
        <f>21135.5+766.31+62060.64</f>
        <v>83962.45</v>
      </c>
    </row>
    <row r="19" spans="1:5" x14ac:dyDescent="0.25">
      <c r="A19" t="s">
        <v>48</v>
      </c>
      <c r="B19" s="7"/>
    </row>
    <row r="20" spans="1:5" x14ac:dyDescent="0.25">
      <c r="A20" t="s">
        <v>43</v>
      </c>
      <c r="B20" s="7">
        <f>4885.66+3317.12+35531.92</f>
        <v>43734.7</v>
      </c>
    </row>
    <row r="21" spans="1:5" x14ac:dyDescent="0.25">
      <c r="A21" t="s">
        <v>51</v>
      </c>
      <c r="B21" s="7"/>
    </row>
    <row r="22" spans="1:5" x14ac:dyDescent="0.25">
      <c r="B22" s="7"/>
    </row>
    <row r="23" spans="1:5" x14ac:dyDescent="0.25">
      <c r="A23" s="6" t="s">
        <v>44</v>
      </c>
      <c r="B23" s="7"/>
    </row>
    <row r="24" spans="1:5" x14ac:dyDescent="0.25">
      <c r="A24" s="6" t="s">
        <v>42</v>
      </c>
    </row>
    <row r="25" spans="1:5" x14ac:dyDescent="0.25">
      <c r="A25" t="s">
        <v>53</v>
      </c>
      <c r="B25" s="8">
        <f>22210.79+449.87</f>
        <v>22660.66</v>
      </c>
    </row>
    <row r="26" spans="1:5" x14ac:dyDescent="0.25">
      <c r="A26" t="s">
        <v>52</v>
      </c>
      <c r="B26" s="7"/>
    </row>
    <row r="27" spans="1:5" x14ac:dyDescent="0.25">
      <c r="B27" s="7"/>
      <c r="E27" s="18"/>
    </row>
    <row r="28" spans="1:5" ht="15.75" thickBot="1" x14ac:dyDescent="0.3">
      <c r="A28" t="s">
        <v>45</v>
      </c>
      <c r="B28" s="9">
        <f>SUM(B11:B25)</f>
        <v>4542166.290000001</v>
      </c>
    </row>
    <row r="29" spans="1:5" ht="15.75" thickTop="1" x14ac:dyDescent="0.25">
      <c r="B29" s="7"/>
    </row>
    <row r="30" spans="1:5" x14ac:dyDescent="0.25">
      <c r="B30" s="18"/>
    </row>
    <row r="31" spans="1:5" x14ac:dyDescent="0.25">
      <c r="B31" s="18"/>
    </row>
    <row r="32" spans="1:5" x14ac:dyDescent="0.25">
      <c r="B32" s="18"/>
    </row>
    <row r="33" spans="2:2" x14ac:dyDescent="0.25">
      <c r="B33" s="18"/>
    </row>
  </sheetData>
  <pageMargins left="0.7" right="0.7" top="0.75" bottom="0.75" header="0.3" footer="0.3"/>
  <pageSetup orientation="portrait" horizontalDpi="4294967295" verticalDpi="4294967295" r:id="rId1"/>
  <headerFooter>
    <oddFooter>&amp;L&amp;8&amp;Z&amp;[File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FD4CB-338A-4BA4-8B6F-53212CE20C55}">
  <sheetPr>
    <tabColor rgb="FF92D050"/>
  </sheetPr>
  <dimension ref="A1:D15"/>
  <sheetViews>
    <sheetView zoomScaleNormal="100" workbookViewId="0">
      <selection activeCell="B19" sqref="B19"/>
    </sheetView>
  </sheetViews>
  <sheetFormatPr defaultRowHeight="15" x14ac:dyDescent="0.25"/>
  <cols>
    <col min="1" max="1" width="38.85546875" customWidth="1"/>
    <col min="4" max="4" width="11.5703125" bestFit="1" customWidth="1"/>
  </cols>
  <sheetData>
    <row r="1" spans="1:4" x14ac:dyDescent="0.25">
      <c r="A1" s="1" t="s">
        <v>0</v>
      </c>
    </row>
    <row r="2" spans="1:4" x14ac:dyDescent="0.25">
      <c r="A2" s="1" t="s">
        <v>54</v>
      </c>
    </row>
    <row r="3" spans="1:4" x14ac:dyDescent="0.25">
      <c r="A3" s="2">
        <v>43100</v>
      </c>
    </row>
    <row r="6" spans="1:4" x14ac:dyDescent="0.25">
      <c r="A6" t="s">
        <v>55</v>
      </c>
    </row>
    <row r="7" spans="1:4" x14ac:dyDescent="0.25">
      <c r="A7" t="s">
        <v>56</v>
      </c>
    </row>
    <row r="8" spans="1:4" x14ac:dyDescent="0.25">
      <c r="A8" t="s">
        <v>57</v>
      </c>
      <c r="D8" s="3">
        <f>+'Sch3 Ln11'!B25</f>
        <v>22660.66</v>
      </c>
    </row>
    <row r="9" spans="1:4" x14ac:dyDescent="0.25">
      <c r="D9" s="3"/>
    </row>
    <row r="10" spans="1:4" x14ac:dyDescent="0.25">
      <c r="A10" t="s">
        <v>58</v>
      </c>
      <c r="D10" s="4">
        <v>-17770</v>
      </c>
    </row>
    <row r="11" spans="1:4" x14ac:dyDescent="0.25">
      <c r="D11" s="3"/>
    </row>
    <row r="12" spans="1:4" ht="15.75" thickBot="1" x14ac:dyDescent="0.3">
      <c r="A12" t="s">
        <v>59</v>
      </c>
      <c r="D12" s="5">
        <f>SUM(D8:D10)</f>
        <v>4890.66</v>
      </c>
    </row>
    <row r="13" spans="1:4" ht="15.75" thickTop="1" x14ac:dyDescent="0.25">
      <c r="D13" s="12"/>
    </row>
    <row r="14" spans="1:4" x14ac:dyDescent="0.25">
      <c r="D14" s="12"/>
    </row>
    <row r="15" spans="1:4" x14ac:dyDescent="0.25">
      <c r="D15" s="12"/>
    </row>
  </sheetData>
  <pageMargins left="0.7" right="0.7" top="0.75" bottom="0.75" header="0.3" footer="0.3"/>
  <pageSetup orientation="portrait" horizontalDpi="4294967295" verticalDpi="4294967295" r:id="rId1"/>
  <headerFooter>
    <oddFooter>&amp;L&amp;8&amp;Z&amp;F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BD867-DFED-4E24-82CE-6495CACA0D69}">
  <sheetPr>
    <tabColor rgb="FF92D050"/>
  </sheetPr>
  <dimension ref="A1:M85"/>
  <sheetViews>
    <sheetView workbookViewId="0">
      <pane ySplit="1" topLeftCell="A50" activePane="bottomLeft" state="frozen"/>
      <selection pane="bottomLeft" activeCell="F88" sqref="F88"/>
    </sheetView>
  </sheetViews>
  <sheetFormatPr defaultRowHeight="12.75" outlineLevelRow="2" x14ac:dyDescent="0.2"/>
  <cols>
    <col min="1" max="1" width="6.42578125" style="43" bestFit="1" customWidth="1"/>
    <col min="2" max="2" width="10.140625" style="43" bestFit="1" customWidth="1"/>
    <col min="3" max="3" width="7.85546875" style="43" bestFit="1" customWidth="1"/>
    <col min="4" max="4" width="32.42578125" style="43" bestFit="1" customWidth="1"/>
    <col min="5" max="5" width="14" style="43" bestFit="1" customWidth="1"/>
    <col min="6" max="7" width="12.85546875" style="43" customWidth="1"/>
    <col min="8" max="8" width="14" style="43" customWidth="1"/>
    <col min="9" max="9" width="11.7109375" style="43" bestFit="1" customWidth="1"/>
    <col min="10" max="10" width="11.42578125" style="43" bestFit="1" customWidth="1"/>
    <col min="11" max="11" width="15.140625" style="43" bestFit="1" customWidth="1"/>
    <col min="12" max="12" width="14" style="41" bestFit="1" customWidth="1"/>
    <col min="13" max="13" width="13.42578125" style="43" bestFit="1" customWidth="1"/>
    <col min="14" max="16384" width="9.140625" style="43"/>
  </cols>
  <sheetData>
    <row r="1" spans="1:12" s="41" customFormat="1" ht="25.5" x14ac:dyDescent="0.2">
      <c r="A1" s="39" t="s">
        <v>60</v>
      </c>
      <c r="B1" s="39" t="s">
        <v>135</v>
      </c>
      <c r="C1" s="39" t="s">
        <v>136</v>
      </c>
      <c r="D1" s="39" t="s">
        <v>137</v>
      </c>
      <c r="E1" s="40" t="s">
        <v>138</v>
      </c>
      <c r="F1" s="39" t="s">
        <v>10</v>
      </c>
      <c r="G1" s="39" t="s">
        <v>11</v>
      </c>
      <c r="H1" s="40" t="s">
        <v>139</v>
      </c>
      <c r="I1" s="39" t="s">
        <v>140</v>
      </c>
      <c r="J1" s="39" t="s">
        <v>141</v>
      </c>
      <c r="K1" s="41" t="s">
        <v>126</v>
      </c>
      <c r="L1" s="41" t="s">
        <v>142</v>
      </c>
    </row>
    <row r="2" spans="1:12" outlineLevel="2" x14ac:dyDescent="0.2">
      <c r="A2" s="42" t="s">
        <v>64</v>
      </c>
      <c r="B2" s="42" t="s">
        <v>143</v>
      </c>
      <c r="C2" s="42" t="s">
        <v>144</v>
      </c>
      <c r="D2" s="42" t="s">
        <v>145</v>
      </c>
      <c r="E2" s="38">
        <v>1233935.52</v>
      </c>
      <c r="F2" s="38"/>
      <c r="G2" s="38">
        <v>577466.72</v>
      </c>
      <c r="H2" s="38">
        <f>+E2+F2-G2</f>
        <v>656468.80000000005</v>
      </c>
      <c r="I2" s="43" t="str">
        <f>A2&amp;" "&amp;C2</f>
        <v>10-0 107.00</v>
      </c>
      <c r="J2" s="43" t="s">
        <v>146</v>
      </c>
      <c r="K2" s="43" t="s">
        <v>147</v>
      </c>
    </row>
    <row r="3" spans="1:12" outlineLevel="1" x14ac:dyDescent="0.2">
      <c r="A3" s="42"/>
      <c r="B3" s="42"/>
      <c r="C3" s="42"/>
      <c r="D3" s="42"/>
      <c r="E3" s="38">
        <f>SUBTOTAL(9,E2:E2)</f>
        <v>1233935.52</v>
      </c>
      <c r="F3" s="38">
        <f>SUBTOTAL(9,F2:F2)</f>
        <v>0</v>
      </c>
      <c r="G3" s="38">
        <f>SUBTOTAL(9,G2:G2)</f>
        <v>577466.72</v>
      </c>
      <c r="H3" s="38">
        <f>SUBTOTAL(9,H2:H2)</f>
        <v>656468.80000000005</v>
      </c>
      <c r="K3" s="44" t="s">
        <v>148</v>
      </c>
    </row>
    <row r="4" spans="1:12" outlineLevel="2" x14ac:dyDescent="0.2">
      <c r="A4" s="42" t="s">
        <v>72</v>
      </c>
      <c r="B4" s="42" t="s">
        <v>143</v>
      </c>
      <c r="C4" s="42" t="s">
        <v>149</v>
      </c>
      <c r="D4" s="42" t="s">
        <v>150</v>
      </c>
      <c r="E4" s="38">
        <v>2959199.67</v>
      </c>
      <c r="F4" s="38">
        <v>57503.69</v>
      </c>
      <c r="G4" s="38"/>
      <c r="H4" s="38">
        <f t="shared" ref="H4:H16" si="0">+E4+F4-G4</f>
        <v>3016703.36</v>
      </c>
      <c r="I4" s="43" t="str">
        <f t="shared" ref="I4:I16" si="1">A4&amp;" "&amp;C4</f>
        <v>35-0 101.353</v>
      </c>
      <c r="J4" s="43" t="s">
        <v>151</v>
      </c>
      <c r="K4" s="43" t="s">
        <v>66</v>
      </c>
    </row>
    <row r="5" spans="1:12" outlineLevel="2" x14ac:dyDescent="0.2">
      <c r="A5" s="42" t="s">
        <v>64</v>
      </c>
      <c r="B5" s="42" t="s">
        <v>143</v>
      </c>
      <c r="C5" s="42" t="s">
        <v>152</v>
      </c>
      <c r="D5" s="42" t="s">
        <v>20</v>
      </c>
      <c r="E5" s="38">
        <v>1287554.81</v>
      </c>
      <c r="F5" s="38">
        <v>14239.11</v>
      </c>
      <c r="G5" s="38">
        <v>15295.65</v>
      </c>
      <c r="H5" s="38">
        <f t="shared" si="0"/>
        <v>1286498.2700000003</v>
      </c>
      <c r="I5" s="43" t="str">
        <f t="shared" si="1"/>
        <v>10-0 101.362</v>
      </c>
      <c r="J5" s="43" t="s">
        <v>151</v>
      </c>
      <c r="K5" s="43" t="s">
        <v>66</v>
      </c>
    </row>
    <row r="6" spans="1:12" outlineLevel="2" x14ac:dyDescent="0.2">
      <c r="A6" s="42" t="s">
        <v>64</v>
      </c>
      <c r="B6" s="42" t="s">
        <v>143</v>
      </c>
      <c r="C6" s="42" t="s">
        <v>153</v>
      </c>
      <c r="D6" s="42" t="s">
        <v>154</v>
      </c>
      <c r="E6" s="38">
        <v>79805.77</v>
      </c>
      <c r="F6" s="38"/>
      <c r="G6" s="38"/>
      <c r="H6" s="38">
        <f t="shared" si="0"/>
        <v>79805.77</v>
      </c>
      <c r="I6" s="43" t="str">
        <f t="shared" si="1"/>
        <v>10-0 101.364</v>
      </c>
      <c r="J6" s="43" t="s">
        <v>151</v>
      </c>
      <c r="K6" s="43" t="s">
        <v>66</v>
      </c>
    </row>
    <row r="7" spans="1:12" outlineLevel="2" x14ac:dyDescent="0.2">
      <c r="A7" s="42" t="s">
        <v>64</v>
      </c>
      <c r="B7" s="42" t="s">
        <v>143</v>
      </c>
      <c r="C7" s="42" t="s">
        <v>155</v>
      </c>
      <c r="D7" s="42" t="s">
        <v>156</v>
      </c>
      <c r="E7" s="38">
        <v>5010502.4800000004</v>
      </c>
      <c r="F7" s="38">
        <v>73651.28</v>
      </c>
      <c r="G7" s="38"/>
      <c r="H7" s="38">
        <f t="shared" si="0"/>
        <v>5084153.7600000007</v>
      </c>
      <c r="I7" s="43" t="str">
        <f t="shared" si="1"/>
        <v>10-0 101.365</v>
      </c>
      <c r="J7" s="43" t="s">
        <v>151</v>
      </c>
      <c r="K7" s="43" t="s">
        <v>66</v>
      </c>
    </row>
    <row r="8" spans="1:12" outlineLevel="2" x14ac:dyDescent="0.2">
      <c r="A8" s="42" t="s">
        <v>157</v>
      </c>
      <c r="B8" s="42" t="s">
        <v>143</v>
      </c>
      <c r="C8" s="42" t="s">
        <v>155</v>
      </c>
      <c r="D8" s="42" t="s">
        <v>158</v>
      </c>
      <c r="E8" s="38">
        <v>668240.86</v>
      </c>
      <c r="F8" s="38">
        <v>99237.92</v>
      </c>
      <c r="G8" s="38"/>
      <c r="H8" s="38">
        <f t="shared" si="0"/>
        <v>767478.78</v>
      </c>
      <c r="I8" s="43" t="str">
        <f t="shared" si="1"/>
        <v>40-0 101.365</v>
      </c>
      <c r="J8" s="43" t="s">
        <v>151</v>
      </c>
      <c r="K8" s="43" t="s">
        <v>66</v>
      </c>
    </row>
    <row r="9" spans="1:12" outlineLevel="2" x14ac:dyDescent="0.2">
      <c r="A9" s="42" t="s">
        <v>64</v>
      </c>
      <c r="B9" s="42" t="s">
        <v>143</v>
      </c>
      <c r="C9" s="42" t="s">
        <v>159</v>
      </c>
      <c r="D9" s="42" t="s">
        <v>160</v>
      </c>
      <c r="E9" s="38">
        <v>6166806.4400000004</v>
      </c>
      <c r="F9" s="38">
        <v>364912.95</v>
      </c>
      <c r="G9" s="38"/>
      <c r="H9" s="38">
        <f t="shared" si="0"/>
        <v>6531719.3900000006</v>
      </c>
      <c r="I9" s="43" t="str">
        <f t="shared" si="1"/>
        <v>10-0 101.367</v>
      </c>
      <c r="J9" s="43" t="s">
        <v>151</v>
      </c>
      <c r="K9" s="43" t="s">
        <v>66</v>
      </c>
    </row>
    <row r="10" spans="1:12" outlineLevel="2" x14ac:dyDescent="0.2">
      <c r="A10" s="42" t="s">
        <v>157</v>
      </c>
      <c r="B10" s="42" t="s">
        <v>143</v>
      </c>
      <c r="C10" s="42" t="s">
        <v>159</v>
      </c>
      <c r="D10" s="42" t="s">
        <v>161</v>
      </c>
      <c r="E10" s="38">
        <v>4776621.88</v>
      </c>
      <c r="F10" s="38">
        <v>219753.35</v>
      </c>
      <c r="G10" s="38"/>
      <c r="H10" s="38">
        <f t="shared" si="0"/>
        <v>4996375.2299999995</v>
      </c>
      <c r="I10" s="43" t="str">
        <f t="shared" si="1"/>
        <v>40-0 101.367</v>
      </c>
      <c r="J10" s="43" t="s">
        <v>151</v>
      </c>
      <c r="K10" s="43" t="s">
        <v>66</v>
      </c>
    </row>
    <row r="11" spans="1:12" outlineLevel="2" x14ac:dyDescent="0.2">
      <c r="A11" s="42" t="s">
        <v>64</v>
      </c>
      <c r="B11" s="42" t="s">
        <v>143</v>
      </c>
      <c r="C11" s="42" t="s">
        <v>162</v>
      </c>
      <c r="D11" s="42" t="s">
        <v>163</v>
      </c>
      <c r="E11" s="38">
        <v>3603190.14</v>
      </c>
      <c r="F11" s="38">
        <v>49540.61</v>
      </c>
      <c r="G11" s="38">
        <v>26089.95</v>
      </c>
      <c r="H11" s="38">
        <f t="shared" si="0"/>
        <v>3626640.8</v>
      </c>
      <c r="I11" s="43" t="str">
        <f t="shared" si="1"/>
        <v>10-0 101.368</v>
      </c>
      <c r="J11" s="43" t="s">
        <v>151</v>
      </c>
      <c r="K11" s="43" t="s">
        <v>66</v>
      </c>
    </row>
    <row r="12" spans="1:12" outlineLevel="2" x14ac:dyDescent="0.2">
      <c r="A12" s="42" t="s">
        <v>64</v>
      </c>
      <c r="B12" s="42" t="s">
        <v>143</v>
      </c>
      <c r="C12" s="42" t="s">
        <v>164</v>
      </c>
      <c r="D12" s="42" t="s">
        <v>21</v>
      </c>
      <c r="E12" s="38">
        <v>2825002.25</v>
      </c>
      <c r="F12" s="38">
        <v>92271.61</v>
      </c>
      <c r="G12" s="38"/>
      <c r="H12" s="38">
        <f t="shared" si="0"/>
        <v>2917273.86</v>
      </c>
      <c r="I12" s="43" t="str">
        <f t="shared" si="1"/>
        <v>10-0 101.369</v>
      </c>
      <c r="J12" s="43" t="s">
        <v>151</v>
      </c>
      <c r="K12" s="43" t="s">
        <v>66</v>
      </c>
    </row>
    <row r="13" spans="1:12" outlineLevel="2" x14ac:dyDescent="0.2">
      <c r="A13" s="42" t="s">
        <v>157</v>
      </c>
      <c r="B13" s="42" t="s">
        <v>143</v>
      </c>
      <c r="C13" s="42" t="s">
        <v>164</v>
      </c>
      <c r="D13" s="42" t="s">
        <v>21</v>
      </c>
      <c r="E13" s="38">
        <v>7725.22</v>
      </c>
      <c r="F13" s="38">
        <v>1316505.49</v>
      </c>
      <c r="G13" s="38"/>
      <c r="H13" s="38">
        <f t="shared" si="0"/>
        <v>1324230.71</v>
      </c>
      <c r="I13" s="43" t="str">
        <f t="shared" si="1"/>
        <v>40-0 101.369</v>
      </c>
      <c r="J13" s="43" t="s">
        <v>151</v>
      </c>
      <c r="K13" s="43" t="s">
        <v>66</v>
      </c>
    </row>
    <row r="14" spans="1:12" outlineLevel="2" x14ac:dyDescent="0.2">
      <c r="A14" s="42" t="s">
        <v>165</v>
      </c>
      <c r="B14" s="42" t="s">
        <v>143</v>
      </c>
      <c r="C14" s="42" t="s">
        <v>166</v>
      </c>
      <c r="D14" s="42" t="s">
        <v>22</v>
      </c>
      <c r="E14" s="38">
        <v>824413.98</v>
      </c>
      <c r="F14" s="38">
        <v>70780.77</v>
      </c>
      <c r="G14" s="38">
        <v>45894.2</v>
      </c>
      <c r="H14" s="38">
        <f t="shared" si="0"/>
        <v>849300.55</v>
      </c>
      <c r="I14" s="43" t="str">
        <f t="shared" si="1"/>
        <v>15-0 101.370</v>
      </c>
      <c r="J14" s="43" t="s">
        <v>151</v>
      </c>
      <c r="K14" s="43" t="s">
        <v>66</v>
      </c>
    </row>
    <row r="15" spans="1:12" outlineLevel="2" x14ac:dyDescent="0.2">
      <c r="A15" s="42" t="s">
        <v>64</v>
      </c>
      <c r="B15" s="42" t="s">
        <v>143</v>
      </c>
      <c r="C15" s="42" t="s">
        <v>167</v>
      </c>
      <c r="D15" s="42" t="s">
        <v>168</v>
      </c>
      <c r="E15" s="38">
        <v>60476.85</v>
      </c>
      <c r="F15" s="38">
        <v>2541.3000000000002</v>
      </c>
      <c r="G15" s="38"/>
      <c r="H15" s="38">
        <f t="shared" si="0"/>
        <v>63018.15</v>
      </c>
      <c r="I15" s="43" t="str">
        <f t="shared" si="1"/>
        <v>10-0 101.371</v>
      </c>
      <c r="J15" s="43" t="s">
        <v>151</v>
      </c>
      <c r="K15" s="43" t="s">
        <v>66</v>
      </c>
    </row>
    <row r="16" spans="1:12" outlineLevel="2" x14ac:dyDescent="0.2">
      <c r="A16" s="42" t="s">
        <v>64</v>
      </c>
      <c r="B16" s="42" t="s">
        <v>143</v>
      </c>
      <c r="C16" s="42" t="s">
        <v>169</v>
      </c>
      <c r="D16" s="42" t="s">
        <v>170</v>
      </c>
      <c r="E16" s="38">
        <v>1597192.58</v>
      </c>
      <c r="F16" s="38"/>
      <c r="G16" s="38"/>
      <c r="H16" s="38">
        <f t="shared" si="0"/>
        <v>1597192.58</v>
      </c>
      <c r="I16" s="43" t="str">
        <f t="shared" si="1"/>
        <v>10-0 101.373</v>
      </c>
      <c r="J16" s="43" t="s">
        <v>151</v>
      </c>
      <c r="K16" s="43" t="s">
        <v>66</v>
      </c>
    </row>
    <row r="17" spans="1:11" outlineLevel="1" x14ac:dyDescent="0.2">
      <c r="A17" s="42"/>
      <c r="B17" s="42"/>
      <c r="C17" s="42"/>
      <c r="D17" s="42"/>
      <c r="E17" s="38">
        <f>SUBTOTAL(9,E4:E16)</f>
        <v>29866732.93</v>
      </c>
      <c r="F17" s="38">
        <f>SUBTOTAL(9,F4:F16)</f>
        <v>2360938.0799999996</v>
      </c>
      <c r="G17" s="38">
        <f>SUBTOTAL(9,G4:G16)</f>
        <v>87279.799999999988</v>
      </c>
      <c r="H17" s="38">
        <f>SUBTOTAL(9,H4:H16)</f>
        <v>32140391.210000001</v>
      </c>
      <c r="K17" s="44" t="s">
        <v>171</v>
      </c>
    </row>
    <row r="18" spans="1:11" outlineLevel="2" x14ac:dyDescent="0.2">
      <c r="A18" s="42" t="s">
        <v>64</v>
      </c>
      <c r="B18" s="42" t="s">
        <v>143</v>
      </c>
      <c r="C18" s="42" t="s">
        <v>172</v>
      </c>
      <c r="D18" s="42" t="s">
        <v>23</v>
      </c>
      <c r="E18" s="38">
        <v>69427.5</v>
      </c>
      <c r="F18" s="38"/>
      <c r="G18" s="38"/>
      <c r="H18" s="38">
        <f t="shared" ref="H18:H34" si="2">+E18+F18-G18</f>
        <v>69427.5</v>
      </c>
      <c r="I18" s="43" t="str">
        <f t="shared" ref="I18:I34" si="3">A18&amp;" "&amp;C18</f>
        <v>10-0 101.391</v>
      </c>
      <c r="J18" s="43" t="s">
        <v>151</v>
      </c>
      <c r="K18" s="43" t="s">
        <v>134</v>
      </c>
    </row>
    <row r="19" spans="1:11" outlineLevel="2" x14ac:dyDescent="0.2">
      <c r="A19" s="42" t="s">
        <v>165</v>
      </c>
      <c r="B19" s="42" t="s">
        <v>143</v>
      </c>
      <c r="C19" s="42" t="s">
        <v>172</v>
      </c>
      <c r="D19" s="42" t="s">
        <v>23</v>
      </c>
      <c r="E19" s="38">
        <v>2050.65</v>
      </c>
      <c r="F19" s="38"/>
      <c r="G19" s="38"/>
      <c r="H19" s="38">
        <f t="shared" si="2"/>
        <v>2050.65</v>
      </c>
      <c r="I19" s="43" t="str">
        <f t="shared" si="3"/>
        <v>15-0 101.391</v>
      </c>
      <c r="J19" s="43" t="s">
        <v>151</v>
      </c>
      <c r="K19" s="43" t="s">
        <v>134</v>
      </c>
    </row>
    <row r="20" spans="1:11" outlineLevel="2" x14ac:dyDescent="0.2">
      <c r="A20" s="42" t="s">
        <v>173</v>
      </c>
      <c r="B20" s="42" t="s">
        <v>143</v>
      </c>
      <c r="C20" s="42" t="s">
        <v>172</v>
      </c>
      <c r="D20" s="42" t="s">
        <v>23</v>
      </c>
      <c r="E20" s="38">
        <v>6723.97</v>
      </c>
      <c r="F20" s="38"/>
      <c r="G20" s="38"/>
      <c r="H20" s="38">
        <f t="shared" si="2"/>
        <v>6723.97</v>
      </c>
      <c r="I20" s="43" t="str">
        <f t="shared" si="3"/>
        <v>20-1 101.391</v>
      </c>
      <c r="J20" s="43" t="s">
        <v>151</v>
      </c>
      <c r="K20" s="43" t="s">
        <v>134</v>
      </c>
    </row>
    <row r="21" spans="1:11" outlineLevel="2" x14ac:dyDescent="0.2">
      <c r="A21" s="42" t="s">
        <v>174</v>
      </c>
      <c r="B21" s="42" t="s">
        <v>143</v>
      </c>
      <c r="C21" s="42" t="s">
        <v>172</v>
      </c>
      <c r="D21" s="42" t="s">
        <v>23</v>
      </c>
      <c r="E21" s="38">
        <v>4124.05</v>
      </c>
      <c r="F21" s="38"/>
      <c r="G21" s="38"/>
      <c r="H21" s="38">
        <f t="shared" si="2"/>
        <v>4124.05</v>
      </c>
      <c r="I21" s="43" t="str">
        <f t="shared" si="3"/>
        <v>25-0 101.391</v>
      </c>
      <c r="J21" s="43" t="s">
        <v>151</v>
      </c>
      <c r="K21" s="43" t="s">
        <v>134</v>
      </c>
    </row>
    <row r="22" spans="1:11" outlineLevel="2" x14ac:dyDescent="0.2">
      <c r="A22" s="42" t="s">
        <v>175</v>
      </c>
      <c r="B22" s="42" t="s">
        <v>143</v>
      </c>
      <c r="C22" s="42" t="s">
        <v>172</v>
      </c>
      <c r="D22" s="42" t="s">
        <v>23</v>
      </c>
      <c r="E22" s="38">
        <v>168040.59</v>
      </c>
      <c r="F22" s="38">
        <v>2197.9299999999998</v>
      </c>
      <c r="G22" s="38"/>
      <c r="H22" s="38">
        <f t="shared" si="2"/>
        <v>170238.52</v>
      </c>
      <c r="I22" s="43" t="str">
        <f t="shared" si="3"/>
        <v>30-0 101.391</v>
      </c>
      <c r="J22" s="43" t="s">
        <v>151</v>
      </c>
      <c r="K22" s="43" t="s">
        <v>134</v>
      </c>
    </row>
    <row r="23" spans="1:11" outlineLevel="2" x14ac:dyDescent="0.2">
      <c r="A23" s="42" t="s">
        <v>64</v>
      </c>
      <c r="B23" s="42" t="s">
        <v>143</v>
      </c>
      <c r="C23" s="42" t="s">
        <v>176</v>
      </c>
      <c r="D23" s="42" t="s">
        <v>24</v>
      </c>
      <c r="E23" s="38">
        <v>342737.77</v>
      </c>
      <c r="F23" s="38"/>
      <c r="G23" s="38">
        <v>37071.89</v>
      </c>
      <c r="H23" s="38">
        <f t="shared" si="2"/>
        <v>305665.88</v>
      </c>
      <c r="I23" s="43" t="str">
        <f t="shared" si="3"/>
        <v>10-0 101.392</v>
      </c>
      <c r="J23" s="43" t="s">
        <v>151</v>
      </c>
      <c r="K23" s="43" t="s">
        <v>134</v>
      </c>
    </row>
    <row r="24" spans="1:11" outlineLevel="2" x14ac:dyDescent="0.2">
      <c r="A24" s="42" t="s">
        <v>165</v>
      </c>
      <c r="B24" s="42" t="s">
        <v>143</v>
      </c>
      <c r="C24" s="42" t="s">
        <v>176</v>
      </c>
      <c r="D24" s="42" t="s">
        <v>24</v>
      </c>
      <c r="E24" s="38">
        <v>169621.18</v>
      </c>
      <c r="F24" s="38"/>
      <c r="G24" s="38"/>
      <c r="H24" s="38">
        <f t="shared" si="2"/>
        <v>169621.18</v>
      </c>
      <c r="I24" s="43" t="str">
        <f t="shared" si="3"/>
        <v>15-0 101.392</v>
      </c>
      <c r="J24" s="43" t="s">
        <v>151</v>
      </c>
      <c r="K24" s="43" t="s">
        <v>134</v>
      </c>
    </row>
    <row r="25" spans="1:11" outlineLevel="2" x14ac:dyDescent="0.2">
      <c r="A25" s="42" t="s">
        <v>173</v>
      </c>
      <c r="B25" s="42" t="s">
        <v>143</v>
      </c>
      <c r="C25" s="42" t="s">
        <v>176</v>
      </c>
      <c r="D25" s="42" t="s">
        <v>24</v>
      </c>
      <c r="E25" s="38">
        <v>71682.929999999993</v>
      </c>
      <c r="F25" s="38"/>
      <c r="G25" s="38"/>
      <c r="H25" s="38">
        <f t="shared" si="2"/>
        <v>71682.929999999993</v>
      </c>
      <c r="I25" s="43" t="str">
        <f t="shared" si="3"/>
        <v>20-1 101.392</v>
      </c>
      <c r="J25" s="43" t="s">
        <v>151</v>
      </c>
      <c r="K25" s="43" t="s">
        <v>134</v>
      </c>
    </row>
    <row r="26" spans="1:11" outlineLevel="2" x14ac:dyDescent="0.2">
      <c r="A26" s="42" t="s">
        <v>175</v>
      </c>
      <c r="B26" s="42" t="s">
        <v>143</v>
      </c>
      <c r="C26" s="42" t="s">
        <v>176</v>
      </c>
      <c r="D26" s="42" t="s">
        <v>24</v>
      </c>
      <c r="E26" s="38">
        <v>31783.75</v>
      </c>
      <c r="F26" s="38"/>
      <c r="G26" s="38"/>
      <c r="H26" s="38">
        <f t="shared" si="2"/>
        <v>31783.75</v>
      </c>
      <c r="I26" s="43" t="str">
        <f t="shared" si="3"/>
        <v>30-0 101.392</v>
      </c>
      <c r="J26" s="43" t="s">
        <v>151</v>
      </c>
      <c r="K26" s="43" t="s">
        <v>134</v>
      </c>
    </row>
    <row r="27" spans="1:11" outlineLevel="2" x14ac:dyDescent="0.2">
      <c r="A27" s="42" t="s">
        <v>64</v>
      </c>
      <c r="B27" s="42" t="s">
        <v>143</v>
      </c>
      <c r="C27" s="42" t="s">
        <v>177</v>
      </c>
      <c r="D27" s="42" t="s">
        <v>26</v>
      </c>
      <c r="E27" s="38">
        <v>35827.4</v>
      </c>
      <c r="F27" s="38"/>
      <c r="G27" s="38"/>
      <c r="H27" s="38">
        <f t="shared" si="2"/>
        <v>35827.4</v>
      </c>
      <c r="I27" s="43" t="str">
        <f t="shared" si="3"/>
        <v>10-0 101.393</v>
      </c>
      <c r="J27" s="43" t="s">
        <v>151</v>
      </c>
      <c r="K27" s="43" t="s">
        <v>134</v>
      </c>
    </row>
    <row r="28" spans="1:11" outlineLevel="2" x14ac:dyDescent="0.2">
      <c r="A28" s="42" t="s">
        <v>64</v>
      </c>
      <c r="B28" s="42" t="s">
        <v>143</v>
      </c>
      <c r="C28" s="42" t="s">
        <v>178</v>
      </c>
      <c r="D28" s="42" t="s">
        <v>25</v>
      </c>
      <c r="E28" s="38">
        <v>388415.7</v>
      </c>
      <c r="F28" s="38">
        <v>22854.92</v>
      </c>
      <c r="G28" s="38"/>
      <c r="H28" s="38">
        <f t="shared" si="2"/>
        <v>411270.62</v>
      </c>
      <c r="I28" s="43" t="str">
        <f t="shared" si="3"/>
        <v>10-0 101.394</v>
      </c>
      <c r="J28" s="43" t="s">
        <v>151</v>
      </c>
      <c r="K28" s="43" t="s">
        <v>134</v>
      </c>
    </row>
    <row r="29" spans="1:11" outlineLevel="2" x14ac:dyDescent="0.2">
      <c r="A29" s="42" t="s">
        <v>165</v>
      </c>
      <c r="B29" s="42" t="s">
        <v>143</v>
      </c>
      <c r="C29" s="42" t="s">
        <v>178</v>
      </c>
      <c r="D29" s="42" t="s">
        <v>25</v>
      </c>
      <c r="E29" s="38">
        <v>106579.96</v>
      </c>
      <c r="F29" s="38"/>
      <c r="G29" s="38"/>
      <c r="H29" s="38">
        <f t="shared" si="2"/>
        <v>106579.96</v>
      </c>
      <c r="I29" s="43" t="str">
        <f t="shared" si="3"/>
        <v>15-0 101.394</v>
      </c>
      <c r="J29" s="43" t="s">
        <v>151</v>
      </c>
      <c r="K29" s="43" t="s">
        <v>134</v>
      </c>
    </row>
    <row r="30" spans="1:11" outlineLevel="2" x14ac:dyDescent="0.2">
      <c r="A30" s="42" t="s">
        <v>173</v>
      </c>
      <c r="B30" s="42" t="s">
        <v>143</v>
      </c>
      <c r="C30" s="42" t="s">
        <v>178</v>
      </c>
      <c r="D30" s="42" t="s">
        <v>25</v>
      </c>
      <c r="E30" s="38">
        <v>52125.65</v>
      </c>
      <c r="F30" s="38"/>
      <c r="G30" s="38"/>
      <c r="H30" s="38">
        <f t="shared" si="2"/>
        <v>52125.65</v>
      </c>
      <c r="I30" s="43" t="str">
        <f t="shared" si="3"/>
        <v>20-1 101.394</v>
      </c>
      <c r="J30" s="43" t="s">
        <v>151</v>
      </c>
      <c r="K30" s="43" t="s">
        <v>134</v>
      </c>
    </row>
    <row r="31" spans="1:11" outlineLevel="2" x14ac:dyDescent="0.2">
      <c r="A31" s="42" t="s">
        <v>64</v>
      </c>
      <c r="B31" s="42" t="s">
        <v>143</v>
      </c>
      <c r="C31" s="42" t="s">
        <v>179</v>
      </c>
      <c r="D31" s="42" t="s">
        <v>27</v>
      </c>
      <c r="E31" s="38">
        <v>37878.300000000003</v>
      </c>
      <c r="F31" s="38"/>
      <c r="G31" s="38"/>
      <c r="H31" s="38">
        <f t="shared" si="2"/>
        <v>37878.300000000003</v>
      </c>
      <c r="I31" s="43" t="str">
        <f t="shared" si="3"/>
        <v>10-0 101.395</v>
      </c>
      <c r="J31" s="43" t="s">
        <v>151</v>
      </c>
      <c r="K31" s="43" t="s">
        <v>134</v>
      </c>
    </row>
    <row r="32" spans="1:11" outlineLevel="2" x14ac:dyDescent="0.2">
      <c r="A32" s="42" t="s">
        <v>64</v>
      </c>
      <c r="B32" s="42" t="s">
        <v>143</v>
      </c>
      <c r="C32" s="42" t="s">
        <v>180</v>
      </c>
      <c r="D32" s="42" t="s">
        <v>28</v>
      </c>
      <c r="E32" s="38">
        <v>1805131.01</v>
      </c>
      <c r="F32" s="38">
        <v>96138.8</v>
      </c>
      <c r="G32" s="38"/>
      <c r="H32" s="38">
        <f t="shared" si="2"/>
        <v>1901269.81</v>
      </c>
      <c r="I32" s="43" t="str">
        <f t="shared" si="3"/>
        <v>10-0 101.396</v>
      </c>
      <c r="J32" s="43" t="s">
        <v>151</v>
      </c>
      <c r="K32" s="43" t="s">
        <v>134</v>
      </c>
    </row>
    <row r="33" spans="1:11" outlineLevel="2" x14ac:dyDescent="0.2">
      <c r="A33" s="42" t="s">
        <v>64</v>
      </c>
      <c r="B33" s="42" t="s">
        <v>143</v>
      </c>
      <c r="C33" s="42" t="s">
        <v>181</v>
      </c>
      <c r="D33" s="42" t="s">
        <v>29</v>
      </c>
      <c r="E33" s="38">
        <v>352595.48</v>
      </c>
      <c r="F33" s="38">
        <v>13580.72</v>
      </c>
      <c r="G33" s="38"/>
      <c r="H33" s="38">
        <f t="shared" si="2"/>
        <v>366176.19999999995</v>
      </c>
      <c r="I33" s="43" t="str">
        <f t="shared" si="3"/>
        <v>10-0 101.397</v>
      </c>
      <c r="J33" s="43" t="s">
        <v>151</v>
      </c>
      <c r="K33" s="43" t="s">
        <v>134</v>
      </c>
    </row>
    <row r="34" spans="1:11" outlineLevel="2" x14ac:dyDescent="0.2">
      <c r="A34" s="42" t="s">
        <v>175</v>
      </c>
      <c r="B34" s="42" t="s">
        <v>143</v>
      </c>
      <c r="C34" s="42" t="s">
        <v>181</v>
      </c>
      <c r="D34" s="42" t="s">
        <v>29</v>
      </c>
      <c r="E34" s="38">
        <v>15124.2</v>
      </c>
      <c r="F34" s="38">
        <v>14326.51</v>
      </c>
      <c r="G34" s="38"/>
      <c r="H34" s="38">
        <f t="shared" si="2"/>
        <v>29450.71</v>
      </c>
      <c r="I34" s="43" t="str">
        <f t="shared" si="3"/>
        <v>30-0 101.397</v>
      </c>
      <c r="J34" s="43" t="s">
        <v>151</v>
      </c>
      <c r="K34" s="43" t="s">
        <v>134</v>
      </c>
    </row>
    <row r="35" spans="1:11" outlineLevel="1" x14ac:dyDescent="0.2">
      <c r="A35" s="42"/>
      <c r="B35" s="42"/>
      <c r="C35" s="42"/>
      <c r="D35" s="42"/>
      <c r="E35" s="38">
        <f>SUBTOTAL(9,E18:E34)</f>
        <v>3659870.0900000003</v>
      </c>
      <c r="F35" s="38">
        <f>SUBTOTAL(9,F18:F34)</f>
        <v>149098.88</v>
      </c>
      <c r="G35" s="38">
        <f>SUBTOTAL(9,G18:G34)</f>
        <v>37071.89</v>
      </c>
      <c r="H35" s="38">
        <f>SUBTOTAL(9,H18:H34)</f>
        <v>3771897.08</v>
      </c>
      <c r="K35" s="44" t="s">
        <v>182</v>
      </c>
    </row>
    <row r="36" spans="1:11" outlineLevel="2" x14ac:dyDescent="0.2">
      <c r="A36" s="42" t="s">
        <v>183</v>
      </c>
      <c r="B36" s="42" t="s">
        <v>143</v>
      </c>
      <c r="C36" s="42" t="s">
        <v>184</v>
      </c>
      <c r="D36" s="42" t="s">
        <v>13</v>
      </c>
      <c r="E36" s="38">
        <v>486032.13</v>
      </c>
      <c r="F36" s="38"/>
      <c r="G36" s="38"/>
      <c r="H36" s="38">
        <f>+E36+F36-G36</f>
        <v>486032.13</v>
      </c>
      <c r="I36" s="43" t="str">
        <f>A36&amp;" "&amp;C36</f>
        <v>20-2 101.333</v>
      </c>
      <c r="J36" s="43" t="s">
        <v>151</v>
      </c>
      <c r="K36" s="43" t="s">
        <v>185</v>
      </c>
    </row>
    <row r="37" spans="1:11" outlineLevel="1" x14ac:dyDescent="0.2">
      <c r="A37" s="42"/>
      <c r="B37" s="42"/>
      <c r="C37" s="42"/>
      <c r="D37" s="42"/>
      <c r="E37" s="38">
        <f>SUBTOTAL(9,E36:E36)</f>
        <v>486032.13</v>
      </c>
      <c r="F37" s="38">
        <f>SUBTOTAL(9,F36:F36)</f>
        <v>0</v>
      </c>
      <c r="G37" s="38">
        <f>SUBTOTAL(9,G36:G36)</f>
        <v>0</v>
      </c>
      <c r="H37" s="38">
        <f>SUBTOTAL(9,H36:H36)</f>
        <v>486032.13</v>
      </c>
      <c r="K37" s="44" t="s">
        <v>186</v>
      </c>
    </row>
    <row r="38" spans="1:11" outlineLevel="2" x14ac:dyDescent="0.2">
      <c r="A38" s="42" t="s">
        <v>64</v>
      </c>
      <c r="B38" s="42" t="s">
        <v>143</v>
      </c>
      <c r="C38" s="42" t="s">
        <v>187</v>
      </c>
      <c r="D38" s="42" t="s">
        <v>188</v>
      </c>
      <c r="E38" s="38">
        <v>213030</v>
      </c>
      <c r="F38" s="38"/>
      <c r="G38" s="38"/>
      <c r="H38" s="38">
        <f t="shared" ref="H38:H59" si="4">+E38+F38-G38</f>
        <v>213030</v>
      </c>
      <c r="I38" s="43" t="str">
        <f t="shared" ref="I38:I59" si="5">A38&amp;" "&amp;C38</f>
        <v>10-0 101.340</v>
      </c>
      <c r="J38" s="43" t="s">
        <v>151</v>
      </c>
      <c r="K38" s="43" t="s">
        <v>14</v>
      </c>
    </row>
    <row r="39" spans="1:11" outlineLevel="2" x14ac:dyDescent="0.2">
      <c r="A39" s="42" t="s">
        <v>173</v>
      </c>
      <c r="B39" s="42" t="s">
        <v>143</v>
      </c>
      <c r="C39" s="42" t="s">
        <v>187</v>
      </c>
      <c r="D39" s="42" t="s">
        <v>188</v>
      </c>
      <c r="E39" s="38">
        <v>41422.07</v>
      </c>
      <c r="F39" s="38"/>
      <c r="G39" s="38"/>
      <c r="H39" s="38">
        <f t="shared" si="4"/>
        <v>41422.07</v>
      </c>
      <c r="I39" s="43" t="str">
        <f t="shared" si="5"/>
        <v>20-1 101.340</v>
      </c>
      <c r="J39" s="43" t="s">
        <v>151</v>
      </c>
      <c r="K39" s="43" t="s">
        <v>14</v>
      </c>
    </row>
    <row r="40" spans="1:11" outlineLevel="2" x14ac:dyDescent="0.2">
      <c r="A40" s="42" t="s">
        <v>183</v>
      </c>
      <c r="B40" s="42" t="s">
        <v>143</v>
      </c>
      <c r="C40" s="42" t="s">
        <v>187</v>
      </c>
      <c r="D40" s="42" t="s">
        <v>188</v>
      </c>
      <c r="E40" s="38">
        <v>5000</v>
      </c>
      <c r="F40" s="38"/>
      <c r="G40" s="38"/>
      <c r="H40" s="38">
        <f t="shared" si="4"/>
        <v>5000</v>
      </c>
      <c r="I40" s="43" t="str">
        <f t="shared" si="5"/>
        <v>20-2 101.340</v>
      </c>
      <c r="J40" s="43" t="s">
        <v>151</v>
      </c>
      <c r="K40" s="43" t="s">
        <v>14</v>
      </c>
    </row>
    <row r="41" spans="1:11" outlineLevel="2" x14ac:dyDescent="0.2">
      <c r="A41" s="42" t="s">
        <v>189</v>
      </c>
      <c r="B41" s="42" t="s">
        <v>143</v>
      </c>
      <c r="C41" s="42" t="s">
        <v>187</v>
      </c>
      <c r="D41" s="42" t="s">
        <v>188</v>
      </c>
      <c r="E41" s="38">
        <v>4445</v>
      </c>
      <c r="F41" s="38"/>
      <c r="G41" s="38"/>
      <c r="H41" s="38">
        <f t="shared" si="4"/>
        <v>4445</v>
      </c>
      <c r="I41" s="43" t="str">
        <f t="shared" si="5"/>
        <v>20-3 101.340</v>
      </c>
      <c r="J41" s="43" t="s">
        <v>151</v>
      </c>
      <c r="K41" s="43" t="s">
        <v>14</v>
      </c>
    </row>
    <row r="42" spans="1:11" outlineLevel="2" x14ac:dyDescent="0.2">
      <c r="A42" s="42" t="s">
        <v>190</v>
      </c>
      <c r="B42" s="42" t="s">
        <v>143</v>
      </c>
      <c r="C42" s="42" t="s">
        <v>187</v>
      </c>
      <c r="D42" s="42" t="s">
        <v>188</v>
      </c>
      <c r="E42" s="38">
        <v>12150</v>
      </c>
      <c r="F42" s="38"/>
      <c r="G42" s="38"/>
      <c r="H42" s="38">
        <f t="shared" si="4"/>
        <v>12150</v>
      </c>
      <c r="I42" s="43" t="str">
        <f t="shared" si="5"/>
        <v>20-7 101.340</v>
      </c>
      <c r="J42" s="43" t="s">
        <v>151</v>
      </c>
      <c r="K42" s="43" t="s">
        <v>14</v>
      </c>
    </row>
    <row r="43" spans="1:11" outlineLevel="2" x14ac:dyDescent="0.2">
      <c r="A43" s="42" t="s">
        <v>175</v>
      </c>
      <c r="B43" s="42" t="s">
        <v>143</v>
      </c>
      <c r="C43" s="42" t="s">
        <v>187</v>
      </c>
      <c r="D43" s="42" t="s">
        <v>188</v>
      </c>
      <c r="E43" s="38">
        <v>57679.38</v>
      </c>
      <c r="F43" s="38"/>
      <c r="G43" s="38"/>
      <c r="H43" s="38">
        <f t="shared" si="4"/>
        <v>57679.38</v>
      </c>
      <c r="I43" s="43" t="str">
        <f t="shared" si="5"/>
        <v>30-0 101.340</v>
      </c>
      <c r="J43" s="43" t="s">
        <v>151</v>
      </c>
      <c r="K43" s="43" t="s">
        <v>14</v>
      </c>
    </row>
    <row r="44" spans="1:11" outlineLevel="2" x14ac:dyDescent="0.2">
      <c r="A44" s="42" t="s">
        <v>72</v>
      </c>
      <c r="B44" s="42" t="s">
        <v>143</v>
      </c>
      <c r="C44" s="42" t="s">
        <v>187</v>
      </c>
      <c r="D44" s="42" t="s">
        <v>188</v>
      </c>
      <c r="E44" s="38">
        <v>17897.47</v>
      </c>
      <c r="F44" s="38"/>
      <c r="G44" s="38"/>
      <c r="H44" s="38">
        <f t="shared" si="4"/>
        <v>17897.47</v>
      </c>
      <c r="I44" s="43" t="str">
        <f t="shared" si="5"/>
        <v>35-0 101.340</v>
      </c>
      <c r="J44" s="43" t="s">
        <v>151</v>
      </c>
      <c r="K44" s="43" t="s">
        <v>14</v>
      </c>
    </row>
    <row r="45" spans="1:11" outlineLevel="2" x14ac:dyDescent="0.2">
      <c r="A45" s="42" t="s">
        <v>64</v>
      </c>
      <c r="B45" s="42" t="s">
        <v>143</v>
      </c>
      <c r="C45" s="42" t="s">
        <v>191</v>
      </c>
      <c r="D45" s="42" t="s">
        <v>15</v>
      </c>
      <c r="E45" s="38">
        <v>819831.38</v>
      </c>
      <c r="F45" s="38">
        <v>2800.3</v>
      </c>
      <c r="G45" s="38"/>
      <c r="H45" s="38">
        <f t="shared" si="4"/>
        <v>822631.68</v>
      </c>
      <c r="I45" s="43" t="str">
        <f t="shared" si="5"/>
        <v>10-0 101.341</v>
      </c>
      <c r="J45" s="43" t="s">
        <v>151</v>
      </c>
      <c r="K45" s="43" t="s">
        <v>14</v>
      </c>
    </row>
    <row r="46" spans="1:11" outlineLevel="2" x14ac:dyDescent="0.2">
      <c r="A46" s="42" t="s">
        <v>173</v>
      </c>
      <c r="B46" s="42" t="s">
        <v>143</v>
      </c>
      <c r="C46" s="42" t="s">
        <v>191</v>
      </c>
      <c r="D46" s="42" t="s">
        <v>15</v>
      </c>
      <c r="E46" s="38">
        <v>1009888.45</v>
      </c>
      <c r="F46" s="38">
        <v>18145</v>
      </c>
      <c r="G46" s="38"/>
      <c r="H46" s="38">
        <f t="shared" si="4"/>
        <v>1028033.45</v>
      </c>
      <c r="I46" s="43" t="str">
        <f t="shared" si="5"/>
        <v>20-1 101.341</v>
      </c>
      <c r="J46" s="43" t="s">
        <v>151</v>
      </c>
      <c r="K46" s="43" t="s">
        <v>14</v>
      </c>
    </row>
    <row r="47" spans="1:11" outlineLevel="2" x14ac:dyDescent="0.2">
      <c r="A47" s="42" t="s">
        <v>190</v>
      </c>
      <c r="B47" s="42" t="s">
        <v>143</v>
      </c>
      <c r="C47" s="42" t="s">
        <v>191</v>
      </c>
      <c r="D47" s="42" t="s">
        <v>15</v>
      </c>
      <c r="E47" s="38">
        <v>439459.59</v>
      </c>
      <c r="F47" s="38">
        <v>5874.07</v>
      </c>
      <c r="G47" s="38"/>
      <c r="H47" s="38">
        <f t="shared" si="4"/>
        <v>445333.66000000003</v>
      </c>
      <c r="I47" s="43" t="str">
        <f t="shared" si="5"/>
        <v>20-7 101.341</v>
      </c>
      <c r="J47" s="43" t="s">
        <v>151</v>
      </c>
      <c r="K47" s="43" t="s">
        <v>14</v>
      </c>
    </row>
    <row r="48" spans="1:11" outlineLevel="2" x14ac:dyDescent="0.2">
      <c r="A48" s="42" t="s">
        <v>175</v>
      </c>
      <c r="B48" s="42" t="s">
        <v>143</v>
      </c>
      <c r="C48" s="42" t="s">
        <v>191</v>
      </c>
      <c r="D48" s="42" t="s">
        <v>15</v>
      </c>
      <c r="E48" s="38">
        <v>1936407.24</v>
      </c>
      <c r="F48" s="38">
        <v>1560.82</v>
      </c>
      <c r="G48" s="38"/>
      <c r="H48" s="38">
        <f t="shared" si="4"/>
        <v>1937968.06</v>
      </c>
      <c r="I48" s="43" t="str">
        <f t="shared" si="5"/>
        <v>30-0 101.341</v>
      </c>
      <c r="J48" s="43" t="s">
        <v>151</v>
      </c>
      <c r="K48" s="43" t="s">
        <v>14</v>
      </c>
    </row>
    <row r="49" spans="1:13" outlineLevel="2" x14ac:dyDescent="0.2">
      <c r="A49" s="42" t="s">
        <v>173</v>
      </c>
      <c r="B49" s="42" t="s">
        <v>143</v>
      </c>
      <c r="C49" s="42" t="s">
        <v>192</v>
      </c>
      <c r="D49" s="42" t="s">
        <v>193</v>
      </c>
      <c r="E49" s="38">
        <v>379530.12</v>
      </c>
      <c r="F49" s="38"/>
      <c r="G49" s="38"/>
      <c r="H49" s="38">
        <f t="shared" si="4"/>
        <v>379530.12</v>
      </c>
      <c r="I49" s="43" t="str">
        <f t="shared" si="5"/>
        <v>20-1 101.342</v>
      </c>
      <c r="J49" s="43" t="s">
        <v>151</v>
      </c>
      <c r="K49" s="43" t="s">
        <v>14</v>
      </c>
    </row>
    <row r="50" spans="1:13" outlineLevel="2" x14ac:dyDescent="0.2">
      <c r="A50" s="42" t="s">
        <v>190</v>
      </c>
      <c r="B50" s="42" t="s">
        <v>143</v>
      </c>
      <c r="C50" s="42" t="s">
        <v>192</v>
      </c>
      <c r="D50" s="42" t="s">
        <v>193</v>
      </c>
      <c r="E50" s="38">
        <v>71657.2</v>
      </c>
      <c r="F50" s="38"/>
      <c r="G50" s="38"/>
      <c r="H50" s="38">
        <f t="shared" si="4"/>
        <v>71657.2</v>
      </c>
      <c r="I50" s="43" t="str">
        <f t="shared" si="5"/>
        <v>20-7 101.342</v>
      </c>
      <c r="J50" s="43" t="s">
        <v>151</v>
      </c>
      <c r="K50" s="43" t="s">
        <v>14</v>
      </c>
    </row>
    <row r="51" spans="1:13" outlineLevel="2" x14ac:dyDescent="0.2">
      <c r="A51" s="42" t="s">
        <v>173</v>
      </c>
      <c r="B51" s="42" t="s">
        <v>143</v>
      </c>
      <c r="C51" s="42" t="s">
        <v>194</v>
      </c>
      <c r="D51" s="42" t="s">
        <v>195</v>
      </c>
      <c r="E51" s="38">
        <v>6555557.8099999996</v>
      </c>
      <c r="F51" s="38">
        <v>69074.47</v>
      </c>
      <c r="G51" s="38"/>
      <c r="H51" s="38">
        <f t="shared" si="4"/>
        <v>6624632.2799999993</v>
      </c>
      <c r="I51" s="43" t="str">
        <f t="shared" si="5"/>
        <v>20-1 101.344</v>
      </c>
      <c r="J51" s="43" t="s">
        <v>151</v>
      </c>
      <c r="K51" s="43" t="s">
        <v>14</v>
      </c>
    </row>
    <row r="52" spans="1:13" outlineLevel="2" x14ac:dyDescent="0.2">
      <c r="A52" s="42" t="s">
        <v>190</v>
      </c>
      <c r="B52" s="42" t="s">
        <v>143</v>
      </c>
      <c r="C52" s="42" t="s">
        <v>194</v>
      </c>
      <c r="D52" s="42" t="s">
        <v>195</v>
      </c>
      <c r="E52" s="38">
        <v>3011040.39</v>
      </c>
      <c r="F52" s="38"/>
      <c r="G52" s="38"/>
      <c r="H52" s="38">
        <f t="shared" si="4"/>
        <v>3011040.39</v>
      </c>
      <c r="I52" s="43" t="str">
        <f t="shared" si="5"/>
        <v>20-7 101.344</v>
      </c>
      <c r="J52" s="43" t="s">
        <v>151</v>
      </c>
      <c r="K52" s="43" t="s">
        <v>14</v>
      </c>
    </row>
    <row r="53" spans="1:13" outlineLevel="2" x14ac:dyDescent="0.2">
      <c r="A53" s="42" t="s">
        <v>173</v>
      </c>
      <c r="B53" s="42" t="s">
        <v>143</v>
      </c>
      <c r="C53" s="42" t="s">
        <v>196</v>
      </c>
      <c r="D53" s="42" t="s">
        <v>16</v>
      </c>
      <c r="E53" s="38">
        <v>1074452.83</v>
      </c>
      <c r="F53" s="38"/>
      <c r="G53" s="38"/>
      <c r="H53" s="38">
        <f t="shared" si="4"/>
        <v>1074452.83</v>
      </c>
      <c r="I53" s="43" t="str">
        <f t="shared" si="5"/>
        <v>20-1 101.345</v>
      </c>
      <c r="J53" s="43" t="s">
        <v>151</v>
      </c>
      <c r="K53" s="43" t="s">
        <v>14</v>
      </c>
    </row>
    <row r="54" spans="1:13" outlineLevel="2" x14ac:dyDescent="0.2">
      <c r="A54" s="42" t="s">
        <v>183</v>
      </c>
      <c r="B54" s="42" t="s">
        <v>143</v>
      </c>
      <c r="C54" s="42" t="s">
        <v>196</v>
      </c>
      <c r="D54" s="42" t="s">
        <v>16</v>
      </c>
      <c r="E54" s="38">
        <v>172503.81</v>
      </c>
      <c r="F54" s="38"/>
      <c r="G54" s="38"/>
      <c r="H54" s="38">
        <f t="shared" si="4"/>
        <v>172503.81</v>
      </c>
      <c r="I54" s="43" t="str">
        <f t="shared" si="5"/>
        <v>20-2 101.345</v>
      </c>
      <c r="J54" s="43" t="s">
        <v>151</v>
      </c>
      <c r="K54" s="43" t="s">
        <v>14</v>
      </c>
    </row>
    <row r="55" spans="1:13" outlineLevel="2" x14ac:dyDescent="0.2">
      <c r="A55" s="42" t="s">
        <v>190</v>
      </c>
      <c r="B55" s="42" t="s">
        <v>143</v>
      </c>
      <c r="C55" s="42" t="s">
        <v>196</v>
      </c>
      <c r="D55" s="42" t="s">
        <v>16</v>
      </c>
      <c r="E55" s="38">
        <v>633029.66</v>
      </c>
      <c r="F55" s="38">
        <v>3539.25</v>
      </c>
      <c r="G55" s="38"/>
      <c r="H55" s="38">
        <f t="shared" si="4"/>
        <v>636568.91</v>
      </c>
      <c r="I55" s="43" t="str">
        <f t="shared" si="5"/>
        <v>20-7 101.345</v>
      </c>
      <c r="J55" s="43" t="s">
        <v>151</v>
      </c>
      <c r="K55" s="43" t="s">
        <v>14</v>
      </c>
    </row>
    <row r="56" spans="1:13" outlineLevel="2" x14ac:dyDescent="0.2">
      <c r="A56" s="42" t="s">
        <v>173</v>
      </c>
      <c r="B56" s="42" t="s">
        <v>143</v>
      </c>
      <c r="C56" s="42" t="s">
        <v>197</v>
      </c>
      <c r="D56" s="42" t="s">
        <v>18</v>
      </c>
      <c r="E56" s="38">
        <v>60868.85</v>
      </c>
      <c r="F56" s="38">
        <v>34599.120000000003</v>
      </c>
      <c r="G56" s="38"/>
      <c r="H56" s="38">
        <f t="shared" si="4"/>
        <v>95467.97</v>
      </c>
      <c r="I56" s="43" t="str">
        <f t="shared" si="5"/>
        <v>20-1 101.346</v>
      </c>
      <c r="J56" s="43" t="s">
        <v>151</v>
      </c>
      <c r="K56" s="43" t="s">
        <v>14</v>
      </c>
    </row>
    <row r="57" spans="1:13" outlineLevel="2" x14ac:dyDescent="0.2">
      <c r="A57" s="42" t="s">
        <v>190</v>
      </c>
      <c r="B57" s="42" t="s">
        <v>143</v>
      </c>
      <c r="C57" s="42" t="s">
        <v>197</v>
      </c>
      <c r="D57" s="42" t="s">
        <v>18</v>
      </c>
      <c r="E57" s="38">
        <v>9773.39</v>
      </c>
      <c r="F57" s="38"/>
      <c r="G57" s="38"/>
      <c r="H57" s="38">
        <f t="shared" si="4"/>
        <v>9773.39</v>
      </c>
      <c r="I57" s="43" t="str">
        <f t="shared" si="5"/>
        <v>20-7 101.346</v>
      </c>
      <c r="J57" s="43" t="s">
        <v>151</v>
      </c>
      <c r="K57" s="43" t="s">
        <v>14</v>
      </c>
    </row>
    <row r="58" spans="1:13" outlineLevel="2" x14ac:dyDescent="0.2">
      <c r="A58" s="42" t="s">
        <v>175</v>
      </c>
      <c r="B58" s="42" t="s">
        <v>143</v>
      </c>
      <c r="C58" s="42" t="s">
        <v>197</v>
      </c>
      <c r="D58" s="42" t="s">
        <v>18</v>
      </c>
      <c r="E58" s="38">
        <v>96615.99</v>
      </c>
      <c r="F58" s="38"/>
      <c r="G58" s="38"/>
      <c r="H58" s="38">
        <f t="shared" si="4"/>
        <v>96615.99</v>
      </c>
      <c r="I58" s="43" t="str">
        <f t="shared" si="5"/>
        <v>30-0 101.346</v>
      </c>
      <c r="J58" s="43" t="s">
        <v>151</v>
      </c>
      <c r="K58" s="43" t="s">
        <v>14</v>
      </c>
    </row>
    <row r="59" spans="1:13" outlineLevel="2" x14ac:dyDescent="0.2">
      <c r="A59" s="42" t="s">
        <v>189</v>
      </c>
      <c r="B59" s="42" t="s">
        <v>143</v>
      </c>
      <c r="C59" s="42" t="s">
        <v>198</v>
      </c>
      <c r="D59" s="42" t="s">
        <v>17</v>
      </c>
      <c r="E59" s="38">
        <v>4598484.07</v>
      </c>
      <c r="F59" s="38"/>
      <c r="G59" s="38"/>
      <c r="H59" s="38">
        <f t="shared" si="4"/>
        <v>4598484.07</v>
      </c>
      <c r="I59" s="43" t="str">
        <f t="shared" si="5"/>
        <v>20-3 101.347</v>
      </c>
      <c r="J59" s="43" t="s">
        <v>151</v>
      </c>
      <c r="K59" s="43" t="s">
        <v>14</v>
      </c>
    </row>
    <row r="60" spans="1:13" outlineLevel="1" x14ac:dyDescent="0.2">
      <c r="A60" s="42"/>
      <c r="B60" s="42"/>
      <c r="C60" s="42"/>
      <c r="D60" s="42"/>
      <c r="E60" s="38">
        <f>SUBTOTAL(9,E38:E59)</f>
        <v>21220724.700000003</v>
      </c>
      <c r="F60" s="38">
        <f>SUBTOTAL(9,F38:F59)</f>
        <v>135593.03</v>
      </c>
      <c r="G60" s="38">
        <f>SUBTOTAL(9,G38:G59)</f>
        <v>0</v>
      </c>
      <c r="H60" s="38">
        <f>SUBTOTAL(9,H38:H59)</f>
        <v>21356317.730000004</v>
      </c>
      <c r="K60" s="44" t="s">
        <v>199</v>
      </c>
    </row>
    <row r="61" spans="1:13" outlineLevel="2" x14ac:dyDescent="0.2">
      <c r="A61" s="42" t="s">
        <v>67</v>
      </c>
      <c r="B61" s="42" t="s">
        <v>143</v>
      </c>
      <c r="C61" s="42" t="s">
        <v>200</v>
      </c>
      <c r="D61" s="42" t="s">
        <v>201</v>
      </c>
      <c r="E61" s="38">
        <v>9680778</v>
      </c>
      <c r="F61" s="38">
        <v>495180.79</v>
      </c>
      <c r="G61" s="38">
        <v>3279.5</v>
      </c>
      <c r="H61" s="38">
        <f>+E61+F61-G61</f>
        <v>10172679.289999999</v>
      </c>
      <c r="I61" s="43" t="str">
        <f>A61&amp;" "&amp;C61</f>
        <v>20-5 102.00</v>
      </c>
      <c r="J61" s="43" t="s">
        <v>151</v>
      </c>
      <c r="K61" s="43" t="s">
        <v>12</v>
      </c>
    </row>
    <row r="62" spans="1:13" outlineLevel="2" x14ac:dyDescent="0.2">
      <c r="A62" s="42" t="s">
        <v>70</v>
      </c>
      <c r="B62" s="42" t="s">
        <v>143</v>
      </c>
      <c r="C62" s="42" t="s">
        <v>202</v>
      </c>
      <c r="D62" s="42" t="s">
        <v>203</v>
      </c>
      <c r="E62" s="38">
        <v>4720788</v>
      </c>
      <c r="F62" s="38">
        <v>45277.59</v>
      </c>
      <c r="G62" s="38">
        <v>7532.72</v>
      </c>
      <c r="H62" s="38">
        <f>+E62+F62-G62</f>
        <v>4758532.87</v>
      </c>
      <c r="I62" s="43" t="str">
        <f>A62&amp;" "&amp;C62</f>
        <v>20-8 102.01</v>
      </c>
      <c r="J62" s="43" t="s">
        <v>151</v>
      </c>
      <c r="K62" s="43" t="s">
        <v>12</v>
      </c>
      <c r="M62" s="38"/>
    </row>
    <row r="63" spans="1:13" outlineLevel="1" x14ac:dyDescent="0.2">
      <c r="A63" s="42"/>
      <c r="B63" s="42"/>
      <c r="C63" s="42"/>
      <c r="D63" s="42"/>
      <c r="E63" s="38">
        <f>SUBTOTAL(9,E61:E62)</f>
        <v>14401566</v>
      </c>
      <c r="F63" s="38">
        <f>SUBTOTAL(9,F61:F62)</f>
        <v>540458.38</v>
      </c>
      <c r="G63" s="38">
        <f>SUBTOTAL(9,G61:G62)</f>
        <v>10812.220000000001</v>
      </c>
      <c r="H63" s="38">
        <f>SUBTOTAL(9,H61:H62)</f>
        <v>14931212.16</v>
      </c>
      <c r="K63" s="44" t="s">
        <v>204</v>
      </c>
      <c r="M63" s="38"/>
    </row>
    <row r="64" spans="1:13" outlineLevel="2" x14ac:dyDescent="0.2">
      <c r="A64" s="42" t="s">
        <v>72</v>
      </c>
      <c r="B64" s="42" t="s">
        <v>143</v>
      </c>
      <c r="C64" s="42" t="s">
        <v>205</v>
      </c>
      <c r="D64" s="42" t="s">
        <v>206</v>
      </c>
      <c r="E64" s="38">
        <v>2556580.36</v>
      </c>
      <c r="F64" s="38"/>
      <c r="G64" s="38"/>
      <c r="H64" s="38">
        <f t="shared" ref="H64:H69" si="6">+E64+F64-G64</f>
        <v>2556580.36</v>
      </c>
      <c r="I64" s="43" t="str">
        <f t="shared" ref="I64:I69" si="7">A64&amp;" "&amp;C64</f>
        <v>35-0 101.355</v>
      </c>
      <c r="J64" s="43" t="s">
        <v>151</v>
      </c>
      <c r="K64" s="43" t="s">
        <v>19</v>
      </c>
      <c r="M64" s="45"/>
    </row>
    <row r="65" spans="1:13" outlineLevel="2" x14ac:dyDescent="0.2">
      <c r="A65" s="42" t="s">
        <v>72</v>
      </c>
      <c r="B65" s="42" t="s">
        <v>143</v>
      </c>
      <c r="C65" s="42" t="s">
        <v>207</v>
      </c>
      <c r="D65" s="42" t="s">
        <v>208</v>
      </c>
      <c r="E65" s="38">
        <v>333827.17</v>
      </c>
      <c r="F65" s="38"/>
      <c r="G65" s="38"/>
      <c r="H65" s="38">
        <f t="shared" si="6"/>
        <v>333827.17</v>
      </c>
      <c r="I65" s="43" t="str">
        <f t="shared" si="7"/>
        <v>35-0 101.356</v>
      </c>
      <c r="J65" s="43" t="s">
        <v>151</v>
      </c>
      <c r="K65" s="43" t="s">
        <v>19</v>
      </c>
    </row>
    <row r="66" spans="1:13" outlineLevel="2" x14ac:dyDescent="0.2">
      <c r="A66" s="42" t="s">
        <v>72</v>
      </c>
      <c r="B66" s="42" t="s">
        <v>143</v>
      </c>
      <c r="C66" s="42" t="s">
        <v>152</v>
      </c>
      <c r="D66" s="42" t="s">
        <v>20</v>
      </c>
      <c r="E66" s="38">
        <v>4399</v>
      </c>
      <c r="F66" s="38">
        <v>18194.28</v>
      </c>
      <c r="G66" s="38"/>
      <c r="H66" s="38">
        <f t="shared" si="6"/>
        <v>22593.279999999999</v>
      </c>
      <c r="I66" s="43" t="str">
        <f t="shared" si="7"/>
        <v>35-0 101.362</v>
      </c>
      <c r="J66" s="43" t="s">
        <v>151</v>
      </c>
      <c r="K66" s="43" t="s">
        <v>19</v>
      </c>
      <c r="M66" s="45"/>
    </row>
    <row r="67" spans="1:13" outlineLevel="2" x14ac:dyDescent="0.2">
      <c r="A67" s="42" t="s">
        <v>72</v>
      </c>
      <c r="B67" s="42" t="s">
        <v>143</v>
      </c>
      <c r="C67" s="42" t="s">
        <v>155</v>
      </c>
      <c r="D67" s="42" t="s">
        <v>156</v>
      </c>
      <c r="E67" s="38">
        <v>480168.63</v>
      </c>
      <c r="F67" s="38"/>
      <c r="G67" s="38">
        <v>35277.230000000003</v>
      </c>
      <c r="H67" s="38">
        <f t="shared" si="6"/>
        <v>444891.4</v>
      </c>
      <c r="I67" s="43" t="str">
        <f t="shared" si="7"/>
        <v>35-0 101.365</v>
      </c>
      <c r="J67" s="43" t="s">
        <v>151</v>
      </c>
      <c r="K67" s="43" t="s">
        <v>19</v>
      </c>
    </row>
    <row r="68" spans="1:13" outlineLevel="2" x14ac:dyDescent="0.2">
      <c r="A68" s="42" t="s">
        <v>67</v>
      </c>
      <c r="B68" s="42" t="s">
        <v>143</v>
      </c>
      <c r="C68" s="42" t="s">
        <v>200</v>
      </c>
      <c r="D68" s="42" t="s">
        <v>209</v>
      </c>
      <c r="E68" s="38">
        <v>702614</v>
      </c>
      <c r="F68" s="38">
        <v>16148.12</v>
      </c>
      <c r="G68" s="38"/>
      <c r="H68" s="38">
        <f t="shared" si="6"/>
        <v>718762.12</v>
      </c>
      <c r="I68" s="43" t="str">
        <f t="shared" si="7"/>
        <v>20-5 102.00</v>
      </c>
      <c r="J68" s="43" t="s">
        <v>151</v>
      </c>
      <c r="K68" s="43" t="s">
        <v>19</v>
      </c>
    </row>
    <row r="69" spans="1:13" outlineLevel="2" x14ac:dyDescent="0.2">
      <c r="A69" s="42" t="s">
        <v>70</v>
      </c>
      <c r="B69" s="42" t="s">
        <v>143</v>
      </c>
      <c r="C69" s="42" t="s">
        <v>202</v>
      </c>
      <c r="D69" s="42" t="s">
        <v>210</v>
      </c>
      <c r="E69" s="38">
        <v>682048</v>
      </c>
      <c r="F69" s="38">
        <v>21031.53</v>
      </c>
      <c r="G69" s="38"/>
      <c r="H69" s="38">
        <f t="shared" si="6"/>
        <v>703079.53</v>
      </c>
      <c r="I69" s="43" t="str">
        <f t="shared" si="7"/>
        <v>20-8 102.01</v>
      </c>
      <c r="J69" s="43" t="s">
        <v>151</v>
      </c>
      <c r="K69" s="43" t="s">
        <v>19</v>
      </c>
    </row>
    <row r="70" spans="1:13" outlineLevel="1" x14ac:dyDescent="0.2">
      <c r="A70" s="42"/>
      <c r="B70" s="42"/>
      <c r="C70" s="42"/>
      <c r="D70" s="42"/>
      <c r="E70" s="38">
        <f>SUBTOTAL(9,E64:E69)</f>
        <v>4759637.16</v>
      </c>
      <c r="F70" s="38">
        <f>SUBTOTAL(9,F64:F69)</f>
        <v>55373.93</v>
      </c>
      <c r="G70" s="38">
        <f>SUBTOTAL(9,G64:G69)</f>
        <v>35277.230000000003</v>
      </c>
      <c r="H70" s="38">
        <f>SUBTOTAL(9,H64:H69)</f>
        <v>4779733.8599999994</v>
      </c>
      <c r="K70" s="44" t="s">
        <v>211</v>
      </c>
    </row>
    <row r="71" spans="1:13" x14ac:dyDescent="0.2">
      <c r="A71" s="42"/>
      <c r="B71" s="42"/>
      <c r="C71" s="42"/>
      <c r="D71" s="42"/>
      <c r="E71" s="38">
        <f>SUBTOTAL(9,E2:E69)</f>
        <v>75628498.530000016</v>
      </c>
      <c r="F71" s="38">
        <f>SUBTOTAL(9,F2:F69)</f>
        <v>3241462.2999999989</v>
      </c>
      <c r="G71" s="38">
        <f>SUBTOTAL(9,G2:G69)</f>
        <v>747907.85999999987</v>
      </c>
      <c r="H71" s="38">
        <f>SUBTOTAL(9,H2:H69)</f>
        <v>78122052.970000029</v>
      </c>
      <c r="K71" s="44" t="s">
        <v>212</v>
      </c>
    </row>
    <row r="72" spans="1:13" x14ac:dyDescent="0.2">
      <c r="H72" s="45"/>
    </row>
    <row r="79" spans="1:13" x14ac:dyDescent="0.2">
      <c r="A79" s="42"/>
      <c r="B79" s="42"/>
      <c r="C79" s="42"/>
      <c r="D79" s="42"/>
      <c r="E79" s="38"/>
      <c r="F79" s="38"/>
      <c r="G79" s="38"/>
      <c r="H79" s="38"/>
      <c r="L79" s="38"/>
    </row>
    <row r="82" spans="1:13" x14ac:dyDescent="0.2">
      <c r="A82" s="42"/>
      <c r="B82" s="42"/>
      <c r="C82" s="42"/>
      <c r="D82" s="42"/>
      <c r="E82" s="38"/>
      <c r="F82" s="38"/>
      <c r="G82" s="38"/>
      <c r="H82" s="38"/>
      <c r="M82" s="38"/>
    </row>
    <row r="83" spans="1:13" x14ac:dyDescent="0.2">
      <c r="A83" s="42"/>
      <c r="B83" s="42"/>
      <c r="C83" s="42"/>
      <c r="D83" s="42"/>
      <c r="E83" s="38"/>
      <c r="F83" s="38"/>
      <c r="G83" s="38"/>
      <c r="H83" s="38"/>
      <c r="M83" s="45"/>
    </row>
    <row r="84" spans="1:13" x14ac:dyDescent="0.2">
      <c r="A84" s="42"/>
      <c r="B84" s="42"/>
      <c r="C84" s="42"/>
      <c r="D84" s="42"/>
      <c r="E84" s="38"/>
      <c r="F84" s="38"/>
      <c r="G84" s="38"/>
      <c r="H84" s="38"/>
    </row>
    <row r="85" spans="1:13" x14ac:dyDescent="0.2">
      <c r="A85" s="42"/>
      <c r="B85" s="42"/>
      <c r="C85" s="42"/>
      <c r="D85" s="42"/>
      <c r="E85" s="38"/>
      <c r="F85" s="38"/>
      <c r="G85" s="38"/>
      <c r="H85" s="38"/>
      <c r="M85" s="45"/>
    </row>
  </sheetData>
  <autoFilter ref="A1:L69" xr:uid="{0D59480C-CC40-4969-9046-7BBD718DB4F4}">
    <sortState ref="A2:L69">
      <sortCondition ref="K2:K69"/>
      <sortCondition ref="C2:C69"/>
      <sortCondition ref="A2:A69"/>
    </sortState>
  </autoFilter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5069B-41E1-4256-860F-87ECD04CD4D6}">
  <sheetPr>
    <tabColor rgb="FF92D050"/>
    <pageSetUpPr fitToPage="1"/>
  </sheetPr>
  <dimension ref="A1:J21"/>
  <sheetViews>
    <sheetView tabSelected="1" workbookViewId="0">
      <selection activeCell="H13" sqref="H13"/>
    </sheetView>
  </sheetViews>
  <sheetFormatPr defaultRowHeight="15" x14ac:dyDescent="0.25"/>
  <cols>
    <col min="1" max="1" width="17.42578125" customWidth="1"/>
    <col min="2" max="2" width="16.28515625" hidden="1" customWidth="1"/>
    <col min="3" max="3" width="13.140625" hidden="1" customWidth="1"/>
    <col min="4" max="4" width="13.42578125" hidden="1" customWidth="1"/>
    <col min="5" max="5" width="13.140625" hidden="1" customWidth="1"/>
    <col min="6" max="6" width="11.5703125" bestFit="1" customWidth="1"/>
    <col min="7" max="8" width="12.42578125" bestFit="1" customWidth="1"/>
    <col min="9" max="9" width="12" bestFit="1" customWidth="1"/>
    <col min="10" max="10" width="11.5703125" bestFit="1" customWidth="1"/>
  </cols>
  <sheetData>
    <row r="1" spans="1:10" x14ac:dyDescent="0.25">
      <c r="A1" t="s">
        <v>0</v>
      </c>
    </row>
    <row r="2" spans="1:10" x14ac:dyDescent="0.25">
      <c r="A2" t="s">
        <v>128</v>
      </c>
    </row>
    <row r="3" spans="1:10" x14ac:dyDescent="0.25">
      <c r="A3" s="29" t="s">
        <v>119</v>
      </c>
    </row>
    <row r="5" spans="1:10" x14ac:dyDescent="0.25">
      <c r="B5" s="24">
        <v>2015</v>
      </c>
      <c r="C5" s="24"/>
      <c r="D5" s="24">
        <f>+C6</f>
        <v>2016</v>
      </c>
      <c r="E5" s="24"/>
      <c r="F5" s="24">
        <f>+E6</f>
        <v>2016</v>
      </c>
      <c r="G5" s="24"/>
      <c r="H5" s="24">
        <f>+G6</f>
        <v>2017</v>
      </c>
      <c r="I5" s="24"/>
      <c r="J5" s="24">
        <f>+I6</f>
        <v>2017</v>
      </c>
    </row>
    <row r="6" spans="1:10" x14ac:dyDescent="0.25">
      <c r="B6" s="24" t="s">
        <v>129</v>
      </c>
      <c r="C6" s="24">
        <v>2016</v>
      </c>
      <c r="D6" s="24" t="s">
        <v>130</v>
      </c>
      <c r="E6" s="24">
        <f>+D5</f>
        <v>2016</v>
      </c>
      <c r="F6" s="24" t="s">
        <v>129</v>
      </c>
      <c r="G6" s="24">
        <v>2017</v>
      </c>
      <c r="H6" s="24" t="s">
        <v>130</v>
      </c>
      <c r="I6" s="24">
        <f>+H5</f>
        <v>2017</v>
      </c>
      <c r="J6" s="24" t="s">
        <v>129</v>
      </c>
    </row>
    <row r="7" spans="1:10" x14ac:dyDescent="0.25">
      <c r="B7" s="26" t="s">
        <v>131</v>
      </c>
      <c r="C7" s="26" t="s">
        <v>130</v>
      </c>
      <c r="D7" s="26" t="s">
        <v>132</v>
      </c>
      <c r="E7" s="26" t="s">
        <v>133</v>
      </c>
      <c r="F7" s="26" t="s">
        <v>131</v>
      </c>
      <c r="G7" s="26" t="s">
        <v>130</v>
      </c>
      <c r="H7" s="26" t="s">
        <v>132</v>
      </c>
      <c r="I7" s="26" t="s">
        <v>133</v>
      </c>
      <c r="J7" s="26" t="s">
        <v>131</v>
      </c>
    </row>
    <row r="9" spans="1:10" x14ac:dyDescent="0.25">
      <c r="A9" t="s">
        <v>69</v>
      </c>
      <c r="B9" s="3">
        <v>17520309.699999999</v>
      </c>
      <c r="C9" s="3">
        <f>191183.99+10023.3+208210.86+265007.86+162445.3+134184.08-19220</f>
        <v>951835.39</v>
      </c>
      <c r="D9" s="3"/>
      <c r="E9" s="3">
        <f>-1861.2-555.85-216.62-2658.46-1465.02-11128.86-2967.25-167.72</f>
        <v>-21020.980000000003</v>
      </c>
      <c r="F9" s="3">
        <f>SUM(B9:E9)</f>
        <v>18451124.109999999</v>
      </c>
      <c r="G9" s="3">
        <v>981717</v>
      </c>
      <c r="H9" s="3"/>
      <c r="I9" s="3">
        <v>-6052</v>
      </c>
      <c r="J9" s="3">
        <f>SUM(F9:I9)</f>
        <v>19426789.109999999</v>
      </c>
    </row>
    <row r="10" spans="1:10" x14ac:dyDescent="0.25"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t="s">
        <v>19</v>
      </c>
      <c r="B11" s="3">
        <v>2207264.3199999998</v>
      </c>
      <c r="C11" s="3">
        <f>116333.82+19220</f>
        <v>135553.82</v>
      </c>
      <c r="D11" s="3"/>
      <c r="E11" s="3">
        <v>0</v>
      </c>
      <c r="F11" s="3">
        <f>SUM(B11:E11)</f>
        <v>2342818.1399999997</v>
      </c>
      <c r="G11" s="3">
        <v>124201.05</v>
      </c>
      <c r="H11" s="3"/>
      <c r="I11" s="3">
        <v>-35791</v>
      </c>
      <c r="J11" s="3">
        <f>SUM(F11:I11)</f>
        <v>2431228.1899999995</v>
      </c>
    </row>
    <row r="12" spans="1:10" x14ac:dyDescent="0.25">
      <c r="B12" s="3"/>
      <c r="D12" s="3"/>
      <c r="E12" s="3"/>
      <c r="F12" s="3"/>
      <c r="H12" s="3"/>
      <c r="I12" s="3"/>
      <c r="J12" s="3"/>
    </row>
    <row r="13" spans="1:10" x14ac:dyDescent="0.25">
      <c r="A13" t="s">
        <v>66</v>
      </c>
      <c r="B13" s="3">
        <v>12052607.949999999</v>
      </c>
      <c r="C13" s="3">
        <f>800814.02+38542.54+92813.77</f>
        <v>932170.33000000007</v>
      </c>
      <c r="D13" s="3">
        <v>118633</v>
      </c>
      <c r="E13" s="3">
        <f>-7353.83-15599.9-28016-1548.75</f>
        <v>-52518.479999999996</v>
      </c>
      <c r="F13" s="3">
        <f>SUM(B13:E13)</f>
        <v>13050892.799999999</v>
      </c>
      <c r="G13" s="3">
        <f>1075534-221112</f>
        <v>854422</v>
      </c>
      <c r="H13" s="3">
        <f>105063+221112</f>
        <v>326175</v>
      </c>
      <c r="I13" s="3">
        <f>-99644-1540</f>
        <v>-101184</v>
      </c>
      <c r="J13" s="3">
        <f>SUM(F13:I13)</f>
        <v>14130305.799999999</v>
      </c>
    </row>
    <row r="14" spans="1:10" x14ac:dyDescent="0.25"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t="s">
        <v>134</v>
      </c>
      <c r="B15" s="4">
        <v>1914970.47</v>
      </c>
      <c r="C15" s="4">
        <f>5026.08+75542.24</f>
        <v>80568.320000000007</v>
      </c>
      <c r="D15" s="4"/>
      <c r="E15" s="4">
        <f>-10988.49-19357.77-150438.81</f>
        <v>-180785.07</v>
      </c>
      <c r="F15" s="4">
        <f>SUM(B15:E15)</f>
        <v>1814753.72</v>
      </c>
      <c r="G15" s="4">
        <v>70559</v>
      </c>
      <c r="H15" s="4"/>
      <c r="I15" s="4"/>
      <c r="J15" s="4">
        <f>SUM(F15:I15)</f>
        <v>1885312.72</v>
      </c>
    </row>
    <row r="16" spans="1:10" x14ac:dyDescent="0.25">
      <c r="B16" s="3"/>
      <c r="C16" s="3"/>
      <c r="D16" s="3"/>
      <c r="E16" s="3"/>
      <c r="F16" s="3"/>
      <c r="G16" s="3"/>
      <c r="H16" s="3"/>
      <c r="I16" s="3"/>
      <c r="J16" s="3"/>
    </row>
    <row r="17" spans="1:10" ht="15.75" thickBot="1" x14ac:dyDescent="0.3">
      <c r="A17" t="s">
        <v>4</v>
      </c>
      <c r="B17" s="5">
        <f t="shared" ref="B17:I17" si="0">SUM(B9:B15)</f>
        <v>33695152.439999998</v>
      </c>
      <c r="C17" s="5">
        <f t="shared" si="0"/>
        <v>2100127.86</v>
      </c>
      <c r="D17" s="5">
        <f t="shared" si="0"/>
        <v>118633</v>
      </c>
      <c r="E17" s="5">
        <f t="shared" si="0"/>
        <v>-254324.53</v>
      </c>
      <c r="F17" s="5">
        <f t="shared" si="0"/>
        <v>35659588.769999996</v>
      </c>
      <c r="G17" s="5">
        <f t="shared" si="0"/>
        <v>2030899.05</v>
      </c>
      <c r="H17" s="5">
        <f t="shared" si="0"/>
        <v>326175</v>
      </c>
      <c r="I17" s="5">
        <f t="shared" si="0"/>
        <v>-143027</v>
      </c>
      <c r="J17" s="5">
        <f>SUM(J9:J15)</f>
        <v>37873635.819999993</v>
      </c>
    </row>
    <row r="18" spans="1:10" ht="15.75" thickTop="1" x14ac:dyDescent="0.25"/>
    <row r="19" spans="1:10" x14ac:dyDescent="0.25">
      <c r="J19" s="3">
        <v>37873636</v>
      </c>
    </row>
    <row r="20" spans="1:10" x14ac:dyDescent="0.25">
      <c r="J20" s="12">
        <f>+J19-J17</f>
        <v>0.18000000715255737</v>
      </c>
    </row>
    <row r="21" spans="1:10" x14ac:dyDescent="0.25">
      <c r="F21" s="12"/>
    </row>
  </sheetData>
  <pageMargins left="0.7" right="0.7" top="0.75" bottom="0.75" header="0.3" footer="0.3"/>
  <pageSetup orientation="portrait" horizontalDpi="4294967295" verticalDpi="4294967295" r:id="rId1"/>
  <headerFooter>
    <oddFooter>&amp;L&amp;8&amp;Z&amp;F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D7B0E-162F-486A-A76D-95B5EE6195A8}">
  <sheetPr>
    <tabColor rgb="FF92D050"/>
    <pageSetUpPr fitToPage="1"/>
  </sheetPr>
  <dimension ref="A1:F22"/>
  <sheetViews>
    <sheetView workbookViewId="0">
      <selection activeCell="A3" sqref="A3:B3"/>
    </sheetView>
  </sheetViews>
  <sheetFormatPr defaultRowHeight="15" x14ac:dyDescent="0.25"/>
  <cols>
    <col min="1" max="1" width="10.5703125" customWidth="1"/>
    <col min="3" max="3" width="16.42578125" customWidth="1"/>
    <col min="4" max="4" width="35.140625" customWidth="1"/>
    <col min="5" max="5" width="11.5703125" bestFit="1" customWidth="1"/>
    <col min="6" max="6" width="17" customWidth="1"/>
  </cols>
  <sheetData>
    <row r="1" spans="1:6" x14ac:dyDescent="0.25">
      <c r="A1" s="1" t="s">
        <v>0</v>
      </c>
    </row>
    <row r="2" spans="1:6" x14ac:dyDescent="0.25">
      <c r="A2" s="1" t="s">
        <v>84</v>
      </c>
    </row>
    <row r="3" spans="1:6" x14ac:dyDescent="0.25">
      <c r="A3" s="46">
        <v>43100</v>
      </c>
      <c r="B3" s="46"/>
    </row>
    <row r="4" spans="1:6" x14ac:dyDescent="0.25">
      <c r="A4" s="2"/>
    </row>
    <row r="5" spans="1:6" x14ac:dyDescent="0.25">
      <c r="A5" s="2"/>
    </row>
    <row r="6" spans="1:6" s="24" customFormat="1" x14ac:dyDescent="0.25">
      <c r="A6" s="26" t="s">
        <v>60</v>
      </c>
      <c r="B6" s="26" t="s">
        <v>61</v>
      </c>
      <c r="C6" s="26" t="s">
        <v>62</v>
      </c>
      <c r="D6" s="26" t="s">
        <v>122</v>
      </c>
      <c r="E6" s="26" t="s">
        <v>63</v>
      </c>
      <c r="F6" s="26" t="s">
        <v>126</v>
      </c>
    </row>
    <row r="7" spans="1:6" x14ac:dyDescent="0.25">
      <c r="A7" s="19" t="s">
        <v>64</v>
      </c>
      <c r="B7" s="20">
        <v>409</v>
      </c>
      <c r="C7" t="s">
        <v>65</v>
      </c>
      <c r="D7" t="s">
        <v>66</v>
      </c>
      <c r="E7" s="15">
        <v>0</v>
      </c>
      <c r="F7" t="s">
        <v>66</v>
      </c>
    </row>
    <row r="8" spans="1:6" x14ac:dyDescent="0.25">
      <c r="A8" s="19" t="s">
        <v>67</v>
      </c>
      <c r="B8" s="20">
        <v>409</v>
      </c>
      <c r="C8" t="s">
        <v>65</v>
      </c>
      <c r="D8" t="s">
        <v>68</v>
      </c>
      <c r="E8" s="15">
        <v>25262.87</v>
      </c>
      <c r="F8" t="s">
        <v>69</v>
      </c>
    </row>
    <row r="9" spans="1:6" x14ac:dyDescent="0.25">
      <c r="A9" s="19" t="s">
        <v>70</v>
      </c>
      <c r="B9" s="20">
        <v>409</v>
      </c>
      <c r="C9" t="s">
        <v>65</v>
      </c>
      <c r="D9" t="s">
        <v>71</v>
      </c>
      <c r="E9" s="15">
        <v>7016.82</v>
      </c>
      <c r="F9" t="s">
        <v>69</v>
      </c>
    </row>
    <row r="10" spans="1:6" x14ac:dyDescent="0.25">
      <c r="A10" s="19" t="s">
        <v>72</v>
      </c>
      <c r="B10" s="20">
        <v>409</v>
      </c>
      <c r="C10" t="s">
        <v>65</v>
      </c>
      <c r="D10" t="s">
        <v>73</v>
      </c>
      <c r="E10" s="15">
        <v>18048.71</v>
      </c>
      <c r="F10" t="s">
        <v>19</v>
      </c>
    </row>
    <row r="11" spans="1:6" x14ac:dyDescent="0.25">
      <c r="A11" s="19" t="s">
        <v>74</v>
      </c>
      <c r="B11" s="20">
        <v>409</v>
      </c>
      <c r="C11" t="s">
        <v>65</v>
      </c>
      <c r="D11" t="s">
        <v>75</v>
      </c>
      <c r="E11" s="15">
        <v>85500.27</v>
      </c>
      <c r="F11" t="s">
        <v>19</v>
      </c>
    </row>
    <row r="12" spans="1:6" x14ac:dyDescent="0.25">
      <c r="A12" s="19" t="s">
        <v>76</v>
      </c>
      <c r="B12" s="20">
        <v>409</v>
      </c>
      <c r="C12" t="s">
        <v>65</v>
      </c>
      <c r="D12" t="s">
        <v>77</v>
      </c>
      <c r="E12" s="21">
        <v>8650.73</v>
      </c>
      <c r="F12" t="s">
        <v>19</v>
      </c>
    </row>
    <row r="13" spans="1:6" ht="15.75" thickBot="1" x14ac:dyDescent="0.3">
      <c r="C13" t="s">
        <v>4</v>
      </c>
      <c r="E13" s="22">
        <f>SUM(E7:E12)</f>
        <v>144479.4</v>
      </c>
    </row>
    <row r="14" spans="1:6" ht="15.75" thickTop="1" x14ac:dyDescent="0.25"/>
    <row r="16" spans="1:6" x14ac:dyDescent="0.25">
      <c r="B16" t="s">
        <v>78</v>
      </c>
    </row>
    <row r="17" spans="1:2" x14ac:dyDescent="0.25">
      <c r="B17" t="s">
        <v>79</v>
      </c>
    </row>
    <row r="18" spans="1:2" x14ac:dyDescent="0.25">
      <c r="B18" t="s">
        <v>80</v>
      </c>
    </row>
    <row r="19" spans="1:2" x14ac:dyDescent="0.25">
      <c r="B19" t="s">
        <v>81</v>
      </c>
    </row>
    <row r="22" spans="1:2" x14ac:dyDescent="0.25">
      <c r="A22" t="s">
        <v>82</v>
      </c>
    </row>
  </sheetData>
  <mergeCells count="1">
    <mergeCell ref="A3:B3"/>
  </mergeCells>
  <pageMargins left="0.2" right="0.2" top="0.75" bottom="0.75" header="0.3" footer="0.3"/>
  <pageSetup orientation="portrait" horizontalDpi="4294967295" verticalDpi="4294967295" r:id="rId1"/>
  <headerFooter>
    <oddFooter>&amp;L&amp;8&amp;Z&amp;F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CAF0A-C21A-4E15-8ECC-EDF95A9CD5DE}">
  <sheetPr>
    <tabColor rgb="FF92D050"/>
    <pageSetUpPr fitToPage="1"/>
  </sheetPr>
  <dimension ref="A1:E37"/>
  <sheetViews>
    <sheetView workbookViewId="0">
      <selection activeCell="C20" sqref="C20"/>
    </sheetView>
  </sheetViews>
  <sheetFormatPr defaultRowHeight="15" x14ac:dyDescent="0.25"/>
  <cols>
    <col min="1" max="1" width="62.42578125" bestFit="1" customWidth="1"/>
    <col min="2" max="2" width="12.28515625" customWidth="1"/>
    <col min="3" max="3" width="11.5703125" bestFit="1" customWidth="1"/>
    <col min="4" max="4" width="12.5703125" bestFit="1" customWidth="1"/>
    <col min="5" max="5" width="11.5703125" bestFit="1" customWidth="1"/>
  </cols>
  <sheetData>
    <row r="1" spans="1:5" x14ac:dyDescent="0.25">
      <c r="A1" s="6" t="s">
        <v>0</v>
      </c>
    </row>
    <row r="2" spans="1:5" x14ac:dyDescent="0.25">
      <c r="A2" s="6" t="s">
        <v>99</v>
      </c>
    </row>
    <row r="3" spans="1:5" x14ac:dyDescent="0.25">
      <c r="A3" s="23" t="s">
        <v>119</v>
      </c>
    </row>
    <row r="4" spans="1:5" x14ac:dyDescent="0.25">
      <c r="A4" s="23"/>
    </row>
    <row r="6" spans="1:5" x14ac:dyDescent="0.25">
      <c r="B6" s="26" t="s">
        <v>100</v>
      </c>
      <c r="C6" s="26" t="s">
        <v>101</v>
      </c>
      <c r="D6" s="26" t="s">
        <v>102</v>
      </c>
      <c r="E6" s="26" t="s">
        <v>4</v>
      </c>
    </row>
    <row r="8" spans="1:5" x14ac:dyDescent="0.25">
      <c r="A8" t="s">
        <v>103</v>
      </c>
    </row>
    <row r="9" spans="1:5" x14ac:dyDescent="0.25">
      <c r="A9" s="27" t="s">
        <v>110</v>
      </c>
      <c r="B9" s="7">
        <f>35306.64+193504.76+12437.22+55398.55+756264.2+17.97</f>
        <v>1052929.3400000001</v>
      </c>
      <c r="C9" s="7">
        <f>57992.44+10664.58+31450.38+10664.63</f>
        <v>110772.03000000001</v>
      </c>
      <c r="D9" s="7">
        <f>107301.32+405674.49</f>
        <v>512975.81</v>
      </c>
      <c r="E9" s="7">
        <f>SUM(B9:D9)</f>
        <v>1676677.1800000002</v>
      </c>
    </row>
    <row r="10" spans="1:5" x14ac:dyDescent="0.25">
      <c r="A10" t="s">
        <v>109</v>
      </c>
      <c r="B10" s="7">
        <v>0</v>
      </c>
      <c r="C10" s="7">
        <v>0</v>
      </c>
      <c r="D10" s="7">
        <v>0</v>
      </c>
      <c r="E10" s="7">
        <v>0</v>
      </c>
    </row>
    <row r="11" spans="1:5" x14ac:dyDescent="0.25">
      <c r="A11" t="s">
        <v>112</v>
      </c>
      <c r="B11" s="7">
        <v>0</v>
      </c>
      <c r="C11" s="7">
        <f>13490.64+13528.96+5613.2+3516.82+1539.21</f>
        <v>37688.83</v>
      </c>
      <c r="D11" s="7">
        <v>19764.259999999998</v>
      </c>
      <c r="E11" s="7">
        <f>SUM(B11:D11)</f>
        <v>57453.09</v>
      </c>
    </row>
    <row r="12" spans="1:5" x14ac:dyDescent="0.25">
      <c r="A12" s="27" t="s">
        <v>111</v>
      </c>
      <c r="B12" s="7"/>
      <c r="C12" s="7"/>
      <c r="D12" s="7"/>
      <c r="E12" s="7"/>
    </row>
    <row r="13" spans="1:5" x14ac:dyDescent="0.25">
      <c r="A13" t="s">
        <v>114</v>
      </c>
      <c r="B13" s="7">
        <f>24458.62+12317.43+8257.54</f>
        <v>45033.590000000004</v>
      </c>
      <c r="C13" s="7">
        <v>311497.81</v>
      </c>
      <c r="D13" s="7">
        <f>18790.55+121000.7+9891.35+9839.4+119098.47</f>
        <v>278620.46999999997</v>
      </c>
      <c r="E13" s="7">
        <f>SUM(B13:D13)</f>
        <v>635151.87</v>
      </c>
    </row>
    <row r="14" spans="1:5" x14ac:dyDescent="0.25">
      <c r="B14" s="7"/>
      <c r="C14" s="7"/>
      <c r="D14" s="7"/>
      <c r="E14" s="7"/>
    </row>
    <row r="15" spans="1:5" x14ac:dyDescent="0.25">
      <c r="A15" t="s">
        <v>113</v>
      </c>
      <c r="B15" s="8">
        <v>0</v>
      </c>
      <c r="C15" s="8">
        <f>5533619.25+961930.15-885.51+4133182+66300+16516.69+3837.66</f>
        <v>10714500.24</v>
      </c>
      <c r="D15" s="8">
        <v>0</v>
      </c>
      <c r="E15" s="8">
        <f>SUM(B15:D15)</f>
        <v>10714500.24</v>
      </c>
    </row>
    <row r="16" spans="1:5" ht="15.75" thickBot="1" x14ac:dyDescent="0.3">
      <c r="A16" t="s">
        <v>104</v>
      </c>
      <c r="B16" s="9">
        <f>SUM(B9:B15)</f>
        <v>1097962.9300000002</v>
      </c>
      <c r="C16" s="9">
        <f>SUM(C9:C15)</f>
        <v>11174458.91</v>
      </c>
      <c r="D16" s="9">
        <f>SUM(D9:D15)</f>
        <v>811360.53999999992</v>
      </c>
      <c r="E16" s="9">
        <f>SUM(E9:E15)</f>
        <v>13083782.380000001</v>
      </c>
    </row>
    <row r="17" spans="1:5" ht="15.75" thickTop="1" x14ac:dyDescent="0.25">
      <c r="A17" t="s">
        <v>115</v>
      </c>
    </row>
    <row r="18" spans="1:5" x14ac:dyDescent="0.25">
      <c r="B18" s="7">
        <v>0</v>
      </c>
      <c r="C18" s="7">
        <v>43297.9</v>
      </c>
      <c r="D18" s="7">
        <v>0</v>
      </c>
      <c r="E18" s="7">
        <f>SUM(B18:D18)</f>
        <v>43297.9</v>
      </c>
    </row>
    <row r="19" spans="1:5" x14ac:dyDescent="0.25">
      <c r="A19" t="s">
        <v>120</v>
      </c>
    </row>
    <row r="20" spans="1:5" x14ac:dyDescent="0.25">
      <c r="B20" s="7">
        <v>0</v>
      </c>
      <c r="C20" s="7">
        <v>1430305.81</v>
      </c>
      <c r="D20" s="7">
        <f>110161.18+111.28+2364.43+3178.61</f>
        <v>115815.49999999999</v>
      </c>
      <c r="E20" s="7">
        <f>SUM(B20:D20)</f>
        <v>1546121.31</v>
      </c>
    </row>
    <row r="21" spans="1:5" x14ac:dyDescent="0.25">
      <c r="A21" t="s">
        <v>118</v>
      </c>
      <c r="B21" s="7">
        <v>0</v>
      </c>
      <c r="C21" s="7">
        <v>237018.08</v>
      </c>
      <c r="D21" s="7">
        <v>0</v>
      </c>
      <c r="E21" s="7">
        <f>SUM(B21:D21)</f>
        <v>237018.08</v>
      </c>
    </row>
    <row r="22" spans="1:5" x14ac:dyDescent="0.25">
      <c r="B22" s="7"/>
      <c r="C22" s="7"/>
      <c r="D22" s="7"/>
      <c r="E22" s="7"/>
    </row>
    <row r="23" spans="1:5" x14ac:dyDescent="0.25">
      <c r="A23" t="s">
        <v>116</v>
      </c>
      <c r="B23" s="7">
        <v>0</v>
      </c>
      <c r="C23" s="7">
        <v>109522.61</v>
      </c>
      <c r="D23" s="7">
        <v>0</v>
      </c>
      <c r="E23" s="7">
        <f>SUM(B23:D23)</f>
        <v>109522.61</v>
      </c>
    </row>
    <row r="24" spans="1:5" x14ac:dyDescent="0.25">
      <c r="B24" s="7"/>
      <c r="C24" s="7"/>
      <c r="D24" s="7"/>
      <c r="E24" s="7"/>
    </row>
    <row r="25" spans="1:5" x14ac:dyDescent="0.25">
      <c r="A25" t="s">
        <v>117</v>
      </c>
      <c r="B25" s="7">
        <v>0</v>
      </c>
      <c r="C25" s="7">
        <v>228658.71</v>
      </c>
      <c r="D25" s="7">
        <v>0</v>
      </c>
      <c r="E25" s="7">
        <f>SUM(B25:D25)</f>
        <v>228658.71</v>
      </c>
    </row>
    <row r="26" spans="1:5" x14ac:dyDescent="0.25">
      <c r="A26" t="s">
        <v>121</v>
      </c>
      <c r="B26" s="8">
        <v>0</v>
      </c>
      <c r="C26" s="8">
        <f>802392.04-7696</f>
        <v>794696.04</v>
      </c>
      <c r="D26" s="8">
        <v>0</v>
      </c>
      <c r="E26" s="8">
        <f>SUM(B26:D26)</f>
        <v>794696.04</v>
      </c>
    </row>
    <row r="27" spans="1:5" ht="15.75" thickBot="1" x14ac:dyDescent="0.3">
      <c r="A27" t="s">
        <v>105</v>
      </c>
      <c r="B27" s="9">
        <f>SUM(B16:B26)</f>
        <v>1097962.9300000002</v>
      </c>
      <c r="C27" s="9">
        <f>SUM(C16:C26)</f>
        <v>14017958.060000002</v>
      </c>
      <c r="D27" s="9">
        <f>SUM(D16:D26)</f>
        <v>927176.03999999992</v>
      </c>
      <c r="E27" s="9">
        <f>SUM(E16:E26)</f>
        <v>16043097.030000001</v>
      </c>
    </row>
    <row r="28" spans="1:5" ht="15.75" thickTop="1" x14ac:dyDescent="0.25">
      <c r="B28" s="7"/>
      <c r="C28" s="7"/>
      <c r="D28" s="7"/>
      <c r="E28" s="7"/>
    </row>
    <row r="29" spans="1:5" x14ac:dyDescent="0.25">
      <c r="B29" s="3"/>
      <c r="C29" s="3"/>
      <c r="D29" s="3"/>
      <c r="E29" s="3"/>
    </row>
    <row r="30" spans="1:5" x14ac:dyDescent="0.25">
      <c r="B30" s="25" t="s">
        <v>106</v>
      </c>
      <c r="C30" s="7">
        <f>B27</f>
        <v>1097962.9300000002</v>
      </c>
      <c r="D30" s="7"/>
      <c r="E30" s="3"/>
    </row>
    <row r="31" spans="1:5" x14ac:dyDescent="0.25">
      <c r="B31" s="3"/>
      <c r="C31" s="7"/>
      <c r="D31" s="7"/>
      <c r="E31" s="3"/>
    </row>
    <row r="32" spans="1:5" x14ac:dyDescent="0.25">
      <c r="A32" t="s">
        <v>107</v>
      </c>
      <c r="B32" s="3"/>
      <c r="C32" s="7">
        <f>+'Sch3 Ln2,3'!B6</f>
        <v>15115921</v>
      </c>
      <c r="D32" s="7"/>
      <c r="E32" s="3"/>
    </row>
    <row r="33" spans="1:5" x14ac:dyDescent="0.25">
      <c r="A33" t="s">
        <v>108</v>
      </c>
      <c r="B33" s="3"/>
      <c r="C33" s="8"/>
      <c r="D33" s="8">
        <f>+'Sch3 Ln2,3'!B7</f>
        <v>927176.04</v>
      </c>
      <c r="E33" s="3"/>
    </row>
    <row r="34" spans="1:5" x14ac:dyDescent="0.25">
      <c r="B34" s="3"/>
      <c r="C34" s="3"/>
      <c r="D34" s="3"/>
      <c r="E34" s="3"/>
    </row>
    <row r="35" spans="1:5" x14ac:dyDescent="0.25">
      <c r="B35" s="3"/>
      <c r="C35" s="3"/>
      <c r="D35" s="3"/>
      <c r="E35" s="3"/>
    </row>
    <row r="36" spans="1:5" ht="15.75" thickBot="1" x14ac:dyDescent="0.3">
      <c r="A36" t="s">
        <v>6</v>
      </c>
      <c r="B36" s="3"/>
      <c r="C36" s="5">
        <f>+C32-C30-C27</f>
        <v>9.9999979138374329E-3</v>
      </c>
      <c r="D36" s="5">
        <f>+D27-D33</f>
        <v>0</v>
      </c>
      <c r="E36" s="3"/>
    </row>
    <row r="37" spans="1:5" ht="15.75" thickTop="1" x14ac:dyDescent="0.25">
      <c r="B37" s="3"/>
      <c r="C37" s="3"/>
      <c r="D37" s="3"/>
      <c r="E37" s="3"/>
    </row>
  </sheetData>
  <pageMargins left="0.7" right="0.7" top="0.75" bottom="0.75" header="0.3" footer="0.3"/>
  <pageSetup scale="95" orientation="landscape" horizontalDpi="4294967295" verticalDpi="4294967295" r:id="rId1"/>
  <headerFooter>
    <oddFooter>&amp;L&amp;8&amp;Z&amp;F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ED403-7FF7-46C0-B2EB-465B5215E765}">
  <sheetPr>
    <tabColor rgb="FF92D050"/>
  </sheetPr>
  <dimension ref="A1:B15"/>
  <sheetViews>
    <sheetView workbookViewId="0">
      <selection activeCell="A14" sqref="A14"/>
    </sheetView>
  </sheetViews>
  <sheetFormatPr defaultRowHeight="15" x14ac:dyDescent="0.25"/>
  <cols>
    <col min="1" max="1" width="42.28515625" customWidth="1"/>
    <col min="2" max="2" width="15.28515625" bestFit="1" customWidth="1"/>
  </cols>
  <sheetData>
    <row r="1" spans="1:2" x14ac:dyDescent="0.25">
      <c r="A1" s="1" t="s">
        <v>0</v>
      </c>
    </row>
    <row r="2" spans="1:2" x14ac:dyDescent="0.25">
      <c r="A2" s="1" t="s">
        <v>85</v>
      </c>
    </row>
    <row r="3" spans="1:2" x14ac:dyDescent="0.25">
      <c r="A3" s="2">
        <v>43100</v>
      </c>
    </row>
    <row r="5" spans="1:2" x14ac:dyDescent="0.25">
      <c r="A5" t="s">
        <v>124</v>
      </c>
    </row>
    <row r="6" spans="1:2" x14ac:dyDescent="0.25">
      <c r="A6" t="s">
        <v>125</v>
      </c>
      <c r="B6" s="3">
        <v>13116063</v>
      </c>
    </row>
    <row r="7" spans="1:2" x14ac:dyDescent="0.25">
      <c r="A7" t="s">
        <v>86</v>
      </c>
      <c r="B7" s="3">
        <f>-'Sch5'!E8-'Sch5'!E9</f>
        <v>-32279.69</v>
      </c>
    </row>
    <row r="8" spans="1:2" x14ac:dyDescent="0.25">
      <c r="B8" s="3"/>
    </row>
    <row r="9" spans="1:2" x14ac:dyDescent="0.25">
      <c r="B9" s="3"/>
    </row>
    <row r="10" spans="1:2" ht="15.75" thickBot="1" x14ac:dyDescent="0.3">
      <c r="A10" t="s">
        <v>4</v>
      </c>
      <c r="B10" s="13">
        <f>SUM(B6:B9)</f>
        <v>13083783.310000001</v>
      </c>
    </row>
    <row r="11" spans="1:2" ht="15.75" thickTop="1" x14ac:dyDescent="0.25">
      <c r="A11" t="s">
        <v>87</v>
      </c>
      <c r="B11" s="12">
        <f>+'Sch7 Recap'!E16</f>
        <v>13083782.380000001</v>
      </c>
    </row>
    <row r="12" spans="1:2" x14ac:dyDescent="0.25">
      <c r="A12" t="s">
        <v>6</v>
      </c>
      <c r="B12" s="12">
        <f>+B11-B10</f>
        <v>-0.92999999970197678</v>
      </c>
    </row>
    <row r="14" spans="1:2" x14ac:dyDescent="0.25">
      <c r="B14" s="12"/>
    </row>
    <row r="15" spans="1:2" x14ac:dyDescent="0.25">
      <c r="B15" s="11"/>
    </row>
  </sheetData>
  <pageMargins left="0.7" right="0.7" top="0.75" bottom="0.75" header="0.3" footer="0.3"/>
  <pageSetup orientation="portrait" horizontalDpi="4294967295" verticalDpi="4294967295" r:id="rId1"/>
  <headerFooter>
    <oddFooter>&amp;L&amp;8&amp;Z&amp;F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509B6-039A-42F9-B8CA-D34DF2A52FCA}">
  <sheetPr>
    <tabColor rgb="FF92D050"/>
  </sheetPr>
  <dimension ref="A1:B21"/>
  <sheetViews>
    <sheetView workbookViewId="0">
      <selection activeCell="A17" sqref="A17:B21"/>
    </sheetView>
  </sheetViews>
  <sheetFormatPr defaultRowHeight="15" x14ac:dyDescent="0.25"/>
  <cols>
    <col min="1" max="1" width="45.140625" customWidth="1"/>
    <col min="2" max="2" width="13.28515625" bestFit="1" customWidth="1"/>
  </cols>
  <sheetData>
    <row r="1" spans="1:2" x14ac:dyDescent="0.25">
      <c r="A1" s="1" t="s">
        <v>0</v>
      </c>
    </row>
    <row r="2" spans="1:2" x14ac:dyDescent="0.25">
      <c r="A2" s="1" t="s">
        <v>88</v>
      </c>
    </row>
    <row r="3" spans="1:2" x14ac:dyDescent="0.25">
      <c r="A3" s="2">
        <v>43100</v>
      </c>
    </row>
    <row r="6" spans="1:2" x14ac:dyDescent="0.25">
      <c r="A6" t="s">
        <v>124</v>
      </c>
    </row>
    <row r="7" spans="1:2" x14ac:dyDescent="0.25">
      <c r="A7" t="s">
        <v>19</v>
      </c>
      <c r="B7" s="3">
        <v>155498</v>
      </c>
    </row>
    <row r="8" spans="1:2" x14ac:dyDescent="0.25">
      <c r="A8" t="s">
        <v>66</v>
      </c>
      <c r="B8" s="14">
        <v>1546121</v>
      </c>
    </row>
    <row r="9" spans="1:2" x14ac:dyDescent="0.25">
      <c r="B9" s="14"/>
    </row>
    <row r="10" spans="1:2" x14ac:dyDescent="0.25">
      <c r="A10" t="s">
        <v>123</v>
      </c>
      <c r="B10" s="3"/>
    </row>
    <row r="11" spans="1:2" x14ac:dyDescent="0.25">
      <c r="A11" t="s">
        <v>66</v>
      </c>
      <c r="B11" s="3">
        <f>-'Sch5'!E7</f>
        <v>0</v>
      </c>
    </row>
    <row r="12" spans="1:2" x14ac:dyDescent="0.25">
      <c r="A12" t="s">
        <v>89</v>
      </c>
      <c r="B12" s="3">
        <f>-'Sch5'!E12</f>
        <v>-8650.73</v>
      </c>
    </row>
    <row r="13" spans="1:2" x14ac:dyDescent="0.25">
      <c r="A13" t="s">
        <v>90</v>
      </c>
      <c r="B13" s="3">
        <f>-'Sch5'!E11</f>
        <v>-85500.27</v>
      </c>
    </row>
    <row r="14" spans="1:2" x14ac:dyDescent="0.25">
      <c r="A14" t="s">
        <v>91</v>
      </c>
      <c r="B14" s="14">
        <f>-'Sch5'!E10</f>
        <v>-18048.71</v>
      </c>
    </row>
    <row r="15" spans="1:2" ht="15.75" thickBot="1" x14ac:dyDescent="0.3">
      <c r="A15" t="s">
        <v>4</v>
      </c>
      <c r="B15" s="13">
        <f>SUM(B7:B14)</f>
        <v>1589419.29</v>
      </c>
    </row>
    <row r="16" spans="1:2" ht="15.75" thickTop="1" x14ac:dyDescent="0.25">
      <c r="B16" s="3"/>
    </row>
    <row r="17" spans="1:2" x14ac:dyDescent="0.25">
      <c r="A17" t="s">
        <v>92</v>
      </c>
      <c r="B17" s="7">
        <f>+'Sch7 Recap'!E18</f>
        <v>43297.9</v>
      </c>
    </row>
    <row r="18" spans="1:2" x14ac:dyDescent="0.25">
      <c r="A18" t="s">
        <v>93</v>
      </c>
      <c r="B18" s="8">
        <f>+'Sch7 Recap'!E20</f>
        <v>1546121.31</v>
      </c>
    </row>
    <row r="19" spans="1:2" ht="15.75" thickBot="1" x14ac:dyDescent="0.3">
      <c r="A19" t="s">
        <v>4</v>
      </c>
      <c r="B19" s="5">
        <f>SUM(B17:B18)</f>
        <v>1589419.21</v>
      </c>
    </row>
    <row r="20" spans="1:2" ht="15.75" thickTop="1" x14ac:dyDescent="0.25">
      <c r="B20" s="3"/>
    </row>
    <row r="21" spans="1:2" x14ac:dyDescent="0.25">
      <c r="A21" t="s">
        <v>6</v>
      </c>
      <c r="B21" s="3">
        <f>B19-B15</f>
        <v>-8.0000000074505806E-2</v>
      </c>
    </row>
  </sheetData>
  <pageMargins left="0.7" right="0.7" top="0.75" bottom="0.75" header="0.3" footer="0.3"/>
  <pageSetup orientation="portrait" horizontalDpi="4294967295" verticalDpi="4294967295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Sch3 Ln2,3</vt:lpstr>
      <vt:lpstr>Sch3 Ln11</vt:lpstr>
      <vt:lpstr>Sch3 Ln12</vt:lpstr>
      <vt:lpstr>Sch4</vt:lpstr>
      <vt:lpstr>Sch4 Depreciation</vt:lpstr>
      <vt:lpstr>Sch5</vt:lpstr>
      <vt:lpstr>Sch7 Recap</vt:lpstr>
      <vt:lpstr>Sch7 Ln7</vt:lpstr>
      <vt:lpstr>Sch7 Ln8,9</vt:lpstr>
      <vt:lpstr>Sch7 Ln12</vt:lpstr>
      <vt:lpstr>PILOT</vt:lpstr>
      <vt:lpstr>Payroll Dist</vt:lpstr>
      <vt:lpstr>'Payroll Dist'!Print_Area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cjensen</dc:creator>
  <cp:lastModifiedBy>Kasey Lewis</cp:lastModifiedBy>
  <cp:lastPrinted>2018-04-13T19:56:57Z</cp:lastPrinted>
  <dcterms:created xsi:type="dcterms:W3CDTF">2011-04-28T03:45:58Z</dcterms:created>
  <dcterms:modified xsi:type="dcterms:W3CDTF">2018-05-11T16:50:56Z</dcterms:modified>
</cp:coreProperties>
</file>