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45" windowWidth="10110" windowHeight="9165" tabRatio="805"/>
  </bookViews>
  <sheets>
    <sheet name="2016 TU" sheetId="6" r:id="rId1"/>
    <sheet name="2016 GG TU Weighted ROE" sheetId="14" r:id="rId2"/>
    <sheet name="2016 MM TU Weighted ROE" sheetId="15" r:id="rId3"/>
    <sheet name="Interest Rates" sheetId="17" r:id="rId4"/>
    <sheet name="List of ROE by TO" sheetId="16" r:id="rId5"/>
  </sheets>
  <definedNames>
    <definedName name="_xlnm.Print_Area" localSheetId="1">'2016 GG TU Weighted ROE'!$B$1:$L$97</definedName>
    <definedName name="_xlnm.Print_Area" localSheetId="2">'2016 MM TU Weighted ROE'!$B$1:$L$105</definedName>
    <definedName name="_xlnm.Print_Area" localSheetId="0">'2016 TU'!$A$1:$I$113</definedName>
    <definedName name="_xlnm.Print_Area" localSheetId="3">'Interest Rates'!$A$1:$G$38</definedName>
  </definedNames>
  <calcPr calcId="145621"/>
</workbook>
</file>

<file path=xl/calcChain.xml><?xml version="1.0" encoding="utf-8"?>
<calcChain xmlns="http://schemas.openxmlformats.org/spreadsheetml/2006/main">
  <c r="C30" i="6" l="1"/>
  <c r="C34" i="6" s="1"/>
  <c r="D29" i="6" l="1"/>
  <c r="D33" i="6"/>
  <c r="E81" i="6"/>
  <c r="D34" i="6" l="1"/>
  <c r="E33" i="6" s="1"/>
  <c r="C58" i="14"/>
  <c r="C88" i="14"/>
  <c r="C87" i="14"/>
  <c r="C86" i="14"/>
  <c r="C85" i="14"/>
  <c r="C84" i="14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E29" i="6" l="1"/>
  <c r="D9" i="6" l="1"/>
  <c r="E52" i="6"/>
  <c r="G35" i="17"/>
  <c r="C55" i="14" l="1"/>
  <c r="C56" i="14"/>
  <c r="C57" i="14"/>
  <c r="C54" i="14"/>
  <c r="D86" i="15" l="1"/>
  <c r="D87" i="15"/>
  <c r="D88" i="15"/>
  <c r="D89" i="15"/>
  <c r="D90" i="15"/>
  <c r="D91" i="15"/>
  <c r="D55" i="15"/>
  <c r="D56" i="15"/>
  <c r="D57" i="15"/>
  <c r="D58" i="15"/>
  <c r="D59" i="15"/>
  <c r="D60" i="15"/>
  <c r="C59" i="15" l="1"/>
  <c r="A12" i="17"/>
  <c r="F35" i="17" l="1"/>
  <c r="D35" i="17"/>
  <c r="E35" i="17" s="1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D10" i="6" l="1"/>
  <c r="D98" i="6"/>
  <c r="C98" i="6"/>
  <c r="D76" i="6"/>
  <c r="C76" i="6"/>
  <c r="D39" i="6" l="1"/>
  <c r="C39" i="6"/>
  <c r="C1" i="6" l="1"/>
  <c r="C84" i="15"/>
  <c r="C85" i="15"/>
  <c r="C86" i="15"/>
  <c r="C87" i="15"/>
  <c r="C88" i="15"/>
  <c r="C89" i="15"/>
  <c r="C90" i="15"/>
  <c r="C83" i="15"/>
  <c r="C53" i="15"/>
  <c r="C54" i="15"/>
  <c r="C55" i="15"/>
  <c r="C56" i="15"/>
  <c r="C57" i="15"/>
  <c r="C58" i="15"/>
  <c r="C52" i="15"/>
  <c r="F62" i="15" l="1"/>
  <c r="H62" i="15"/>
  <c r="D7" i="15"/>
  <c r="F5" i="15" s="1"/>
  <c r="D7" i="14"/>
  <c r="F5" i="14" s="1"/>
  <c r="D85" i="14"/>
  <c r="D86" i="14"/>
  <c r="D87" i="14"/>
  <c r="D88" i="14"/>
  <c r="D89" i="14"/>
  <c r="D90" i="14"/>
  <c r="D91" i="14"/>
  <c r="D92" i="14"/>
  <c r="D93" i="14"/>
  <c r="D84" i="14"/>
  <c r="D84" i="15"/>
  <c r="D85" i="15"/>
  <c r="D83" i="15"/>
  <c r="G55" i="15"/>
  <c r="I55" i="15" s="1"/>
  <c r="G56" i="15"/>
  <c r="I56" i="15" s="1"/>
  <c r="G57" i="15"/>
  <c r="I57" i="15" s="1"/>
  <c r="G58" i="15"/>
  <c r="I58" i="15" s="1"/>
  <c r="G59" i="15"/>
  <c r="I59" i="15" s="1"/>
  <c r="D53" i="15"/>
  <c r="D54" i="15"/>
  <c r="D52" i="15"/>
  <c r="G59" i="14"/>
  <c r="I59" i="14" s="1"/>
  <c r="G60" i="14"/>
  <c r="I60" i="14" s="1"/>
  <c r="G61" i="14"/>
  <c r="I61" i="14" s="1"/>
  <c r="G62" i="14"/>
  <c r="I62" i="14" s="1"/>
  <c r="G63" i="14"/>
  <c r="I63" i="14" s="1"/>
  <c r="D55" i="14"/>
  <c r="D56" i="14"/>
  <c r="D57" i="14"/>
  <c r="D58" i="14"/>
  <c r="D59" i="14"/>
  <c r="D60" i="14"/>
  <c r="D61" i="14"/>
  <c r="D62" i="14"/>
  <c r="D63" i="14"/>
  <c r="D54" i="14"/>
  <c r="H65" i="14"/>
  <c r="F65" i="14"/>
  <c r="E18" i="14"/>
  <c r="E52" i="14" s="1"/>
  <c r="G58" i="14" l="1"/>
  <c r="I58" i="14" s="1"/>
  <c r="G60" i="15"/>
  <c r="I60" i="15" s="1"/>
  <c r="D38" i="15"/>
  <c r="F36" i="15" s="1"/>
  <c r="D70" i="14"/>
  <c r="E82" i="14"/>
  <c r="D69" i="15"/>
  <c r="F69" i="15" s="1"/>
  <c r="D40" i="14"/>
  <c r="F38" i="14" s="1"/>
  <c r="G55" i="14"/>
  <c r="I55" i="14" s="1"/>
  <c r="G56" i="14"/>
  <c r="I56" i="14" s="1"/>
  <c r="G57" i="14"/>
  <c r="I57" i="14" s="1"/>
  <c r="G54" i="14"/>
  <c r="I54" i="14" s="1"/>
  <c r="C9" i="6"/>
  <c r="C10" i="6"/>
  <c r="F93" i="14" l="1"/>
  <c r="F89" i="14"/>
  <c r="G89" i="14" s="1"/>
  <c r="F85" i="15"/>
  <c r="H87" i="15"/>
  <c r="H91" i="15"/>
  <c r="F86" i="15"/>
  <c r="G86" i="15" s="1"/>
  <c r="F90" i="15"/>
  <c r="G90" i="15" s="1"/>
  <c r="H88" i="14"/>
  <c r="H92" i="14"/>
  <c r="F86" i="14"/>
  <c r="F90" i="14"/>
  <c r="F84" i="14"/>
  <c r="H84" i="15"/>
  <c r="H88" i="15"/>
  <c r="H83" i="15"/>
  <c r="F87" i="15"/>
  <c r="G87" i="15" s="1"/>
  <c r="I87" i="15" s="1"/>
  <c r="F91" i="15"/>
  <c r="H85" i="14"/>
  <c r="H89" i="14"/>
  <c r="H93" i="14"/>
  <c r="F87" i="14"/>
  <c r="F91" i="14"/>
  <c r="G91" i="14" s="1"/>
  <c r="I91" i="14" s="1"/>
  <c r="H85" i="15"/>
  <c r="H89" i="15"/>
  <c r="F84" i="15"/>
  <c r="F88" i="15"/>
  <c r="G88" i="15" s="1"/>
  <c r="I88" i="15" s="1"/>
  <c r="F83" i="15"/>
  <c r="H86" i="14"/>
  <c r="H90" i="14"/>
  <c r="H84" i="14"/>
  <c r="F88" i="14"/>
  <c r="F92" i="14"/>
  <c r="G92" i="14" s="1"/>
  <c r="H86" i="15"/>
  <c r="H90" i="15"/>
  <c r="F89" i="15"/>
  <c r="G89" i="15" s="1"/>
  <c r="H87" i="14"/>
  <c r="H91" i="14"/>
  <c r="F85" i="14"/>
  <c r="G91" i="15"/>
  <c r="I91" i="15" s="1"/>
  <c r="G93" i="14"/>
  <c r="G90" i="14"/>
  <c r="I90" i="14" s="1"/>
  <c r="I92" i="14" l="1"/>
  <c r="I86" i="15"/>
  <c r="I89" i="14"/>
  <c r="I90" i="15"/>
  <c r="I89" i="15"/>
  <c r="I93" i="14"/>
  <c r="H93" i="15"/>
  <c r="F95" i="14"/>
  <c r="H95" i="14"/>
  <c r="F93" i="15"/>
  <c r="D78" i="6"/>
  <c r="D79" i="6" s="1"/>
  <c r="D45" i="6"/>
  <c r="D46" i="6" s="1"/>
  <c r="D100" i="6"/>
  <c r="D101" i="6" s="1"/>
  <c r="D55" i="6"/>
  <c r="D41" i="6"/>
  <c r="D42" i="6" s="1"/>
  <c r="C41" i="6"/>
  <c r="C42" i="6" s="1"/>
  <c r="C78" i="6"/>
  <c r="C79" i="6" s="1"/>
  <c r="C45" i="6"/>
  <c r="C46" i="6" s="1"/>
  <c r="C100" i="6"/>
  <c r="C101" i="6" s="1"/>
  <c r="C55" i="6"/>
  <c r="E34" i="6"/>
  <c r="E101" i="6" l="1"/>
  <c r="E105" i="6" s="1"/>
  <c r="C48" i="6"/>
  <c r="E46" i="6"/>
  <c r="G84" i="14"/>
  <c r="I84" i="14" s="1"/>
  <c r="G88" i="14"/>
  <c r="I88" i="14" s="1"/>
  <c r="D48" i="6"/>
  <c r="E42" i="6"/>
  <c r="G85" i="14"/>
  <c r="I85" i="14" s="1"/>
  <c r="G86" i="14"/>
  <c r="I86" i="14" s="1"/>
  <c r="G87" i="14"/>
  <c r="I87" i="14" s="1"/>
  <c r="E18" i="15"/>
  <c r="E50" i="15" s="1"/>
  <c r="G54" i="15" s="1"/>
  <c r="I54" i="15" s="1"/>
  <c r="E48" i="6" l="1"/>
  <c r="I96" i="14"/>
  <c r="J97" i="14" s="1"/>
  <c r="G95" i="14"/>
  <c r="E81" i="15"/>
  <c r="G85" i="15" s="1"/>
  <c r="I85" i="15" s="1"/>
  <c r="J86" i="14" l="1"/>
  <c r="K86" i="14" s="1"/>
  <c r="L86" i="14" s="1"/>
  <c r="J84" i="14"/>
  <c r="K84" i="14" s="1"/>
  <c r="L84" i="14" s="1"/>
  <c r="J93" i="14"/>
  <c r="K93" i="14" s="1"/>
  <c r="L93" i="14" s="1"/>
  <c r="J87" i="14"/>
  <c r="K87" i="14" s="1"/>
  <c r="L87" i="14" s="1"/>
  <c r="J89" i="14"/>
  <c r="K89" i="14" s="1"/>
  <c r="L89" i="14" s="1"/>
  <c r="J88" i="14"/>
  <c r="K88" i="14" s="1"/>
  <c r="L88" i="14" s="1"/>
  <c r="J85" i="14"/>
  <c r="K85" i="14" s="1"/>
  <c r="L85" i="14" s="1"/>
  <c r="J91" i="14"/>
  <c r="K91" i="14" s="1"/>
  <c r="L91" i="14" s="1"/>
  <c r="J92" i="14"/>
  <c r="K92" i="14" s="1"/>
  <c r="L92" i="14" s="1"/>
  <c r="J90" i="14"/>
  <c r="K90" i="14" s="1"/>
  <c r="L90" i="14" s="1"/>
  <c r="G83" i="15"/>
  <c r="I83" i="15" s="1"/>
  <c r="G84" i="15"/>
  <c r="I84" i="15" s="1"/>
  <c r="G53" i="15"/>
  <c r="I53" i="15" s="1"/>
  <c r="G52" i="15"/>
  <c r="I52" i="15" s="1"/>
  <c r="G62" i="15" l="1"/>
  <c r="L96" i="14"/>
  <c r="G89" i="6" s="1"/>
  <c r="K96" i="14"/>
  <c r="G93" i="15"/>
  <c r="I63" i="15"/>
  <c r="G26" i="14"/>
  <c r="I26" i="14" s="1"/>
  <c r="G27" i="14"/>
  <c r="I27" i="14" s="1"/>
  <c r="G28" i="14"/>
  <c r="I28" i="14" s="1"/>
  <c r="G29" i="14"/>
  <c r="I29" i="14" s="1"/>
  <c r="I94" i="15" l="1"/>
  <c r="F30" i="15"/>
  <c r="G26" i="15"/>
  <c r="I26" i="15" s="1"/>
  <c r="G25" i="15"/>
  <c r="I25" i="15" s="1"/>
  <c r="G23" i="15"/>
  <c r="I23" i="15" s="1"/>
  <c r="H30" i="15"/>
  <c r="G24" i="15"/>
  <c r="I24" i="15" s="1"/>
  <c r="J90" i="15" l="1"/>
  <c r="K90" i="15" s="1"/>
  <c r="L90" i="15" s="1"/>
  <c r="J87" i="15"/>
  <c r="K87" i="15" s="1"/>
  <c r="L87" i="15" s="1"/>
  <c r="J86" i="15"/>
  <c r="K86" i="15" s="1"/>
  <c r="L86" i="15" s="1"/>
  <c r="J91" i="15"/>
  <c r="K91" i="15" s="1"/>
  <c r="L91" i="15" s="1"/>
  <c r="J88" i="15"/>
  <c r="K88" i="15" s="1"/>
  <c r="L88" i="15" s="1"/>
  <c r="J89" i="15"/>
  <c r="K89" i="15" s="1"/>
  <c r="L89" i="15" s="1"/>
  <c r="J85" i="15"/>
  <c r="K85" i="15" s="1"/>
  <c r="L85" i="15" s="1"/>
  <c r="J83" i="15"/>
  <c r="K83" i="15" s="1"/>
  <c r="L83" i="15" s="1"/>
  <c r="J84" i="15"/>
  <c r="K84" i="15" s="1"/>
  <c r="L84" i="15" s="1"/>
  <c r="G21" i="15"/>
  <c r="I21" i="15" s="1"/>
  <c r="G28" i="15"/>
  <c r="I28" i="15" s="1"/>
  <c r="G27" i="15"/>
  <c r="I27" i="15" s="1"/>
  <c r="G20" i="15"/>
  <c r="I20" i="15" s="1"/>
  <c r="G22" i="15"/>
  <c r="I22" i="15" s="1"/>
  <c r="H31" i="14"/>
  <c r="F31" i="14"/>
  <c r="K94" i="15" l="1"/>
  <c r="L94" i="15"/>
  <c r="G110" i="6" s="1"/>
  <c r="G24" i="14"/>
  <c r="I24" i="14" s="1"/>
  <c r="G25" i="14"/>
  <c r="I25" i="14" s="1"/>
  <c r="G21" i="14"/>
  <c r="I21" i="14" s="1"/>
  <c r="G20" i="14"/>
  <c r="I20" i="14" s="1"/>
  <c r="G23" i="14"/>
  <c r="I23" i="14" s="1"/>
  <c r="G22" i="14"/>
  <c r="I22" i="14" s="1"/>
  <c r="G30" i="15"/>
  <c r="G65" i="14" l="1"/>
  <c r="G31" i="14"/>
  <c r="I31" i="15"/>
  <c r="I32" i="14"/>
  <c r="I66" i="14" l="1"/>
  <c r="C54" i="6" l="1"/>
  <c r="C56" i="6" s="1"/>
  <c r="D54" i="6"/>
  <c r="D56" i="6" s="1"/>
  <c r="E56" i="6" l="1"/>
  <c r="E58" i="6" s="1"/>
  <c r="E61" i="6" s="1"/>
  <c r="E79" i="6" l="1"/>
  <c r="E83" i="6" s="1"/>
  <c r="E86" i="6" s="1"/>
  <c r="E63" i="6" l="1"/>
  <c r="E64" i="6" s="1"/>
  <c r="E66" i="6" s="1"/>
  <c r="E107" i="6" l="1"/>
  <c r="E87" i="6"/>
  <c r="E108" i="6" l="1"/>
  <c r="E110" i="6" s="1"/>
  <c r="H110" i="6" s="1"/>
  <c r="E89" i="6"/>
  <c r="H89" i="6" s="1"/>
</calcChain>
</file>

<file path=xl/comments1.xml><?xml version="1.0" encoding="utf-8"?>
<comments xmlns="http://schemas.openxmlformats.org/spreadsheetml/2006/main">
  <authors>
    <author>mmcdowell</author>
  </authors>
  <commentList>
    <comment ref="E81" authorId="0">
      <text>
        <r>
          <rPr>
            <b/>
            <sz val="9"/>
            <color indexed="81"/>
            <rFont val="Tahoma"/>
            <family val="2"/>
          </rPr>
          <t>mmcdowell:</t>
        </r>
        <r>
          <rPr>
            <sz val="9"/>
            <color indexed="81"/>
            <rFont val="Tahoma"/>
            <family val="2"/>
          </rPr>
          <t xml:space="preserve">
Added back 2014 over collection, $212,797;
Change in 2014 TU for ROE refund, $37,033.</t>
        </r>
      </text>
    </comment>
  </commentList>
</comments>
</file>

<file path=xl/sharedStrings.xml><?xml version="1.0" encoding="utf-8"?>
<sst xmlns="http://schemas.openxmlformats.org/spreadsheetml/2006/main" count="634" uniqueCount="236">
  <si>
    <t>Difference between Historic &amp; Projected Yr Divisor</t>
  </si>
  <si>
    <t>Prior Year Projected Annual Cost ($ per kw per yr)</t>
  </si>
  <si>
    <t>Total Under/(Over) Recovery</t>
  </si>
  <si>
    <t>Interest For 24 Months</t>
  </si>
  <si>
    <t>Percent of Revenue Received at ROE</t>
  </si>
  <si>
    <t>Revenue</t>
  </si>
  <si>
    <t>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</si>
  <si>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</si>
  <si>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</si>
  <si>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</si>
  <si>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</si>
  <si>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</si>
  <si>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</si>
  <si>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</si>
  <si>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</si>
  <si>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</si>
  <si>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</si>
  <si>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Total</t>
  </si>
  <si>
    <t>To be completed after the Attachment GG using actual data is completed for the True-Up Year</t>
  </si>
  <si>
    <t xml:space="preserve">Company Name:  </t>
  </si>
  <si>
    <t xml:space="preserve">True-Up Year: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</si>
  <si>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</si>
  <si>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</si>
  <si>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</si>
  <si>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</si>
  <si>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</si>
  <si>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</si>
  <si>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</si>
  <si>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</si>
  <si>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</si>
  <si>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</si>
  <si>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</si>
  <si>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</si>
  <si>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</si>
  <si>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GG</t>
  </si>
  <si>
    <t>True-Up</t>
  </si>
  <si>
    <t>Applicable</t>
  </si>
  <si>
    <t>MTEP</t>
  </si>
  <si>
    <t>Annual</t>
  </si>
  <si>
    <t>Revenues</t>
  </si>
  <si>
    <t>Adjustment</t>
  </si>
  <si>
    <t>Interest</t>
  </si>
  <si>
    <t>Line</t>
  </si>
  <si>
    <t>Project</t>
  </si>
  <si>
    <t>Allocated</t>
  </si>
  <si>
    <t>Principal</t>
  </si>
  <si>
    <t>Rate on</t>
  </si>
  <si>
    <t>No.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</si>
  <si>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</si>
  <si>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</si>
  <si>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</si>
  <si>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</si>
  <si>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</si>
  <si>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</si>
  <si>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</si>
  <si>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</si>
  <si>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</si>
  <si>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</si>
  <si>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</si>
  <si>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</si>
  <si>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</si>
  <si>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</si>
  <si>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GG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</si>
  <si>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</si>
  <si>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</si>
  <si>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</si>
  <si>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</si>
  <si>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</si>
  <si>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</si>
  <si>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</si>
  <si>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</si>
  <si>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2</t>
  </si>
  <si>
    <t>Rounded to whole dollars.</t>
  </si>
  <si>
    <t>project 1</t>
  </si>
  <si>
    <t>project 2</t>
  </si>
  <si>
    <t>project 3</t>
  </si>
  <si>
    <t>project 4</t>
  </si>
  <si>
    <t>To be completed after the Attachment MM using actual data is completed for the True-Up Year</t>
  </si>
  <si>
    <t>Attachment MM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</si>
  <si>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</si>
  <si>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</si>
  <si>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2e</t>
  </si>
  <si>
    <t>2f</t>
  </si>
  <si>
    <t>2g</t>
  </si>
  <si>
    <t>2h</t>
  </si>
  <si>
    <t>2i</t>
  </si>
  <si>
    <t>2j</t>
  </si>
  <si>
    <t>Amount excludes True-Up Adjustment, as reported in True-Up Year projected Attachment MM, page 2, column 15.</t>
  </si>
  <si>
    <t>Annual Rate</t>
  </si>
  <si>
    <t xml:space="preserve">2016 Weighted Actual Rev Req </t>
  </si>
  <si>
    <t>Attachment O 2016 True-up calculation  (Schedule 9)</t>
  </si>
  <si>
    <t>Attachment GG 2016 True-up ( Schedule 26)</t>
  </si>
  <si>
    <t>Attachment MM 2016 True-up  (Schedule 26-A)</t>
  </si>
  <si>
    <t>Under/(Over) Collection of 2016 Divisor True-up</t>
  </si>
  <si>
    <t>November</t>
  </si>
  <si>
    <t>September 1 - 27</t>
  </si>
  <si>
    <t>September 28 - 30</t>
  </si>
  <si>
    <t>Interest Rates</t>
  </si>
  <si>
    <t>Monthly Rate</t>
  </si>
  <si>
    <t>2016 Days of the month Weightings - Schedule 9, 26 &amp; 26A</t>
  </si>
  <si>
    <t>Int Rate on Over-Recovery (FERC)  (four decimal places)</t>
  </si>
  <si>
    <t>Int Rate on Under-Recovery (ST Debt) (four decimal places)</t>
  </si>
  <si>
    <t>Weighted Net Actual 2016 Rev Requirement</t>
  </si>
  <si>
    <t>Weighted Net Projected 2016 Rev Requirement</t>
  </si>
  <si>
    <t>Under/(Over) Collection of 2016 Weighted Net Rev Req</t>
  </si>
  <si>
    <t>Weighted Prior Yr projected Annual Cost ($ per kw per year)</t>
  </si>
  <si>
    <t>Total 2016 Attachment O True-up Under/(Over) Recovery</t>
  </si>
  <si>
    <t>Calculation of Weighted Rev Req for 2016 True-up</t>
  </si>
  <si>
    <t>Weighted Actual Attachment GG Rev Req for 2016 True-Up</t>
  </si>
  <si>
    <t>Under/(Over) Recovery of 2016 GG Rev Req</t>
  </si>
  <si>
    <t>Total 2016 Attachment GG True-up Under/(Over) Recovery</t>
  </si>
  <si>
    <t>Calculation of Weighted Rev Req for Revised 2016 True-up</t>
  </si>
  <si>
    <t>Weighted Actual Attachment MM Rev Req for 2016 True-Up</t>
  </si>
  <si>
    <t>Under/(Over) Recovery of 2016 MM Rev Req</t>
  </si>
  <si>
    <t>Total 2016 Attachment MM True-up Under/(Over) Recovery</t>
  </si>
  <si>
    <t>Calculation of 2016 Weighted Attachment O Rev Req</t>
  </si>
  <si>
    <t>2016 True-up Calculations</t>
  </si>
  <si>
    <t>Per FERC's 9/28/16 Order in EL14-12, the ROE was revised from 12.38% to 10.32% (plus adders as applicable)</t>
  </si>
  <si>
    <t>effective 9/28/16.  The table below calculates the percentage of the year 2016 applicable to each ROE.  These</t>
  </si>
  <si>
    <r>
      <t xml:space="preserve">2016 Attachment GG True-Up Adjustment - </t>
    </r>
    <r>
      <rPr>
        <b/>
        <sz val="14"/>
        <color rgb="FFFF0000"/>
        <rFont val="Calibri"/>
        <family val="2"/>
        <scheme val="minor"/>
      </rPr>
      <t>Weighted ROE</t>
    </r>
  </si>
  <si>
    <r>
      <t xml:space="preserve">2016 Attachment MM True-Up Adjustment - </t>
    </r>
    <r>
      <rPr>
        <b/>
        <sz val="14"/>
        <color rgb="FFFF0000"/>
        <rFont val="Calibri"/>
        <family val="2"/>
        <scheme val="minor"/>
      </rPr>
      <t>Weighted</t>
    </r>
  </si>
  <si>
    <t>NIPSCO</t>
  </si>
  <si>
    <t>check - should tie to 2016 GG TU weighted ROE</t>
  </si>
  <si>
    <t>check - should tie to 2016 MM TU weighted ROE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</si>
  <si>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O, GG, and MM True-up weighted for the two different ROEs in effect during 2016</t>
    </r>
  </si>
  <si>
    <r>
      <t>Actual Attachment GG Revenues Received for 2016</t>
    </r>
    <r>
      <rPr>
        <vertAlign val="superscript"/>
        <sz val="10"/>
        <rFont val="Arial"/>
        <family val="2"/>
      </rPr>
      <t>1</t>
    </r>
  </si>
  <si>
    <r>
      <t>Actual Attachment MM Revenues for 2016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</si>
  <si>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MM, page 2, column 15.</t>
    </r>
  </si>
  <si>
    <t>Actual Attachment MM Rev Req for True-Up Year (Actual Attach GG, pg 2, col 14)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</si>
  <si>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GG by project True-up weighted for the two different ROEs in effect during 2016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</si>
  <si>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MM by project True-up weighted for the two different ROEs in effect during 2016</t>
    </r>
  </si>
  <si>
    <t>ALLETE (MP)</t>
  </si>
  <si>
    <t>AMIL</t>
  </si>
  <si>
    <t>ATXI</t>
  </si>
  <si>
    <t>ATC</t>
  </si>
  <si>
    <t>ITC</t>
  </si>
  <si>
    <t>ITCM</t>
  </si>
  <si>
    <t>METC</t>
  </si>
  <si>
    <t>MEC</t>
  </si>
  <si>
    <t>MDU</t>
  </si>
  <si>
    <t>OTP</t>
  </si>
  <si>
    <t>SIGECO/Vectren</t>
  </si>
  <si>
    <t>GRE</t>
  </si>
  <si>
    <t>Marshall</t>
  </si>
  <si>
    <t>DPC</t>
  </si>
  <si>
    <t>RPU</t>
  </si>
  <si>
    <t>CMMPA</t>
  </si>
  <si>
    <t>PPI</t>
  </si>
  <si>
    <t>Wilmar</t>
  </si>
  <si>
    <t>MRES</t>
  </si>
  <si>
    <t>Original ROE</t>
  </si>
  <si>
    <t>New ROE</t>
  </si>
  <si>
    <t>Forward looking TOs impacted by September 28, 2016 change in ROE</t>
  </si>
  <si>
    <t>TO</t>
  </si>
  <si>
    <t>Note:  adder effective 2/1/16 - impact for second ROE docket , but not EL14-12</t>
  </si>
  <si>
    <t>2016 Attachment GG True-Up Adjustment</t>
  </si>
  <si>
    <t xml:space="preserve">2016 Attachment GG True-Up Adjustment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</si>
  <si>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</si>
  <si>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 xml:space="preserve">2016 Attachment MM True-Up Adjustment </t>
  </si>
  <si>
    <t>2016 Rev Req at</t>
  </si>
  <si>
    <t xml:space="preserve">2016 Weighted </t>
  </si>
  <si>
    <t>Rev Req</t>
  </si>
  <si>
    <t>2016 Weighted Actual</t>
  </si>
  <si>
    <t>our standard abbreviations or check the last tab titled "List of ROE by TO"</t>
  </si>
  <si>
    <t>Adder effective 2/1/17 = 10.82%</t>
  </si>
  <si>
    <t>Company Name</t>
  </si>
  <si>
    <t>percentages are used to prorate the 2016 revenue requirement</t>
  </si>
  <si>
    <r>
      <t>Net</t>
    </r>
    <r>
      <rPr>
        <i/>
        <sz val="10"/>
        <rFont val="Arial"/>
        <family val="2"/>
      </rPr>
      <t xml:space="preserve"> Actual 2016 </t>
    </r>
    <r>
      <rPr>
        <sz val="10"/>
        <rFont val="Arial"/>
        <family val="2"/>
      </rPr>
      <t>Rev Req (Actual Attach O, Pg 1, Line 7)</t>
    </r>
    <r>
      <rPr>
        <vertAlign val="superscript"/>
        <sz val="10"/>
        <rFont val="Arial"/>
        <family val="2"/>
      </rPr>
      <t>1</t>
    </r>
  </si>
  <si>
    <t>MP= line 7b         GRE = line 7a        MEC = 7b</t>
  </si>
  <si>
    <t>MDU = line 7a      OTP = line 7a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</si>
  <si>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Attachment O line reference differs for the following TOs:</t>
    </r>
  </si>
  <si>
    <r>
      <t xml:space="preserve">Net </t>
    </r>
    <r>
      <rPr>
        <i/>
        <sz val="10"/>
        <rFont val="Arial"/>
        <family val="2"/>
      </rPr>
      <t>Projected</t>
    </r>
    <r>
      <rPr>
        <sz val="10"/>
        <rFont val="Arial"/>
        <family val="2"/>
      </rPr>
      <t xml:space="preserve"> 2016 Rev Req (Projected Attach O, Pg 1, Line 7)</t>
    </r>
    <r>
      <rPr>
        <vertAlign val="superscript"/>
        <sz val="10"/>
        <rFont val="Arial"/>
        <family val="2"/>
      </rPr>
      <t>1</t>
    </r>
  </si>
  <si>
    <t>Monthly Interest Rate (Over collection = FERC rate, Under collection = company rate)</t>
  </si>
  <si>
    <t>NSP</t>
  </si>
  <si>
    <t>Applicable Interest rate per month (expressed to four decimal places) (See Note 1)</t>
  </si>
  <si>
    <t>Note 1</t>
  </si>
  <si>
    <t>MP</t>
  </si>
  <si>
    <t>WMU</t>
  </si>
  <si>
    <t>Interest rate utilized by the TOs below is based on the aggregate Attachment MM Under/(Over) recovery reported on line 4</t>
  </si>
  <si>
    <t>Interest rate utilized by the TOs listed below is based on each individual project's Attachment MM Under/(Over) recovery reported on line 4</t>
  </si>
  <si>
    <t>Aggregate</t>
  </si>
  <si>
    <t>Individual</t>
  </si>
  <si>
    <t>MM Int Calc</t>
  </si>
  <si>
    <t>Per Attachment MM 4.C different TOs utilize different interest rates.  The formulas in column J have been developed to address this</t>
  </si>
  <si>
    <r>
      <t>Line 5 (</t>
    </r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)</t>
    </r>
  </si>
  <si>
    <t>project 5</t>
  </si>
  <si>
    <t>project 6</t>
  </si>
  <si>
    <t>project 7</t>
  </si>
  <si>
    <t>project 8</t>
  </si>
  <si>
    <t>Historic Year Actual Divisor for Transmission Owner (Attach O, Pg 1, Line 15)</t>
  </si>
  <si>
    <t>Proj'd Yr Divisor for Transmission Owner (Projected Attach O, Pg 1, Line 15)</t>
  </si>
  <si>
    <t>Actual Attachment GG Rev Req for True-Up Year (Actual Attach GG, pg 2, col 10) 1</t>
  </si>
  <si>
    <t>actual revenue collected</t>
  </si>
  <si>
    <t xml:space="preserve">Some TOs incl the True-up Adjustment - that is ok, but assure you are consistent for actual rev req, projected rev req and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</si>
  <si>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GG, page 2, column 11. </t>
    </r>
  </si>
  <si>
    <t>Some TOs incl the True-up Adjustment - that is ok, but assure you are consistent for actual rev req, projected rev req and actual revenue collected</t>
  </si>
  <si>
    <r>
      <t>Revenues</t>
    </r>
    <r>
      <rPr>
        <vertAlign val="superscript"/>
        <sz val="11"/>
        <rFont val="Calibri"/>
        <family val="2"/>
        <scheme val="minor"/>
      </rPr>
      <t xml:space="preserve"> 1</t>
    </r>
  </si>
  <si>
    <r>
      <t>Revenues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</si>
  <si>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Revenues</t>
    </r>
    <r>
      <rPr>
        <vertAlign val="superscript"/>
        <sz val="11"/>
        <rFont val="Calibri"/>
        <family val="2"/>
        <scheme val="minor"/>
      </rPr>
      <t>1</t>
    </r>
  </si>
  <si>
    <r>
      <t xml:space="preserve">Revenues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</si>
  <si>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</si>
  <si>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 xml:space="preserve"> - Interest on over recovery will be based on FERC's regulation 18 C.F.R 35.19a</t>
  </si>
  <si>
    <t>-  The interest rate to be applied to the over or under recovery amounts will be determined</t>
  </si>
  <si>
    <t>Short-Term</t>
  </si>
  <si>
    <t>Annualized</t>
  </si>
  <si>
    <t>FERC Rate</t>
  </si>
  <si>
    <t>using the average rate for the nineteen (19) months preceding August of the current year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</si>
  <si>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Short Term debt costs/rates are capped at the applicble FERC refund interest rate</t>
    </r>
  </si>
  <si>
    <r>
      <t xml:space="preserve">Debt Rate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</si>
  <si>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Amount excludes True-Up Adjustment, as reported in True-Up Year projected Attachment GG, page 2, column 11.  </t>
    </r>
    <r>
      <rPr>
        <sz val="11"/>
        <rFont val="Calibri"/>
        <family val="2"/>
        <scheme val="minor"/>
      </rPr>
      <t xml:space="preserve"> Be consistent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</si>
  <si>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font.  For "Company Name" be sure to use</t>
    </r>
  </si>
  <si>
    <t>Per Section VII.2 of the Annual True-up, Information Exchange and Challenge Procedures</t>
  </si>
  <si>
    <t>ST Debt Rate</t>
  </si>
  <si>
    <t>at the applicable FERC refund interest rate</t>
  </si>
  <si>
    <t>If you have no Attachment MM projects, you do not need to fill out this tab</t>
  </si>
  <si>
    <t>If you have no Attachment GG projects, you do not need to fill out this tab</t>
  </si>
  <si>
    <t>-  Interest on under recovery will be based on the actual short-term debt costs capped</t>
  </si>
  <si>
    <r>
      <rPr>
        <b/>
        <sz val="11"/>
        <rFont val="Calibri"/>
        <family val="2"/>
        <scheme val="minor"/>
      </rPr>
      <t>Instructions: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Do not make any changes to this tab  </t>
    </r>
  </si>
  <si>
    <t>This tab provides information to to allow the worksheet to calculate correctly</t>
  </si>
  <si>
    <t>If you note something that appears incorrect, please contact MISO Tariff Pricing</t>
  </si>
  <si>
    <t>If you have no Attachment GG projects you do not need to complete this section</t>
  </si>
  <si>
    <t>If you have no Attachment MM projects you do not need to complete this section</t>
  </si>
  <si>
    <t>Use 2016 revenue - take into consideration 2016</t>
  </si>
  <si>
    <t>impacts of recent ROE refunds processed in 2017</t>
  </si>
  <si>
    <t>that are 2016 related</t>
  </si>
  <si>
    <t>Review FERC rates and notify MISO if any rate appears incorrect</t>
  </si>
  <si>
    <t>Percent of Projected Revenue at ROE</t>
  </si>
  <si>
    <t>Percent of Actual Revenue Requirement at ROE</t>
  </si>
  <si>
    <t>Assure info used includes revised 2014 TU info, if applicable</t>
  </si>
  <si>
    <t>Use 2016 updated projections (incl revised 2014 TU if applicable)</t>
  </si>
  <si>
    <t>345/138 kV Substation at Francisco</t>
  </si>
  <si>
    <t>Transmission line Dubois to Newtonville</t>
  </si>
  <si>
    <t>345kV Transformer at AB Brown</t>
  </si>
  <si>
    <t>Gibson to AB Brown to Reid 345kV</t>
  </si>
  <si>
    <t>Upgrade Breed-Wheatland-Petersburg 345kV</t>
  </si>
  <si>
    <t>Total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</si>
</sst>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&quot;$&quot;#,##0.0000"/>
    <numFmt numFmtId="170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 applyAlignment="1"/>
    <xf numFmtId="0" fontId="1" fillId="0" borderId="0" xfId="5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165" fontId="2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0" fontId="2" fillId="3" borderId="0" xfId="1" applyNumberFormat="1" applyFont="1" applyFill="1" applyBorder="1" applyAlignment="1"/>
    <xf numFmtId="165" fontId="2" fillId="0" borderId="2" xfId="0" applyNumberFormat="1" applyFont="1" applyFill="1" applyBorder="1" applyAlignment="1"/>
    <xf numFmtId="0" fontId="4" fillId="0" borderId="0" xfId="4" applyFont="1" applyBorder="1"/>
    <xf numFmtId="0" fontId="5" fillId="0" borderId="0" xfId="4" applyFont="1" applyBorder="1"/>
    <xf numFmtId="165" fontId="2" fillId="0" borderId="0" xfId="0" applyNumberFormat="1" applyFont="1" applyAlignment="1"/>
    <xf numFmtId="164" fontId="2" fillId="0" borderId="0" xfId="1" applyNumberFormat="1" applyFont="1" applyFill="1" applyBorder="1" applyAlignment="1"/>
    <xf numFmtId="0" fontId="12" fillId="0" borderId="0" xfId="8" applyFont="1"/>
    <xf numFmtId="0" fontId="1" fillId="0" borderId="0" xfId="8" applyFont="1"/>
    <xf numFmtId="0" fontId="1" fillId="0" borderId="3" xfId="8" applyFont="1" applyBorder="1"/>
    <xf numFmtId="0" fontId="1" fillId="0" borderId="3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1" xfId="8" applyFont="1" applyBorder="1"/>
    <xf numFmtId="0" fontId="1" fillId="7" borderId="1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/>
    </xf>
    <xf numFmtId="0" fontId="13" fillId="0" borderId="0" xfId="0" applyFont="1" applyFill="1" applyBorder="1" applyAlignment="1"/>
    <xf numFmtId="166" fontId="13" fillId="0" borderId="0" xfId="10" applyNumberFormat="1" applyFont="1" applyBorder="1"/>
    <xf numFmtId="166" fontId="1" fillId="0" borderId="0" xfId="8" applyNumberFormat="1" applyFont="1" applyBorder="1"/>
    <xf numFmtId="10" fontId="13" fillId="0" borderId="0" xfId="11" applyNumberFormat="1" applyFont="1" applyBorder="1"/>
    <xf numFmtId="166" fontId="13" fillId="0" borderId="0" xfId="10" applyNumberFormat="1" applyFont="1" applyFill="1" applyBorder="1"/>
    <xf numFmtId="0" fontId="1" fillId="0" borderId="0" xfId="8" applyFont="1" applyFill="1"/>
    <xf numFmtId="0" fontId="1" fillId="0" borderId="0" xfId="8" applyFont="1" applyFill="1" applyBorder="1"/>
    <xf numFmtId="10" fontId="1" fillId="0" borderId="0" xfId="8" applyNumberFormat="1" applyFont="1"/>
    <xf numFmtId="43" fontId="1" fillId="0" borderId="0" xfId="8" applyNumberFormat="1" applyFont="1"/>
    <xf numFmtId="167" fontId="13" fillId="0" borderId="0" xfId="9" applyNumberFormat="1" applyFont="1" applyFill="1" applyBorder="1"/>
    <xf numFmtId="0" fontId="1" fillId="0" borderId="0" xfId="5"/>
    <xf numFmtId="0" fontId="1" fillId="0" borderId="0" xfId="5" applyAlignment="1">
      <alignment horizontal="center"/>
    </xf>
    <xf numFmtId="0" fontId="1" fillId="0" borderId="3" xfId="5" applyBorder="1"/>
    <xf numFmtId="0" fontId="1" fillId="0" borderId="3" xfId="5" applyBorder="1" applyAlignment="1">
      <alignment horizontal="center"/>
    </xf>
    <xf numFmtId="0" fontId="1" fillId="0" borderId="0" xfId="5" applyBorder="1"/>
    <xf numFmtId="0" fontId="1" fillId="0" borderId="1" xfId="5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1" xfId="5" applyBorder="1"/>
    <xf numFmtId="0" fontId="1" fillId="0" borderId="1" xfId="5" applyFill="1" applyBorder="1" applyAlignment="1">
      <alignment horizontal="center"/>
    </xf>
    <xf numFmtId="0" fontId="0" fillId="0" borderId="0" xfId="0" applyFill="1" applyBorder="1" applyAlignment="1"/>
    <xf numFmtId="166" fontId="0" fillId="0" borderId="0" xfId="10" applyNumberFormat="1" applyFont="1" applyBorder="1"/>
    <xf numFmtId="166" fontId="1" fillId="0" borderId="0" xfId="5" applyNumberFormat="1" applyBorder="1"/>
    <xf numFmtId="10" fontId="0" fillId="0" borderId="0" xfId="11" applyNumberFormat="1" applyFont="1" applyBorder="1"/>
    <xf numFmtId="167" fontId="0" fillId="0" borderId="0" xfId="9" applyNumberFormat="1" applyFont="1"/>
    <xf numFmtId="166" fontId="2" fillId="0" borderId="0" xfId="6" applyNumberFormat="1" applyFont="1" applyFill="1" applyBorder="1" applyAlignment="1"/>
    <xf numFmtId="10" fontId="2" fillId="0" borderId="0" xfId="1" applyNumberFormat="1" applyFont="1" applyAlignment="1"/>
    <xf numFmtId="166" fontId="10" fillId="0" borderId="0" xfId="6" applyNumberFormat="1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0" fontId="0" fillId="0" borderId="4" xfId="0" applyBorder="1"/>
    <xf numFmtId="0" fontId="10" fillId="0" borderId="0" xfId="0" applyFont="1" applyAlignment="1"/>
    <xf numFmtId="164" fontId="10" fillId="0" borderId="0" xfId="1" applyNumberFormat="1" applyFont="1" applyBorder="1" applyAlignment="1"/>
    <xf numFmtId="0" fontId="6" fillId="0" borderId="0" xfId="0" applyFont="1" applyBorder="1" applyAlignment="1">
      <alignment horizontal="center"/>
    </xf>
    <xf numFmtId="169" fontId="2" fillId="0" borderId="0" xfId="0" applyNumberFormat="1" applyFont="1" applyFill="1" applyBorder="1" applyAlignment="1"/>
    <xf numFmtId="10" fontId="4" fillId="0" borderId="0" xfId="4" applyNumberFormat="1" applyFont="1" applyBorder="1"/>
    <xf numFmtId="0" fontId="3" fillId="6" borderId="6" xfId="0" applyFont="1" applyFill="1" applyBorder="1" applyAlignment="1"/>
    <xf numFmtId="0" fontId="2" fillId="6" borderId="6" xfId="0" applyFont="1" applyFill="1" applyBorder="1" applyAlignment="1"/>
    <xf numFmtId="0" fontId="2" fillId="6" borderId="7" xfId="0" applyFont="1" applyFill="1" applyBorder="1" applyAlignment="1"/>
    <xf numFmtId="0" fontId="3" fillId="0" borderId="8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left" indent="2"/>
    </xf>
    <xf numFmtId="165" fontId="3" fillId="0" borderId="9" xfId="0" applyNumberFormat="1" applyFont="1" applyFill="1" applyBorder="1" applyAlignment="1"/>
    <xf numFmtId="0" fontId="4" fillId="0" borderId="8" xfId="4" applyFont="1" applyBorder="1"/>
    <xf numFmtId="166" fontId="2" fillId="0" borderId="9" xfId="6" applyNumberFormat="1" applyFont="1" applyFill="1" applyBorder="1" applyAlignment="1"/>
    <xf numFmtId="169" fontId="3" fillId="0" borderId="9" xfId="0" applyNumberFormat="1" applyFont="1" applyFill="1" applyBorder="1" applyAlignment="1"/>
    <xf numFmtId="0" fontId="5" fillId="0" borderId="8" xfId="4" applyFont="1" applyBorder="1"/>
    <xf numFmtId="0" fontId="5" fillId="0" borderId="8" xfId="4" applyFont="1" applyFill="1" applyBorder="1"/>
    <xf numFmtId="164" fontId="2" fillId="0" borderId="9" xfId="1" applyNumberFormat="1" applyFont="1" applyFill="1" applyBorder="1" applyAlignment="1"/>
    <xf numFmtId="5" fontId="3" fillId="0" borderId="9" xfId="0" applyNumberFormat="1" applyFont="1" applyFill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165" fontId="2" fillId="0" borderId="4" xfId="0" applyNumberFormat="1" applyFont="1" applyFill="1" applyBorder="1" applyAlignment="1"/>
    <xf numFmtId="165" fontId="3" fillId="0" borderId="11" xfId="0" applyNumberFormat="1" applyFont="1" applyFill="1" applyBorder="1" applyAlignment="1"/>
    <xf numFmtId="0" fontId="18" fillId="6" borderId="5" xfId="0" applyFont="1" applyFill="1" applyBorder="1" applyAlignment="1"/>
    <xf numFmtId="5" fontId="2" fillId="0" borderId="12" xfId="0" applyNumberFormat="1" applyFont="1" applyFill="1" applyBorder="1" applyAlignment="1"/>
    <xf numFmtId="165" fontId="2" fillId="0" borderId="9" xfId="0" applyNumberFormat="1" applyFont="1" applyFill="1" applyBorder="1" applyAlignment="1"/>
    <xf numFmtId="166" fontId="2" fillId="0" borderId="2" xfId="6" applyNumberFormat="1" applyFont="1" applyFill="1" applyBorder="1" applyAlignment="1"/>
    <xf numFmtId="5" fontId="2" fillId="0" borderId="2" xfId="12" applyNumberFormat="1" applyFont="1" applyFill="1" applyBorder="1" applyAlignment="1"/>
    <xf numFmtId="169" fontId="2" fillId="0" borderId="9" xfId="0" applyNumberFormat="1" applyFont="1" applyFill="1" applyBorder="1" applyAlignment="1"/>
    <xf numFmtId="166" fontId="2" fillId="0" borderId="13" xfId="6" applyNumberFormat="1" applyFont="1" applyFill="1" applyBorder="1" applyAlignment="1"/>
    <xf numFmtId="165" fontId="2" fillId="0" borderId="13" xfId="0" applyNumberFormat="1" applyFont="1" applyFill="1" applyBorder="1" applyAlignment="1"/>
    <xf numFmtId="5" fontId="2" fillId="0" borderId="0" xfId="0" applyNumberFormat="1" applyFont="1" applyBorder="1" applyAlignment="1"/>
    <xf numFmtId="165" fontId="7" fillId="0" borderId="0" xfId="3" applyNumberFormat="1" applyFont="1" applyFill="1" applyBorder="1" applyAlignment="1"/>
    <xf numFmtId="5" fontId="2" fillId="0" borderId="9" xfId="0" applyNumberFormat="1" applyFont="1" applyBorder="1" applyAlignment="1"/>
    <xf numFmtId="165" fontId="3" fillId="0" borderId="4" xfId="0" applyNumberFormat="1" applyFont="1" applyBorder="1" applyAlignment="1"/>
    <xf numFmtId="5" fontId="2" fillId="0" borderId="11" xfId="0" applyNumberFormat="1" applyFont="1" applyBorder="1" applyAlignment="1"/>
    <xf numFmtId="0" fontId="3" fillId="4" borderId="6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2" fillId="0" borderId="11" xfId="0" applyFont="1" applyBorder="1" applyAlignment="1"/>
    <xf numFmtId="0" fontId="2" fillId="0" borderId="0" xfId="0" applyFont="1" applyBorder="1" applyAlignment="1">
      <alignment horizontal="left" indent="17"/>
    </xf>
    <xf numFmtId="0" fontId="0" fillId="0" borderId="0" xfId="0" applyBorder="1" applyAlignment="1">
      <alignment horizontal="left" indent="17"/>
    </xf>
    <xf numFmtId="0" fontId="0" fillId="0" borderId="0" xfId="0" applyFont="1" applyBorder="1" applyAlignment="1">
      <alignment horizontal="left" indent="17"/>
    </xf>
    <xf numFmtId="0" fontId="6" fillId="4" borderId="5" xfId="0" applyFont="1" applyFill="1" applyBorder="1" applyAlignment="1"/>
    <xf numFmtId="0" fontId="6" fillId="5" borderId="5" xfId="0" applyFont="1" applyFill="1" applyBorder="1" applyAlignment="1"/>
    <xf numFmtId="0" fontId="3" fillId="5" borderId="6" xfId="0" applyFont="1" applyFill="1" applyBorder="1" applyAlignment="1"/>
    <xf numFmtId="0" fontId="2" fillId="5" borderId="6" xfId="0" applyFont="1" applyFill="1" applyBorder="1" applyAlignment="1"/>
    <xf numFmtId="0" fontId="1" fillId="5" borderId="7" xfId="5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9" xfId="1" applyNumberFormat="1" applyFont="1" applyBorder="1"/>
    <xf numFmtId="10" fontId="0" fillId="3" borderId="9" xfId="1" applyNumberFormat="1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5" fontId="2" fillId="0" borderId="13" xfId="6" applyNumberFormat="1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2" fillId="0" borderId="4" xfId="1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164" fontId="10" fillId="0" borderId="11" xfId="1" applyNumberFormat="1" applyFont="1" applyBorder="1" applyAlignment="1"/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1" fillId="8" borderId="0" xfId="3" quotePrefix="1" applyNumberFormat="1" applyFont="1" applyFill="1" applyBorder="1" applyAlignment="1"/>
    <xf numFmtId="165" fontId="21" fillId="8" borderId="0" xfId="3" applyNumberFormat="1" applyFont="1" applyFill="1" applyBorder="1" applyAlignment="1"/>
    <xf numFmtId="166" fontId="21" fillId="8" borderId="9" xfId="6" applyNumberFormat="1" applyFont="1" applyFill="1" applyBorder="1" applyAlignment="1"/>
    <xf numFmtId="166" fontId="21" fillId="8" borderId="12" xfId="6" applyNumberFormat="1" applyFont="1" applyFill="1" applyBorder="1" applyAlignment="1"/>
    <xf numFmtId="5" fontId="21" fillId="8" borderId="9" xfId="6" applyNumberFormat="1" applyFont="1" applyFill="1" applyBorder="1" applyAlignment="1"/>
    <xf numFmtId="5" fontId="21" fillId="8" borderId="9" xfId="0" applyNumberFormat="1" applyFont="1" applyFill="1" applyBorder="1" applyAlignment="1"/>
    <xf numFmtId="165" fontId="2" fillId="0" borderId="0" xfId="3" applyNumberFormat="1" applyFont="1" applyFill="1" applyBorder="1" applyAlignment="1"/>
    <xf numFmtId="5" fontId="18" fillId="0" borderId="9" xfId="0" applyNumberFormat="1" applyFont="1" applyBorder="1" applyAlignment="1"/>
    <xf numFmtId="5" fontId="18" fillId="0" borderId="9" xfId="0" applyNumberFormat="1" applyFont="1" applyFill="1" applyBorder="1" applyAlignment="1"/>
    <xf numFmtId="0" fontId="22" fillId="0" borderId="8" xfId="0" applyFont="1" applyBorder="1" applyAlignment="1"/>
    <xf numFmtId="0" fontId="22" fillId="0" borderId="8" xfId="0" applyFont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164" fontId="13" fillId="0" borderId="0" xfId="11" applyNumberFormat="1" applyFont="1" applyBorder="1"/>
    <xf numFmtId="0" fontId="11" fillId="2" borderId="5" xfId="8" applyFont="1" applyFill="1" applyBorder="1"/>
    <xf numFmtId="0" fontId="12" fillId="2" borderId="6" xfId="8" applyFont="1" applyFill="1" applyBorder="1"/>
    <xf numFmtId="0" fontId="12" fillId="2" borderId="7" xfId="8" applyFont="1" applyFill="1" applyBorder="1"/>
    <xf numFmtId="0" fontId="1" fillId="2" borderId="8" xfId="8" applyFont="1" applyFill="1" applyBorder="1"/>
    <xf numFmtId="0" fontId="1" fillId="2" borderId="0" xfId="8" applyFont="1" applyFill="1" applyBorder="1"/>
    <xf numFmtId="0" fontId="1" fillId="2" borderId="9" xfId="8" applyFont="1" applyFill="1" applyBorder="1"/>
    <xf numFmtId="0" fontId="1" fillId="2" borderId="0" xfId="8" applyFont="1" applyFill="1" applyBorder="1" applyAlignment="1">
      <alignment horizontal="right"/>
    </xf>
    <xf numFmtId="0" fontId="1" fillId="0" borderId="8" xfId="8" applyFont="1" applyBorder="1"/>
    <xf numFmtId="0" fontId="1" fillId="0" borderId="9" xfId="8" applyFont="1" applyBorder="1"/>
    <xf numFmtId="0" fontId="1" fillId="0" borderId="8" xfId="8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0" fontId="1" fillId="0" borderId="14" xfId="8" applyFont="1" applyBorder="1"/>
    <xf numFmtId="0" fontId="1" fillId="0" borderId="15" xfId="8" applyFont="1" applyBorder="1"/>
    <xf numFmtId="0" fontId="1" fillId="0" borderId="16" xfId="8" applyFont="1" applyBorder="1" applyAlignment="1">
      <alignment horizontal="center"/>
    </xf>
    <xf numFmtId="0" fontId="1" fillId="0" borderId="12" xfId="8" applyFont="1" applyFill="1" applyBorder="1" applyAlignment="1">
      <alignment horizontal="center"/>
    </xf>
    <xf numFmtId="0" fontId="1" fillId="0" borderId="16" xfId="8" applyFont="1" applyBorder="1"/>
    <xf numFmtId="0" fontId="1" fillId="0" borderId="8" xfId="8" applyFont="1" applyBorder="1" applyAlignment="1">
      <alignment horizontal="center" vertical="center"/>
    </xf>
    <xf numFmtId="166" fontId="1" fillId="0" borderId="9" xfId="8" applyNumberFormat="1" applyFont="1" applyBorder="1"/>
    <xf numFmtId="0" fontId="1" fillId="0" borderId="8" xfId="5" applyBorder="1" applyAlignment="1">
      <alignment horizontal="center"/>
    </xf>
    <xf numFmtId="0" fontId="1" fillId="0" borderId="12" xfId="8" applyFont="1" applyBorder="1"/>
    <xf numFmtId="167" fontId="13" fillId="0" borderId="0" xfId="9" applyNumberFormat="1" applyFont="1" applyBorder="1"/>
    <xf numFmtId="167" fontId="13" fillId="0" borderId="9" xfId="9" applyNumberFormat="1" applyFont="1" applyBorder="1"/>
    <xf numFmtId="0" fontId="14" fillId="0" borderId="8" xfId="8" quotePrefix="1" applyFont="1" applyBorder="1" applyAlignment="1">
      <alignment horizontal="center"/>
    </xf>
    <xf numFmtId="168" fontId="13" fillId="0" borderId="0" xfId="1" applyNumberFormat="1" applyFont="1" applyFill="1" applyBorder="1" applyAlignment="1"/>
    <xf numFmtId="0" fontId="14" fillId="0" borderId="10" xfId="8" quotePrefix="1" applyFont="1" applyBorder="1" applyAlignment="1">
      <alignment horizontal="center"/>
    </xf>
    <xf numFmtId="0" fontId="1" fillId="0" borderId="4" xfId="8" applyFont="1" applyBorder="1"/>
    <xf numFmtId="0" fontId="1" fillId="0" borderId="11" xfId="8" applyFont="1" applyBorder="1"/>
    <xf numFmtId="0" fontId="11" fillId="9" borderId="5" xfId="8" applyFont="1" applyFill="1" applyBorder="1"/>
    <xf numFmtId="0" fontId="12" fillId="9" borderId="6" xfId="8" applyFont="1" applyFill="1" applyBorder="1"/>
    <xf numFmtId="0" fontId="12" fillId="9" borderId="7" xfId="8" applyFont="1" applyFill="1" applyBorder="1"/>
    <xf numFmtId="0" fontId="1" fillId="9" borderId="8" xfId="8" applyFont="1" applyFill="1" applyBorder="1"/>
    <xf numFmtId="0" fontId="1" fillId="9" borderId="0" xfId="8" applyFont="1" applyFill="1" applyBorder="1"/>
    <xf numFmtId="0" fontId="1" fillId="9" borderId="9" xfId="8" applyFont="1" applyFill="1" applyBorder="1"/>
    <xf numFmtId="0" fontId="1" fillId="9" borderId="0" xfId="8" applyFont="1" applyFill="1" applyBorder="1" applyAlignment="1">
      <alignment horizontal="right"/>
    </xf>
    <xf numFmtId="0" fontId="13" fillId="9" borderId="0" xfId="8" applyFont="1" applyFill="1" applyBorder="1"/>
    <xf numFmtId="0" fontId="1" fillId="0" borderId="10" xfId="8" applyFont="1" applyBorder="1" applyAlignment="1">
      <alignment horizontal="center"/>
    </xf>
    <xf numFmtId="167" fontId="13" fillId="0" borderId="4" xfId="9" applyNumberFormat="1" applyFont="1" applyBorder="1"/>
    <xf numFmtId="167" fontId="13" fillId="0" borderId="11" xfId="9" applyNumberFormat="1" applyFont="1" applyBorder="1"/>
    <xf numFmtId="0" fontId="0" fillId="0" borderId="4" xfId="8" applyFont="1" applyBorder="1"/>
    <xf numFmtId="0" fontId="15" fillId="0" borderId="4" xfId="0" applyFont="1" applyFill="1" applyBorder="1" applyAlignment="1">
      <alignment horizontal="left"/>
    </xf>
    <xf numFmtId="0" fontId="11" fillId="4" borderId="5" xfId="8" applyFont="1" applyFill="1" applyBorder="1"/>
    <xf numFmtId="0" fontId="12" fillId="4" borderId="6" xfId="8" applyFont="1" applyFill="1" applyBorder="1"/>
    <xf numFmtId="0" fontId="12" fillId="4" borderId="7" xfId="8" applyFont="1" applyFill="1" applyBorder="1"/>
    <xf numFmtId="0" fontId="1" fillId="4" borderId="8" xfId="8" applyFont="1" applyFill="1" applyBorder="1"/>
    <xf numFmtId="0" fontId="1" fillId="4" borderId="0" xfId="8" applyFont="1" applyFill="1" applyBorder="1"/>
    <xf numFmtId="0" fontId="1" fillId="4" borderId="9" xfId="8" applyFont="1" applyFill="1" applyBorder="1"/>
    <xf numFmtId="0" fontId="1" fillId="4" borderId="0" xfId="8" applyFont="1" applyFill="1" applyBorder="1" applyAlignment="1">
      <alignment horizontal="right"/>
    </xf>
    <xf numFmtId="0" fontId="13" fillId="4" borderId="0" xfId="8" applyFont="1" applyFill="1" applyBorder="1"/>
    <xf numFmtId="0" fontId="16" fillId="2" borderId="5" xfId="5" applyFont="1" applyFill="1" applyBorder="1"/>
    <xf numFmtId="0" fontId="1" fillId="2" borderId="6" xfId="5" applyFill="1" applyBorder="1"/>
    <xf numFmtId="0" fontId="1" fillId="2" borderId="7" xfId="5" applyFill="1" applyBorder="1"/>
    <xf numFmtId="0" fontId="1" fillId="2" borderId="8" xfId="5" applyFill="1" applyBorder="1"/>
    <xf numFmtId="0" fontId="1" fillId="2" borderId="0" xfId="5" applyFill="1" applyBorder="1"/>
    <xf numFmtId="0" fontId="1" fillId="2" borderId="9" xfId="5" applyFill="1" applyBorder="1"/>
    <xf numFmtId="0" fontId="1" fillId="2" borderId="0" xfId="5" applyFill="1" applyBorder="1" applyAlignment="1">
      <alignment horizontal="right"/>
    </xf>
    <xf numFmtId="0" fontId="1" fillId="0" borderId="9" xfId="5" applyBorder="1" applyAlignment="1">
      <alignment horizontal="center"/>
    </xf>
    <xf numFmtId="0" fontId="1" fillId="0" borderId="14" xfId="5" applyBorder="1"/>
    <xf numFmtId="0" fontId="1" fillId="0" borderId="15" xfId="5" applyBorder="1"/>
    <xf numFmtId="0" fontId="1" fillId="0" borderId="8" xfId="5" applyBorder="1"/>
    <xf numFmtId="0" fontId="1" fillId="0" borderId="9" xfId="5" applyBorder="1"/>
    <xf numFmtId="0" fontId="1" fillId="0" borderId="16" xfId="5" applyBorder="1" applyAlignment="1">
      <alignment horizontal="center"/>
    </xf>
    <xf numFmtId="0" fontId="1" fillId="0" borderId="12" xfId="5" applyFill="1" applyBorder="1" applyAlignment="1">
      <alignment horizontal="center"/>
    </xf>
    <xf numFmtId="0" fontId="1" fillId="0" borderId="16" xfId="5" applyBorder="1"/>
    <xf numFmtId="0" fontId="1" fillId="0" borderId="8" xfId="5" applyBorder="1" applyAlignment="1">
      <alignment horizontal="center" vertical="center"/>
    </xf>
    <xf numFmtId="166" fontId="1" fillId="0" borderId="9" xfId="5" applyNumberFormat="1" applyBorder="1"/>
    <xf numFmtId="0" fontId="1" fillId="0" borderId="12" xfId="5" applyBorder="1"/>
    <xf numFmtId="167" fontId="0" fillId="0" borderId="0" xfId="9" applyNumberFormat="1" applyFont="1" applyBorder="1"/>
    <xf numFmtId="167" fontId="0" fillId="0" borderId="9" xfId="9" applyNumberFormat="1" applyFont="1" applyBorder="1"/>
    <xf numFmtId="0" fontId="14" fillId="0" borderId="8" xfId="5" quotePrefix="1" applyFont="1" applyBorder="1" applyAlignment="1">
      <alignment horizontal="center"/>
    </xf>
    <xf numFmtId="0" fontId="14" fillId="0" borderId="10" xfId="5" quotePrefix="1" applyFont="1" applyBorder="1" applyAlignment="1">
      <alignment horizontal="center"/>
    </xf>
    <xf numFmtId="0" fontId="1" fillId="0" borderId="4" xfId="5" applyBorder="1"/>
    <xf numFmtId="0" fontId="1" fillId="0" borderId="11" xfId="5" applyBorder="1"/>
    <xf numFmtId="0" fontId="16" fillId="9" borderId="5" xfId="5" applyFont="1" applyFill="1" applyBorder="1"/>
    <xf numFmtId="0" fontId="1" fillId="9" borderId="6" xfId="5" applyFill="1" applyBorder="1"/>
    <xf numFmtId="0" fontId="1" fillId="9" borderId="7" xfId="5" applyFill="1" applyBorder="1"/>
    <xf numFmtId="0" fontId="1" fillId="9" borderId="8" xfId="5" applyFill="1" applyBorder="1"/>
    <xf numFmtId="0" fontId="1" fillId="9" borderId="0" xfId="5" applyFill="1" applyBorder="1"/>
    <xf numFmtId="0" fontId="1" fillId="9" borderId="9" xfId="5" applyFill="1" applyBorder="1"/>
    <xf numFmtId="0" fontId="1" fillId="9" borderId="0" xfId="5" applyFill="1" applyBorder="1" applyAlignment="1">
      <alignment horizontal="right"/>
    </xf>
    <xf numFmtId="0" fontId="1" fillId="0" borderId="10" xfId="5" applyBorder="1" applyAlignment="1">
      <alignment horizontal="center"/>
    </xf>
    <xf numFmtId="167" fontId="0" fillId="0" borderId="4" xfId="9" applyNumberFormat="1" applyFont="1" applyBorder="1"/>
    <xf numFmtId="167" fontId="0" fillId="0" borderId="11" xfId="9" applyNumberFormat="1" applyFont="1" applyBorder="1"/>
    <xf numFmtId="0" fontId="16" fillId="4" borderId="5" xfId="5" applyFont="1" applyFill="1" applyBorder="1"/>
    <xf numFmtId="0" fontId="1" fillId="4" borderId="6" xfId="5" applyFill="1" applyBorder="1"/>
    <xf numFmtId="0" fontId="1" fillId="4" borderId="7" xfId="5" applyFill="1" applyBorder="1"/>
    <xf numFmtId="0" fontId="1" fillId="4" borderId="8" xfId="5" applyFill="1" applyBorder="1"/>
    <xf numFmtId="0" fontId="1" fillId="4" borderId="0" xfId="5" applyFill="1" applyBorder="1"/>
    <xf numFmtId="0" fontId="1" fillId="4" borderId="9" xfId="5" applyFill="1" applyBorder="1"/>
    <xf numFmtId="0" fontId="1" fillId="4" borderId="0" xfId="5" applyFill="1" applyBorder="1" applyAlignment="1">
      <alignment horizontal="right"/>
    </xf>
    <xf numFmtId="0" fontId="24" fillId="2" borderId="0" xfId="0" applyNumberFormat="1" applyFont="1" applyFill="1" applyBorder="1"/>
    <xf numFmtId="0" fontId="24" fillId="9" borderId="0" xfId="0" applyNumberFormat="1" applyFont="1" applyFill="1" applyBorder="1"/>
    <xf numFmtId="0" fontId="24" fillId="4" borderId="0" xfId="0" applyNumberFormat="1" applyFont="1" applyFill="1" applyBorder="1"/>
    <xf numFmtId="0" fontId="18" fillId="0" borderId="5" xfId="0" applyFont="1" applyBorder="1" applyAlignment="1"/>
    <xf numFmtId="0" fontId="3" fillId="0" borderId="6" xfId="0" applyFont="1" applyBorder="1" applyAlignment="1"/>
    <xf numFmtId="10" fontId="0" fillId="0" borderId="11" xfId="1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3" fillId="8" borderId="0" xfId="0" applyNumberFormat="1" applyFont="1" applyFill="1" applyBorder="1" applyAlignment="1"/>
    <xf numFmtId="1" fontId="23" fillId="8" borderId="0" xfId="0" applyNumberFormat="1" applyFont="1" applyFill="1" applyBorder="1" applyAlignment="1">
      <alignment horizontal="right"/>
    </xf>
    <xf numFmtId="166" fontId="23" fillId="8" borderId="0" xfId="10" applyNumberFormat="1" applyFont="1" applyFill="1" applyBorder="1"/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horizontal="right"/>
    </xf>
    <xf numFmtId="166" fontId="2" fillId="0" borderId="0" xfId="6" applyNumberFormat="1" applyFont="1" applyAlignment="1"/>
    <xf numFmtId="5" fontId="2" fillId="0" borderId="0" xfId="0" applyNumberFormat="1" applyFont="1" applyAlignment="1"/>
    <xf numFmtId="167" fontId="11" fillId="0" borderId="9" xfId="9" applyNumberFormat="1" applyFont="1" applyBorder="1"/>
    <xf numFmtId="0" fontId="12" fillId="0" borderId="0" xfId="8" applyFont="1" applyFill="1" applyBorder="1"/>
    <xf numFmtId="10" fontId="1" fillId="0" borderId="0" xfId="8" applyNumberFormat="1" applyFont="1" applyFill="1" applyBorder="1"/>
    <xf numFmtId="43" fontId="1" fillId="0" borderId="0" xfId="8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10" fontId="0" fillId="0" borderId="0" xfId="1" applyNumberFormat="1" applyFont="1"/>
    <xf numFmtId="10" fontId="0" fillId="4" borderId="0" xfId="1" applyNumberFormat="1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0" fontId="17" fillId="2" borderId="6" xfId="1" applyNumberFormat="1" applyFont="1" applyFill="1" applyBorder="1" applyAlignment="1">
      <alignment horizontal="left"/>
    </xf>
    <xf numFmtId="10" fontId="17" fillId="9" borderId="6" xfId="1" applyNumberFormat="1" applyFont="1" applyFill="1" applyBorder="1" applyAlignment="1">
      <alignment horizontal="left"/>
    </xf>
    <xf numFmtId="0" fontId="25" fillId="8" borderId="0" xfId="0" applyFont="1" applyFill="1" applyAlignment="1">
      <alignment horizontal="left"/>
    </xf>
    <xf numFmtId="10" fontId="3" fillId="0" borderId="1" xfId="1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5" fontId="2" fillId="0" borderId="0" xfId="6" applyNumberFormat="1" applyFont="1" applyAlignment="1"/>
    <xf numFmtId="0" fontId="2" fillId="0" borderId="0" xfId="0" applyFont="1" applyFill="1" applyAlignment="1">
      <alignment horizontal="left" indent="1"/>
    </xf>
    <xf numFmtId="0" fontId="0" fillId="2" borderId="0" xfId="0" applyFill="1"/>
    <xf numFmtId="0" fontId="0" fillId="0" borderId="4" xfId="5" applyFont="1" applyBorder="1"/>
    <xf numFmtId="0" fontId="0" fillId="0" borderId="0" xfId="5" applyFont="1"/>
    <xf numFmtId="0" fontId="9" fillId="0" borderId="0" xfId="5" applyFont="1"/>
    <xf numFmtId="0" fontId="0" fillId="0" borderId="0" xfId="5" applyFont="1" applyAlignment="1">
      <alignment horizontal="left" indent="1"/>
    </xf>
    <xf numFmtId="0" fontId="0" fillId="0" borderId="0" xfId="5" applyFont="1" applyAlignment="1">
      <alignment horizontal="left" indent="2"/>
    </xf>
    <xf numFmtId="0" fontId="0" fillId="0" borderId="8" xfId="5" applyFont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167" fontId="2" fillId="0" borderId="9" xfId="12" applyNumberFormat="1" applyFont="1" applyBorder="1" applyAlignment="1"/>
    <xf numFmtId="167" fontId="18" fillId="0" borderId="9" xfId="12" applyNumberFormat="1" applyFont="1" applyBorder="1" applyAlignment="1"/>
    <xf numFmtId="0" fontId="27" fillId="0" borderId="0" xfId="0" applyFont="1" applyFill="1" applyAlignment="1">
      <alignment horizontal="left"/>
    </xf>
    <xf numFmtId="0" fontId="2" fillId="0" borderId="0" xfId="0" quotePrefix="1" applyFont="1" applyAlignment="1"/>
    <xf numFmtId="164" fontId="10" fillId="0" borderId="9" xfId="1" quotePrefix="1" applyNumberFormat="1" applyFont="1" applyBorder="1" applyAlignment="1"/>
    <xf numFmtId="0" fontId="0" fillId="0" borderId="1" xfId="8" applyFont="1" applyBorder="1" applyAlignment="1">
      <alignment horizontal="center"/>
    </xf>
    <xf numFmtId="0" fontId="0" fillId="0" borderId="0" xfId="8" applyFont="1" applyFill="1" applyBorder="1"/>
    <xf numFmtId="0" fontId="0" fillId="0" borderId="1" xfId="5" applyFont="1" applyBorder="1" applyAlignment="1">
      <alignment horizontal="center"/>
    </xf>
    <xf numFmtId="10" fontId="3" fillId="0" borderId="0" xfId="1" applyNumberFormat="1" applyFont="1" applyBorder="1" applyAlignment="1">
      <alignment horizontal="center" wrapText="1"/>
    </xf>
    <xf numFmtId="0" fontId="0" fillId="0" borderId="0" xfId="8" applyFont="1" applyFill="1" applyBorder="1" applyAlignment="1">
      <alignment horizontal="left" indent="1"/>
    </xf>
    <xf numFmtId="0" fontId="0" fillId="0" borderId="8" xfId="8" applyFont="1" applyFill="1" applyBorder="1"/>
    <xf numFmtId="0" fontId="0" fillId="0" borderId="8" xfId="8" applyFont="1" applyFill="1" applyBorder="1" applyAlignment="1">
      <alignment horizontal="left" indent="1"/>
    </xf>
    <xf numFmtId="0" fontId="0" fillId="0" borderId="10" xfId="8" applyFont="1" applyFill="1" applyBorder="1" applyAlignment="1">
      <alignment horizontal="left" indent="1"/>
    </xf>
    <xf numFmtId="0" fontId="0" fillId="0" borderId="8" xfId="5" applyFont="1" applyBorder="1"/>
    <xf numFmtId="0" fontId="0" fillId="0" borderId="0" xfId="0" applyFill="1"/>
    <xf numFmtId="0" fontId="9" fillId="0" borderId="1" xfId="0" applyFont="1" applyBorder="1" applyAlignment="1">
      <alignment horizontal="center"/>
    </xf>
    <xf numFmtId="0" fontId="0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" fontId="0" fillId="0" borderId="0" xfId="0" applyNumberFormat="1"/>
    <xf numFmtId="10" fontId="23" fillId="8" borderId="0" xfId="1" applyNumberFormat="1" applyFont="1" applyFill="1"/>
    <xf numFmtId="10" fontId="23" fillId="0" borderId="0" xfId="1" applyNumberFormat="1" applyFont="1" applyFill="1"/>
    <xf numFmtId="10" fontId="0" fillId="0" borderId="0" xfId="0" applyNumberFormat="1"/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 applyAlignment="1"/>
    <xf numFmtId="10" fontId="0" fillId="0" borderId="0" xfId="0" applyNumberForma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167" fontId="29" fillId="0" borderId="9" xfId="12" applyNumberFormat="1" applyFont="1" applyBorder="1"/>
    <xf numFmtId="164" fontId="2" fillId="0" borderId="9" xfId="1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left" indent="9"/>
    </xf>
    <xf numFmtId="164" fontId="0" fillId="0" borderId="0" xfId="0" applyNumberFormat="1"/>
    <xf numFmtId="166" fontId="2" fillId="0" borderId="13" xfId="12" applyNumberFormat="1" applyFont="1" applyFill="1" applyBorder="1" applyAlignment="1"/>
    <xf numFmtId="164" fontId="0" fillId="0" borderId="17" xfId="1" applyNumberFormat="1" applyFont="1" applyBorder="1"/>
    <xf numFmtId="164" fontId="0" fillId="0" borderId="17" xfId="0" applyNumberFormat="1" applyBorder="1"/>
    <xf numFmtId="0" fontId="0" fillId="0" borderId="0" xfId="0" quotePrefix="1" applyFont="1" applyAlignment="1">
      <alignment horizontal="left" indent="2"/>
    </xf>
    <xf numFmtId="0" fontId="32" fillId="0" borderId="0" xfId="0" applyFont="1"/>
    <xf numFmtId="0" fontId="32" fillId="0" borderId="0" xfId="0" applyFont="1" applyAlignment="1">
      <alignment horizontal="left" indent="8"/>
    </xf>
    <xf numFmtId="0" fontId="32" fillId="0" borderId="0" xfId="0" applyFont="1" applyAlignment="1">
      <alignment horizontal="left" indent="2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18" fillId="0" borderId="9" xfId="12" applyNumberFormat="1" applyFont="1" applyFill="1" applyBorder="1" applyAlignment="1"/>
    <xf numFmtId="0" fontId="2" fillId="0" borderId="0" xfId="0" applyFont="1" applyFill="1" applyAlignment="1">
      <alignment horizontal="left" indent="9"/>
    </xf>
    <xf numFmtId="166" fontId="0" fillId="0" borderId="0" xfId="6" applyNumberFormat="1" applyFont="1" applyFill="1" applyBorder="1"/>
    <xf numFmtId="166" fontId="0" fillId="0" borderId="4" xfId="6" applyNumberFormat="1" applyFont="1" applyBorder="1"/>
    <xf numFmtId="170" fontId="0" fillId="0" borderId="4" xfId="6" applyNumberFormat="1" applyFont="1" applyBorder="1"/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0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0" fillId="0" borderId="0" xfId="8" applyFont="1" applyFill="1" applyBorder="1" applyAlignment="1">
      <alignment horizontal="center" wrapText="1"/>
    </xf>
    <xf numFmtId="0" fontId="1" fillId="0" borderId="0" xfId="8" applyFont="1" applyBorder="1" applyAlignment="1">
      <alignment horizontal="center" wrapText="1"/>
    </xf>
    <xf numFmtId="0" fontId="1" fillId="0" borderId="0" xfId="5" applyBorder="1" applyAlignment="1">
      <alignment horizontal="center" wrapText="1"/>
    </xf>
    <xf numFmtId="0" fontId="0" fillId="0" borderId="0" xfId="8" applyFont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10" borderId="0" xfId="0" applyFill="1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13">
    <cellStyle name="Comma" xfId="6" builtinId="3"/>
    <cellStyle name="Comma 15 3" xfId="10"/>
    <cellStyle name="Comma 3 14" xfId="7"/>
    <cellStyle name="Currency" xfId="12" builtinId="4"/>
    <cellStyle name="Currency 10" xfId="3"/>
    <cellStyle name="Currency 41 2" xfId="9"/>
    <cellStyle name="Normal" xfId="0" builtinId="0"/>
    <cellStyle name="Normal 29" xfId="5"/>
    <cellStyle name="Normal 29 2" xfId="8"/>
    <cellStyle name="Normal 3 2" xfId="2"/>
    <cellStyle name="Normal 4 15 2 3" xfId="4"/>
    <cellStyle name="Percent" xfId="1" builtinId="5"/>
    <cellStyle name="Percent 25 2" xfId="11"/>
  </cellStyles>
  <dxfs count="0"/>
  <tableStyles count="0" defaultTableStyle="TableStyleMedium2" defaultPivotStyle="PivotStyleLight16"/>
  <colors>
    <mruColors>
      <color rgb="FFFFCCFF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39</xdr:row>
      <xdr:rowOff>114300</xdr:rowOff>
    </xdr:from>
    <xdr:to>
      <xdr:col>5</xdr:col>
      <xdr:colOff>559308</xdr:colOff>
      <xdr:row>39</xdr:row>
      <xdr:rowOff>114300</xdr:rowOff>
    </xdr:to>
    <xdr:cxnSp macro="">
      <xdr:nvCxnSpPr>
        <xdr:cNvPr id="3" name="Straight Arrow Connector 2"/>
        <xdr:cNvCxnSpPr/>
      </xdr:nvCxnSpPr>
      <xdr:spPr>
        <a:xfrm flipH="1" flipV="1">
          <a:off x="6050280" y="7437120"/>
          <a:ext cx="1435608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43</xdr:row>
      <xdr:rowOff>106680</xdr:rowOff>
    </xdr:from>
    <xdr:to>
      <xdr:col>5</xdr:col>
      <xdr:colOff>571500</xdr:colOff>
      <xdr:row>43</xdr:row>
      <xdr:rowOff>106680</xdr:rowOff>
    </xdr:to>
    <xdr:cxnSp macro="">
      <xdr:nvCxnSpPr>
        <xdr:cNvPr id="6" name="Straight Arrow Connector 5"/>
        <xdr:cNvCxnSpPr/>
      </xdr:nvCxnSpPr>
      <xdr:spPr>
        <a:xfrm flipH="1" flipV="1">
          <a:off x="6065520" y="8130540"/>
          <a:ext cx="14325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19</xdr:row>
      <xdr:rowOff>91440</xdr:rowOff>
    </xdr:from>
    <xdr:to>
      <xdr:col>1</xdr:col>
      <xdr:colOff>1918833</xdr:colOff>
      <xdr:row>33</xdr:row>
      <xdr:rowOff>109595</xdr:rowOff>
    </xdr:to>
    <xdr:grpSp>
      <xdr:nvGrpSpPr>
        <xdr:cNvPr id="21" name="Group 20"/>
        <xdr:cNvGrpSpPr/>
      </xdr:nvGrpSpPr>
      <xdr:grpSpPr>
        <a:xfrm>
          <a:off x="1057275" y="3720465"/>
          <a:ext cx="1233033" cy="2685155"/>
          <a:chOff x="960120" y="3749040"/>
          <a:chExt cx="1233033" cy="2578475"/>
        </a:xfrm>
      </xdr:grpSpPr>
      <xdr:cxnSp macro="">
        <xdr:nvCxnSpPr>
          <xdr:cNvPr id="13" name="Straight Connector 12"/>
          <xdr:cNvCxnSpPr/>
        </xdr:nvCxnSpPr>
        <xdr:spPr>
          <a:xfrm>
            <a:off x="1652016" y="3767195"/>
            <a:ext cx="15240" cy="25603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>
            <a:off x="1637099" y="3749040"/>
            <a:ext cx="548640" cy="2915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rot="-180000" flipH="1" flipV="1">
            <a:off x="1644513" y="5499780"/>
            <a:ext cx="548640" cy="25776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1644396" y="6312275"/>
            <a:ext cx="548640" cy="76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/>
          <xdr:cNvSpPr/>
        </xdr:nvSpPr>
        <xdr:spPr>
          <a:xfrm>
            <a:off x="962406" y="4491095"/>
            <a:ext cx="754380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12.38%</a:t>
            </a:r>
          </a:p>
        </xdr:txBody>
      </xdr:sp>
      <xdr:sp macro="" textlink="">
        <xdr:nvSpPr>
          <xdr:cNvPr id="18" name="Rectangle 17"/>
          <xdr:cNvSpPr/>
        </xdr:nvSpPr>
        <xdr:spPr>
          <a:xfrm>
            <a:off x="960120" y="5756015"/>
            <a:ext cx="758952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10.82%</a:t>
            </a:r>
          </a:p>
        </xdr:txBody>
      </xdr:sp>
    </xdr:grpSp>
    <xdr:clientData/>
  </xdr:twoCellAnchor>
  <xdr:twoCellAnchor>
    <xdr:from>
      <xdr:col>5</xdr:col>
      <xdr:colOff>15240</xdr:colOff>
      <xdr:row>80</xdr:row>
      <xdr:rowOff>99060</xdr:rowOff>
    </xdr:from>
    <xdr:to>
      <xdr:col>5</xdr:col>
      <xdr:colOff>563880</xdr:colOff>
      <xdr:row>80</xdr:row>
      <xdr:rowOff>99060</xdr:rowOff>
    </xdr:to>
    <xdr:cxnSp macro="">
      <xdr:nvCxnSpPr>
        <xdr:cNvPr id="11" name="Straight Arrow Connector 10"/>
        <xdr:cNvCxnSpPr/>
      </xdr:nvCxnSpPr>
      <xdr:spPr>
        <a:xfrm flipH="1" flipV="1">
          <a:off x="6941820" y="1465326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102</xdr:row>
      <xdr:rowOff>99060</xdr:rowOff>
    </xdr:from>
    <xdr:to>
      <xdr:col>5</xdr:col>
      <xdr:colOff>571500</xdr:colOff>
      <xdr:row>102</xdr:row>
      <xdr:rowOff>99060</xdr:rowOff>
    </xdr:to>
    <xdr:cxnSp macro="">
      <xdr:nvCxnSpPr>
        <xdr:cNvPr id="12" name="Straight Arrow Connector 11"/>
        <xdr:cNvCxnSpPr/>
      </xdr:nvCxnSpPr>
      <xdr:spPr>
        <a:xfrm flipH="1" flipV="1">
          <a:off x="6949440" y="1868424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0"/>
  <sheetViews>
    <sheetView tabSelected="1" zoomScaleNormal="100" workbookViewId="0"/>
  </sheetViews>
  <sheetFormatPr defaultColWidth="9.140625" defaultRowHeight="12.75" x14ac:dyDescent="0.2"/>
  <cols>
    <col min="1" max="1" width="5.5703125" style="1" customWidth="1"/>
    <col min="2" max="2" width="48.7109375" style="1" customWidth="1"/>
    <col min="3" max="3" width="16.28515625" style="1" customWidth="1"/>
    <col min="4" max="4" width="16.140625" style="1" customWidth="1"/>
    <col min="5" max="5" width="14.28515625" style="1" customWidth="1"/>
    <col min="6" max="6" width="9.28515625" style="1" customWidth="1"/>
    <col min="7" max="7" width="15.7109375" style="1" customWidth="1"/>
    <col min="8" max="9" width="12.7109375" style="1" customWidth="1"/>
    <col min="10" max="16384" width="9.140625" style="1"/>
  </cols>
  <sheetData>
    <row r="1" spans="1:6" ht="17.45" x14ac:dyDescent="0.3">
      <c r="A1" s="265" t="s">
        <v>141</v>
      </c>
      <c r="B1" s="265"/>
      <c r="C1" s="281">
        <f>VLOOKUP(A1,'List of ROE by TO'!B8:C29,2,FALSE)</f>
        <v>0</v>
      </c>
      <c r="D1" s="281"/>
      <c r="E1" s="281"/>
    </row>
    <row r="2" spans="1:6" ht="15.6" x14ac:dyDescent="0.3">
      <c r="A2" s="268" t="s">
        <v>116</v>
      </c>
      <c r="B2" s="268"/>
      <c r="C2" s="268"/>
      <c r="D2" s="268"/>
      <c r="E2" s="268"/>
    </row>
    <row r="3" spans="1:6" ht="15.6" x14ac:dyDescent="0.3">
      <c r="A3" s="240" t="s">
        <v>210</v>
      </c>
      <c r="B3" s="241"/>
      <c r="C3" s="242"/>
      <c r="D3" s="115"/>
      <c r="E3" s="115"/>
    </row>
    <row r="4" spans="1:6" ht="15.6" x14ac:dyDescent="0.3">
      <c r="A4" s="270" t="s">
        <v>163</v>
      </c>
      <c r="B4" s="241"/>
      <c r="C4" s="242"/>
      <c r="D4" s="257"/>
      <c r="E4" s="257"/>
    </row>
    <row r="5" spans="1:6" ht="15.6" x14ac:dyDescent="0.3">
      <c r="A5" s="240" t="s">
        <v>124</v>
      </c>
      <c r="B5" s="241"/>
      <c r="C5" s="242"/>
      <c r="D5" s="129"/>
      <c r="E5" s="129"/>
    </row>
    <row r="6" spans="1:6" ht="16.149999999999999" thickBot="1" x14ac:dyDescent="0.35">
      <c r="A6" s="112"/>
      <c r="B6" s="112"/>
      <c r="C6" s="112"/>
      <c r="D6" s="112"/>
      <c r="E6" s="112"/>
    </row>
    <row r="7" spans="1:6" ht="15.6" x14ac:dyDescent="0.3">
      <c r="A7" s="119"/>
      <c r="B7" s="120"/>
      <c r="C7" s="120"/>
      <c r="D7" s="120"/>
      <c r="E7" s="121"/>
    </row>
    <row r="8" spans="1:6" ht="15.6" x14ac:dyDescent="0.3">
      <c r="A8" s="122" t="s">
        <v>97</v>
      </c>
      <c r="B8" s="112"/>
      <c r="C8" s="128" t="s">
        <v>98</v>
      </c>
      <c r="D8" s="128" t="s">
        <v>88</v>
      </c>
      <c r="E8" s="123"/>
    </row>
    <row r="9" spans="1:6" ht="13.15" x14ac:dyDescent="0.25">
      <c r="A9" s="99" t="s">
        <v>100</v>
      </c>
      <c r="B9" s="5"/>
      <c r="C9" s="14">
        <f>ROUND(D9/12,6)</f>
        <v>2.7469999999999999E-3</v>
      </c>
      <c r="D9" s="304">
        <f>ROUND('Interest Rates'!G35,6)</f>
        <v>3.2967999999999997E-2</v>
      </c>
      <c r="E9" s="283"/>
      <c r="F9" s="282"/>
    </row>
    <row r="10" spans="1:6" ht="13.15" x14ac:dyDescent="0.25">
      <c r="A10" s="99" t="s">
        <v>101</v>
      </c>
      <c r="B10" s="5"/>
      <c r="C10" s="14">
        <f>ROUND(D10/12,6)</f>
        <v>5.9199999999999997E-4</v>
      </c>
      <c r="D10" s="304">
        <f>ROUND('Interest Rates'!E35,6)</f>
        <v>7.1000000000000004E-3</v>
      </c>
      <c r="E10" s="283"/>
      <c r="F10" s="282"/>
    </row>
    <row r="11" spans="1:6" ht="16.149999999999999" thickBot="1" x14ac:dyDescent="0.35">
      <c r="A11" s="124"/>
      <c r="B11" s="80"/>
      <c r="C11" s="125"/>
      <c r="D11" s="126"/>
      <c r="E11" s="127"/>
    </row>
    <row r="12" spans="1:6" ht="15.6" x14ac:dyDescent="0.3">
      <c r="A12" s="112"/>
      <c r="B12" s="5"/>
      <c r="C12" s="14"/>
      <c r="D12" s="4"/>
      <c r="E12" s="60"/>
    </row>
    <row r="13" spans="1:6" ht="16.5" thickBot="1" x14ac:dyDescent="0.3">
      <c r="A13" s="115"/>
      <c r="B13" s="5"/>
      <c r="C13" s="14"/>
      <c r="D13" s="4"/>
      <c r="E13" s="60"/>
    </row>
    <row r="14" spans="1:6" ht="15" x14ac:dyDescent="0.25">
      <c r="A14" s="237" t="s">
        <v>99</v>
      </c>
      <c r="B14" s="238"/>
      <c r="C14" s="53"/>
      <c r="D14" s="53"/>
      <c r="E14" s="54"/>
    </row>
    <row r="15" spans="1:6" ht="15" x14ac:dyDescent="0.25">
      <c r="A15" s="142" t="s">
        <v>117</v>
      </c>
      <c r="B15" s="6"/>
      <c r="C15" s="55"/>
      <c r="D15" s="55"/>
      <c r="E15" s="56"/>
    </row>
    <row r="16" spans="1:6" ht="15" x14ac:dyDescent="0.25">
      <c r="A16" s="142" t="s">
        <v>118</v>
      </c>
      <c r="B16" s="6"/>
      <c r="C16" s="55"/>
      <c r="D16" s="55"/>
      <c r="E16" s="56"/>
    </row>
    <row r="17" spans="1:5" ht="15" x14ac:dyDescent="0.25">
      <c r="A17" s="142" t="s">
        <v>166</v>
      </c>
      <c r="B17" s="6"/>
      <c r="C17" s="55"/>
      <c r="D17" s="55"/>
      <c r="E17" s="56"/>
    </row>
    <row r="18" spans="1:5" ht="15" x14ac:dyDescent="0.25">
      <c r="A18" s="141"/>
      <c r="B18" s="6"/>
      <c r="C18" s="55"/>
      <c r="D18" s="55"/>
      <c r="E18" s="56"/>
    </row>
    <row r="19" spans="1:5" ht="15" x14ac:dyDescent="0.25">
      <c r="A19" s="69"/>
      <c r="B19" s="55"/>
      <c r="C19" s="130" t="s">
        <v>235</v>
      </c>
      <c r="D19" s="130"/>
      <c r="E19" s="56"/>
    </row>
    <row r="20" spans="1:5" ht="15" x14ac:dyDescent="0.25">
      <c r="A20" s="69"/>
      <c r="B20" s="55"/>
      <c r="C20" s="131" t="s">
        <v>6</v>
      </c>
      <c r="D20" s="131"/>
      <c r="E20" s="56"/>
    </row>
    <row r="21" spans="1:5" ht="15" x14ac:dyDescent="0.25">
      <c r="A21" s="69"/>
      <c r="B21" s="104" t="s">
        <v>7</v>
      </c>
      <c r="C21" s="326">
        <v>976</v>
      </c>
      <c r="D21" s="57"/>
      <c r="E21" s="113"/>
    </row>
    <row r="22" spans="1:5" ht="15" x14ac:dyDescent="0.25">
      <c r="A22" s="69"/>
      <c r="B22" s="104" t="s">
        <v>8</v>
      </c>
      <c r="C22" s="326">
        <v>913</v>
      </c>
      <c r="D22" s="57"/>
      <c r="E22" s="113"/>
    </row>
    <row r="23" spans="1:5" ht="15" x14ac:dyDescent="0.25">
      <c r="A23" s="69"/>
      <c r="B23" s="105" t="s">
        <v>9</v>
      </c>
      <c r="C23" s="326">
        <v>812</v>
      </c>
      <c r="D23" s="57"/>
      <c r="E23" s="113"/>
    </row>
    <row r="24" spans="1:5" ht="15" x14ac:dyDescent="0.25">
      <c r="A24" s="69"/>
      <c r="B24" s="105" t="s">
        <v>10</v>
      </c>
      <c r="C24" s="326">
        <v>887</v>
      </c>
      <c r="D24" s="57"/>
      <c r="E24" s="113"/>
    </row>
    <row r="25" spans="1:5" ht="15" x14ac:dyDescent="0.25">
      <c r="A25" s="69"/>
      <c r="B25" s="105" t="s">
        <v>11</v>
      </c>
      <c r="C25" s="326">
        <v>1001</v>
      </c>
      <c r="D25" s="57"/>
      <c r="E25" s="113"/>
    </row>
    <row r="26" spans="1:5" ht="15" x14ac:dyDescent="0.25">
      <c r="A26" s="69"/>
      <c r="B26" s="105" t="s">
        <v>12</v>
      </c>
      <c r="C26" s="326">
        <v>1217</v>
      </c>
      <c r="D26" s="57"/>
      <c r="E26" s="113"/>
    </row>
    <row r="27" spans="1:5" ht="15" x14ac:dyDescent="0.25">
      <c r="A27" s="69"/>
      <c r="B27" s="105" t="s">
        <v>13</v>
      </c>
      <c r="C27" s="326">
        <v>1194</v>
      </c>
      <c r="D27" s="57"/>
      <c r="E27" s="113"/>
    </row>
    <row r="28" spans="1:5" ht="15" x14ac:dyDescent="0.25">
      <c r="A28" s="69"/>
      <c r="B28" s="105" t="s">
        <v>14</v>
      </c>
      <c r="C28" s="326">
        <v>1216</v>
      </c>
      <c r="D28" s="57"/>
      <c r="E28" s="113"/>
    </row>
    <row r="29" spans="1:5" ht="15" x14ac:dyDescent="0.25">
      <c r="A29" s="69"/>
      <c r="B29" s="105" t="s">
        <v>95</v>
      </c>
      <c r="C29" s="326">
        <v>1203</v>
      </c>
      <c r="D29" s="57">
        <f>ROUND(((SUM(C21:C28))+(C29*(27/30)))/C34,4)</f>
        <v>0.76549999999999996</v>
      </c>
      <c r="E29" s="114">
        <f>ROUND(D29/$D$34,4)</f>
        <v>0.76549999999999996</v>
      </c>
    </row>
    <row r="30" spans="1:5" ht="15" x14ac:dyDescent="0.25">
      <c r="A30" s="69"/>
      <c r="B30" s="106" t="s">
        <v>96</v>
      </c>
      <c r="C30" s="326">
        <f>C29</f>
        <v>1203</v>
      </c>
      <c r="D30" s="57"/>
      <c r="E30" s="113"/>
    </row>
    <row r="31" spans="1:5" ht="15" x14ac:dyDescent="0.25">
      <c r="A31" s="69"/>
      <c r="B31" s="105" t="s">
        <v>15</v>
      </c>
      <c r="C31" s="326">
        <v>977</v>
      </c>
      <c r="D31" s="57"/>
      <c r="E31" s="113"/>
    </row>
    <row r="32" spans="1:5" ht="15" x14ac:dyDescent="0.25">
      <c r="A32" s="69"/>
      <c r="B32" s="105" t="s">
        <v>94</v>
      </c>
      <c r="C32" s="326">
        <v>826</v>
      </c>
      <c r="D32" s="57"/>
      <c r="E32" s="113"/>
    </row>
    <row r="33" spans="1:11" ht="15" x14ac:dyDescent="0.25">
      <c r="A33" s="69"/>
      <c r="B33" s="105" t="s">
        <v>16</v>
      </c>
      <c r="C33" s="326">
        <v>926</v>
      </c>
      <c r="D33" s="57">
        <f>ROUND(((SUM(C31:C33))+(C30*(3/30)))/C34,4)</f>
        <v>0.23449999999999999</v>
      </c>
      <c r="E33" s="114">
        <f>ROUND(D33/$D$34,4)</f>
        <v>0.23449999999999999</v>
      </c>
    </row>
    <row r="34" spans="1:11" ht="15.75" thickBot="1" x14ac:dyDescent="0.3">
      <c r="A34" s="79"/>
      <c r="B34" s="58"/>
      <c r="C34" s="327">
        <f>SUM(C21:C33)-C30</f>
        <v>12148</v>
      </c>
      <c r="D34" s="328">
        <f>SUM(D21:D33)</f>
        <v>1</v>
      </c>
      <c r="E34" s="239">
        <f>SUM(E21:E33)</f>
        <v>1</v>
      </c>
    </row>
    <row r="35" spans="1:11" ht="15.75" x14ac:dyDescent="0.25">
      <c r="A35" s="112"/>
      <c r="B35" s="5"/>
      <c r="C35" s="14"/>
      <c r="D35" s="4"/>
      <c r="E35" s="60"/>
    </row>
    <row r="36" spans="1:11" ht="16.5" thickBot="1" x14ac:dyDescent="0.3">
      <c r="A36" s="61"/>
      <c r="B36" s="61"/>
      <c r="C36" s="61"/>
      <c r="D36" s="61"/>
      <c r="E36" s="61"/>
    </row>
    <row r="37" spans="1:11" ht="15" x14ac:dyDescent="0.25">
      <c r="A37" s="83" t="s">
        <v>90</v>
      </c>
      <c r="B37" s="64"/>
      <c r="C37" s="65"/>
      <c r="D37" s="65"/>
      <c r="E37" s="66"/>
    </row>
    <row r="38" spans="1:11" ht="13.15" customHeight="1" x14ac:dyDescent="0.2">
      <c r="A38" s="69"/>
      <c r="B38" s="5"/>
      <c r="C38" s="255" t="s">
        <v>159</v>
      </c>
      <c r="D38" s="267" t="s">
        <v>159</v>
      </c>
      <c r="E38" s="256" t="s">
        <v>160</v>
      </c>
      <c r="I38" s="59"/>
    </row>
    <row r="39" spans="1:11" x14ac:dyDescent="0.2">
      <c r="A39" s="67" t="s">
        <v>115</v>
      </c>
      <c r="B39" s="5"/>
      <c r="C39" s="266">
        <f>VLOOKUP($A$1,'List of ROE by TO'!$B$8:$E$29,3,FALSE)</f>
        <v>0.12379999999999999</v>
      </c>
      <c r="D39" s="266">
        <f>VLOOKUP($A$1,'List of ROE by TO'!$B$8:$E$29,4,FALSE)</f>
        <v>0.1082</v>
      </c>
      <c r="E39" s="256" t="s">
        <v>161</v>
      </c>
      <c r="I39" s="59"/>
    </row>
    <row r="40" spans="1:11" ht="14.25" x14ac:dyDescent="0.2">
      <c r="A40" s="99" t="s">
        <v>167</v>
      </c>
      <c r="B40" s="100"/>
      <c r="C40" s="132">
        <v>33505274</v>
      </c>
      <c r="D40" s="132">
        <v>31126002</v>
      </c>
      <c r="E40" s="68"/>
      <c r="G40" s="1" t="s">
        <v>228</v>
      </c>
      <c r="I40" s="59"/>
    </row>
    <row r="41" spans="1:11" x14ac:dyDescent="0.2">
      <c r="A41" s="99" t="s">
        <v>227</v>
      </c>
      <c r="B41" s="100"/>
      <c r="C41" s="9">
        <f>$E$29</f>
        <v>0.76549999999999996</v>
      </c>
      <c r="D41" s="9">
        <f>$E$33</f>
        <v>0.23449999999999999</v>
      </c>
      <c r="E41" s="68"/>
      <c r="I41" s="59"/>
    </row>
    <row r="42" spans="1:11" x14ac:dyDescent="0.2">
      <c r="A42" s="101" t="s">
        <v>102</v>
      </c>
      <c r="B42" s="102"/>
      <c r="C42" s="10">
        <f>ROUND(C40*C41,0)</f>
        <v>25648287</v>
      </c>
      <c r="D42" s="10">
        <f>ROUND(D40*D41,0)</f>
        <v>7299047</v>
      </c>
      <c r="E42" s="90">
        <f>ROUND(C42+D42,0)</f>
        <v>32947334</v>
      </c>
      <c r="I42" s="59"/>
      <c r="K42" s="51"/>
    </row>
    <row r="43" spans="1:11" x14ac:dyDescent="0.2">
      <c r="A43" s="99"/>
      <c r="B43" s="100"/>
      <c r="C43" s="5"/>
      <c r="D43" s="5"/>
      <c r="E43" s="68"/>
      <c r="I43" s="59"/>
      <c r="K43" s="51"/>
    </row>
    <row r="44" spans="1:11" ht="14.25" x14ac:dyDescent="0.2">
      <c r="A44" s="99" t="s">
        <v>171</v>
      </c>
      <c r="B44" s="100"/>
      <c r="C44" s="133">
        <v>31920846</v>
      </c>
      <c r="D44" s="133">
        <v>29650780</v>
      </c>
      <c r="E44" s="68"/>
      <c r="G44" s="5" t="s">
        <v>229</v>
      </c>
      <c r="H44" s="5"/>
      <c r="I44" s="5"/>
      <c r="J44" s="5"/>
    </row>
    <row r="45" spans="1:11" x14ac:dyDescent="0.2">
      <c r="A45" s="99" t="s">
        <v>226</v>
      </c>
      <c r="B45" s="100"/>
      <c r="C45" s="9">
        <f>$E$29</f>
        <v>0.76549999999999996</v>
      </c>
      <c r="D45" s="9">
        <f>$E$33</f>
        <v>0.23449999999999999</v>
      </c>
      <c r="E45" s="68"/>
      <c r="G45" s="5"/>
      <c r="H45" s="5"/>
      <c r="I45" s="5"/>
      <c r="J45" s="5"/>
    </row>
    <row r="46" spans="1:11" x14ac:dyDescent="0.2">
      <c r="A46" s="101" t="s">
        <v>103</v>
      </c>
      <c r="B46" s="100"/>
      <c r="C46" s="10">
        <f>ROUND(C44*C45,0)</f>
        <v>24435408</v>
      </c>
      <c r="D46" s="10">
        <f>ROUND(D44*D45,0)</f>
        <v>6953108</v>
      </c>
      <c r="E46" s="90">
        <f>ROUND(C46+D46,0)</f>
        <v>31388516</v>
      </c>
      <c r="G46" s="5"/>
      <c r="H46" s="5"/>
      <c r="I46" s="5"/>
      <c r="J46" s="5"/>
    </row>
    <row r="47" spans="1:11" x14ac:dyDescent="0.2">
      <c r="A47" s="69"/>
      <c r="B47" s="5"/>
      <c r="C47" s="7"/>
      <c r="D47" s="7"/>
      <c r="E47" s="71"/>
    </row>
    <row r="48" spans="1:11" x14ac:dyDescent="0.2">
      <c r="A48" s="67" t="s">
        <v>104</v>
      </c>
      <c r="B48" s="5"/>
      <c r="C48" s="86">
        <f>ROUND(C42-C46,0)</f>
        <v>1212879</v>
      </c>
      <c r="D48" s="86">
        <f>ROUND(D42-D46,0)</f>
        <v>345939</v>
      </c>
      <c r="E48" s="89">
        <f>ROUND(C48+D48,0)</f>
        <v>1558818</v>
      </c>
      <c r="G48" s="13"/>
    </row>
    <row r="49" spans="1:5" x14ac:dyDescent="0.2">
      <c r="A49" s="69"/>
      <c r="B49" s="5"/>
      <c r="C49" s="7"/>
      <c r="D49" s="7"/>
      <c r="E49" s="71"/>
    </row>
    <row r="50" spans="1:5" x14ac:dyDescent="0.2">
      <c r="A50" s="72" t="s">
        <v>189</v>
      </c>
      <c r="B50" s="11"/>
      <c r="C50" s="52"/>
      <c r="D50" s="52"/>
      <c r="E50" s="134">
        <v>1012333.3333333334</v>
      </c>
    </row>
    <row r="51" spans="1:5" x14ac:dyDescent="0.2">
      <c r="A51" s="72" t="s">
        <v>190</v>
      </c>
      <c r="B51" s="11"/>
      <c r="C51" s="52"/>
      <c r="D51" s="52"/>
      <c r="E51" s="135">
        <v>1016210.3650795489</v>
      </c>
    </row>
    <row r="52" spans="1:5" x14ac:dyDescent="0.2">
      <c r="A52" s="72" t="s">
        <v>0</v>
      </c>
      <c r="B52" s="11"/>
      <c r="C52" s="50"/>
      <c r="D52" s="50"/>
      <c r="E52" s="73">
        <f>ROUND(E51-E50,0)</f>
        <v>3877</v>
      </c>
    </row>
    <row r="53" spans="1:5" x14ac:dyDescent="0.2">
      <c r="A53" s="72"/>
      <c r="B53" s="11"/>
      <c r="C53" s="50"/>
      <c r="D53" s="50"/>
      <c r="E53" s="73"/>
    </row>
    <row r="54" spans="1:5" x14ac:dyDescent="0.2">
      <c r="A54" s="72" t="s">
        <v>1</v>
      </c>
      <c r="B54" s="11"/>
      <c r="C54" s="62">
        <f>ROUND(C44/E51,4)</f>
        <v>31.4117</v>
      </c>
      <c r="D54" s="62">
        <f>ROUND(D44/E51,4)</f>
        <v>29.177800000000001</v>
      </c>
      <c r="E54" s="71"/>
    </row>
    <row r="55" spans="1:5" x14ac:dyDescent="0.2">
      <c r="A55" s="69" t="s">
        <v>4</v>
      </c>
      <c r="B55" s="63"/>
      <c r="C55" s="9">
        <f>$E$29</f>
        <v>0.76549999999999996</v>
      </c>
      <c r="D55" s="9">
        <f>$E$33</f>
        <v>0.23449999999999999</v>
      </c>
      <c r="E55" s="71"/>
    </row>
    <row r="56" spans="1:5" x14ac:dyDescent="0.2">
      <c r="A56" s="72" t="s">
        <v>105</v>
      </c>
      <c r="B56" s="11"/>
      <c r="C56" s="62">
        <f>ROUND(C55*C54,4)</f>
        <v>24.0457</v>
      </c>
      <c r="D56" s="62">
        <f>ROUND(D55*D54,4)</f>
        <v>6.8422000000000001</v>
      </c>
      <c r="E56" s="88">
        <f>SUM(C56:D56)</f>
        <v>30.887900000000002</v>
      </c>
    </row>
    <row r="57" spans="1:5" x14ac:dyDescent="0.2">
      <c r="A57" s="72"/>
      <c r="B57" s="11"/>
      <c r="C57" s="62"/>
      <c r="D57" s="62"/>
      <c r="E57" s="74"/>
    </row>
    <row r="58" spans="1:5" x14ac:dyDescent="0.2">
      <c r="A58" s="75" t="s">
        <v>93</v>
      </c>
      <c r="B58" s="12"/>
      <c r="C58" s="10"/>
      <c r="D58" s="10"/>
      <c r="E58" s="118">
        <f>ROUND(E52*E56,0)</f>
        <v>119752</v>
      </c>
    </row>
    <row r="59" spans="1:5" x14ac:dyDescent="0.2">
      <c r="A59" s="75"/>
      <c r="B59" s="12"/>
      <c r="C59" s="7"/>
      <c r="D59" s="7"/>
      <c r="E59" s="71"/>
    </row>
    <row r="60" spans="1:5" x14ac:dyDescent="0.2">
      <c r="A60" s="69"/>
      <c r="B60" s="5"/>
      <c r="C60" s="7"/>
      <c r="D60" s="7"/>
      <c r="E60" s="71"/>
    </row>
    <row r="61" spans="1:5" x14ac:dyDescent="0.2">
      <c r="A61" s="76" t="s">
        <v>2</v>
      </c>
      <c r="B61" s="5"/>
      <c r="C61" s="87"/>
      <c r="D61" s="87"/>
      <c r="E61" s="315">
        <f>ROUND(E48+E58,0)</f>
        <v>1678570</v>
      </c>
    </row>
    <row r="62" spans="1:5" x14ac:dyDescent="0.2">
      <c r="A62" s="69"/>
      <c r="B62" s="5"/>
      <c r="C62" s="7"/>
      <c r="D62" s="7"/>
      <c r="E62" s="71"/>
    </row>
    <row r="63" spans="1:5" x14ac:dyDescent="0.2">
      <c r="A63" s="69" t="s">
        <v>172</v>
      </c>
      <c r="B63" s="5"/>
      <c r="C63" s="14"/>
      <c r="D63" s="14"/>
      <c r="E63" s="77">
        <f>IF(E61&gt;0,$C$10,$C$9)</f>
        <v>5.9199999999999997E-4</v>
      </c>
    </row>
    <row r="64" spans="1:5" x14ac:dyDescent="0.2">
      <c r="A64" s="69" t="s">
        <v>3</v>
      </c>
      <c r="B64" s="5"/>
      <c r="C64" s="7"/>
      <c r="D64" s="7"/>
      <c r="E64" s="84">
        <f>ROUND(E61*(E63*24),0)</f>
        <v>23849</v>
      </c>
    </row>
    <row r="65" spans="1:5" x14ac:dyDescent="0.2">
      <c r="A65" s="69"/>
      <c r="B65" s="5"/>
      <c r="C65" s="7"/>
      <c r="D65" s="7"/>
      <c r="E65" s="78"/>
    </row>
    <row r="66" spans="1:5" ht="15" x14ac:dyDescent="0.25">
      <c r="A66" s="67" t="s">
        <v>106</v>
      </c>
      <c r="B66" s="5"/>
      <c r="C66" s="7"/>
      <c r="D66" s="7"/>
      <c r="E66" s="324">
        <f>ROUND(E61+E64,0)</f>
        <v>1702419</v>
      </c>
    </row>
    <row r="67" spans="1:5" ht="15" x14ac:dyDescent="0.25">
      <c r="A67" s="67"/>
      <c r="B67" s="5"/>
      <c r="C67" s="7"/>
      <c r="D67" s="7"/>
      <c r="E67" s="140"/>
    </row>
    <row r="68" spans="1:5" ht="14.25" x14ac:dyDescent="0.2">
      <c r="A68" s="69" t="s">
        <v>170</v>
      </c>
      <c r="B68" s="5"/>
      <c r="C68" s="7"/>
      <c r="D68" s="7"/>
      <c r="E68" s="71"/>
    </row>
    <row r="69" spans="1:5" x14ac:dyDescent="0.2">
      <c r="A69" s="69"/>
      <c r="B69" s="5" t="s">
        <v>168</v>
      </c>
      <c r="C69" s="7"/>
      <c r="D69" s="7"/>
      <c r="E69" s="71"/>
    </row>
    <row r="70" spans="1:5" ht="13.5" thickBot="1" x14ac:dyDescent="0.25">
      <c r="A70" s="79"/>
      <c r="B70" s="80" t="s">
        <v>169</v>
      </c>
      <c r="C70" s="81"/>
      <c r="D70" s="81"/>
      <c r="E70" s="82"/>
    </row>
    <row r="71" spans="1:5" x14ac:dyDescent="0.2">
      <c r="A71" s="5"/>
      <c r="B71" s="5"/>
      <c r="C71" s="7"/>
      <c r="D71" s="7"/>
      <c r="E71" s="3"/>
    </row>
    <row r="72" spans="1:5" ht="13.5" thickBot="1" x14ac:dyDescent="0.25">
      <c r="A72" s="5"/>
      <c r="B72" s="5"/>
      <c r="C72" s="7"/>
      <c r="D72" s="7"/>
      <c r="E72" s="3"/>
    </row>
    <row r="73" spans="1:5" ht="15.75" x14ac:dyDescent="0.25">
      <c r="A73" s="107" t="s">
        <v>91</v>
      </c>
      <c r="B73" s="96"/>
      <c r="C73" s="97"/>
      <c r="D73" s="97"/>
      <c r="E73" s="98"/>
    </row>
    <row r="74" spans="1:5" x14ac:dyDescent="0.2">
      <c r="A74" s="331" t="s">
        <v>220</v>
      </c>
      <c r="B74" s="332"/>
      <c r="C74" s="332"/>
      <c r="D74" s="332"/>
      <c r="E74" s="333"/>
    </row>
    <row r="75" spans="1:5" ht="12.75" customHeight="1" x14ac:dyDescent="0.2">
      <c r="A75" s="69"/>
      <c r="B75" s="5"/>
      <c r="C75" s="255" t="s">
        <v>159</v>
      </c>
      <c r="D75" s="267" t="s">
        <v>159</v>
      </c>
      <c r="E75" s="256" t="s">
        <v>162</v>
      </c>
    </row>
    <row r="76" spans="1:5" x14ac:dyDescent="0.2">
      <c r="A76" s="67" t="s">
        <v>107</v>
      </c>
      <c r="B76" s="5"/>
      <c r="C76" s="287">
        <f>VLOOKUP($A$1,'List of ROE by TO'!$B$8:$E$29,3,FALSE)</f>
        <v>0.12379999999999999</v>
      </c>
      <c r="D76" s="287">
        <f>VLOOKUP($A$1,'List of ROE by TO'!$B$8:$E$29,4,FALSE)</f>
        <v>0.1082</v>
      </c>
      <c r="E76" s="256" t="s">
        <v>161</v>
      </c>
    </row>
    <row r="77" spans="1:5" ht="30" customHeight="1" x14ac:dyDescent="0.2">
      <c r="A77" s="329" t="s">
        <v>191</v>
      </c>
      <c r="B77" s="330"/>
      <c r="C77" s="133">
        <v>21176566</v>
      </c>
      <c r="D77" s="133">
        <v>19577100</v>
      </c>
      <c r="E77" s="68"/>
    </row>
    <row r="78" spans="1:5" x14ac:dyDescent="0.2">
      <c r="A78" s="69" t="s">
        <v>227</v>
      </c>
      <c r="B78" s="5"/>
      <c r="C78" s="9">
        <f>$E$29</f>
        <v>0.76549999999999996</v>
      </c>
      <c r="D78" s="9">
        <f>$E$33</f>
        <v>0.23449999999999999</v>
      </c>
      <c r="E78" s="68"/>
    </row>
    <row r="79" spans="1:5" x14ac:dyDescent="0.2">
      <c r="A79" s="70" t="s">
        <v>108</v>
      </c>
      <c r="B79" s="6"/>
      <c r="C79" s="7">
        <f>ROUND(C77*C78,0)</f>
        <v>16210661</v>
      </c>
      <c r="D79" s="7">
        <f>ROUND(D77*D78,0)</f>
        <v>4590830</v>
      </c>
      <c r="E79" s="85">
        <f>ROUND(C79+D79,0)</f>
        <v>20801491</v>
      </c>
    </row>
    <row r="80" spans="1:5" x14ac:dyDescent="0.2">
      <c r="A80" s="69"/>
      <c r="B80" s="6"/>
      <c r="C80" s="7"/>
      <c r="D80" s="7"/>
      <c r="E80" s="71"/>
    </row>
    <row r="81" spans="1:9" ht="14.25" x14ac:dyDescent="0.2">
      <c r="A81" s="69" t="s">
        <v>125</v>
      </c>
      <c r="B81" s="5"/>
      <c r="C81" s="92"/>
      <c r="D81" s="5"/>
      <c r="E81" s="136">
        <f>20523652+212797+37033</f>
        <v>20773482</v>
      </c>
      <c r="G81" s="5" t="s">
        <v>222</v>
      </c>
      <c r="H81" s="5"/>
      <c r="I81" s="5"/>
    </row>
    <row r="82" spans="1:9" x14ac:dyDescent="0.2">
      <c r="A82" s="69"/>
      <c r="B82" s="5"/>
      <c r="C82" s="8"/>
      <c r="D82" s="5"/>
      <c r="E82" s="93"/>
      <c r="G82" s="100" t="s">
        <v>223</v>
      </c>
      <c r="H82" s="5"/>
      <c r="I82" s="5"/>
    </row>
    <row r="83" spans="1:9" x14ac:dyDescent="0.2">
      <c r="A83" s="67" t="s">
        <v>109</v>
      </c>
      <c r="B83" s="5"/>
      <c r="C83" s="8"/>
      <c r="D83" s="5"/>
      <c r="E83" s="93">
        <f>ROUND(E79-E81,0)</f>
        <v>28009</v>
      </c>
      <c r="G83" s="100" t="s">
        <v>224</v>
      </c>
      <c r="H83" s="5"/>
      <c r="I83" s="5"/>
    </row>
    <row r="84" spans="1:9" x14ac:dyDescent="0.2">
      <c r="A84" s="69"/>
      <c r="B84" s="5"/>
      <c r="C84" s="8"/>
      <c r="D84" s="5"/>
      <c r="E84" s="93"/>
    </row>
    <row r="85" spans="1:9" x14ac:dyDescent="0.2">
      <c r="A85" s="69"/>
      <c r="B85" s="5"/>
      <c r="C85" s="8"/>
      <c r="D85" s="5"/>
      <c r="E85" s="93"/>
    </row>
    <row r="86" spans="1:9" x14ac:dyDescent="0.2">
      <c r="A86" s="69" t="s">
        <v>172</v>
      </c>
      <c r="B86" s="5"/>
      <c r="C86" s="8"/>
      <c r="D86" s="5"/>
      <c r="E86" s="77">
        <f>IF(E83&gt;0,$C$10,$C$9)</f>
        <v>5.9199999999999997E-4</v>
      </c>
    </row>
    <row r="87" spans="1:9" x14ac:dyDescent="0.2">
      <c r="A87" s="69" t="s">
        <v>3</v>
      </c>
      <c r="B87" s="5"/>
      <c r="C87" s="8"/>
      <c r="D87" s="5"/>
      <c r="E87" s="93">
        <f>ROUND(E83*(E86*24),0)</f>
        <v>398</v>
      </c>
    </row>
    <row r="88" spans="1:9" x14ac:dyDescent="0.2">
      <c r="A88" s="69"/>
      <c r="B88" s="5"/>
      <c r="C88" s="8"/>
      <c r="D88" s="5"/>
      <c r="E88" s="93"/>
      <c r="G88" s="1" t="s">
        <v>122</v>
      </c>
    </row>
    <row r="89" spans="1:9" ht="15" x14ac:dyDescent="0.25">
      <c r="A89" s="67" t="s">
        <v>110</v>
      </c>
      <c r="B89" s="5"/>
      <c r="C89" s="8"/>
      <c r="D89" s="5"/>
      <c r="E89" s="139">
        <f>ROUND(E83+E87,0)</f>
        <v>28407</v>
      </c>
      <c r="G89" s="249">
        <f>'2016 GG TU Weighted ROE'!L96</f>
        <v>28406</v>
      </c>
      <c r="H89" s="250">
        <f>E89-G89</f>
        <v>1</v>
      </c>
    </row>
    <row r="90" spans="1:9" ht="17.25" x14ac:dyDescent="0.25">
      <c r="A90" s="289" t="s">
        <v>194</v>
      </c>
      <c r="B90" s="5"/>
      <c r="C90" s="8"/>
      <c r="D90" s="5"/>
      <c r="E90" s="93"/>
    </row>
    <row r="91" spans="1:9" ht="15" x14ac:dyDescent="0.25">
      <c r="A91" s="290" t="s">
        <v>193</v>
      </c>
      <c r="B91" s="5"/>
      <c r="C91" s="8"/>
      <c r="D91" s="5"/>
      <c r="E91" s="93"/>
    </row>
    <row r="92" spans="1:9" ht="15.75" thickBot="1" x14ac:dyDescent="0.3">
      <c r="A92" s="291" t="s">
        <v>192</v>
      </c>
      <c r="B92" s="80"/>
      <c r="C92" s="94"/>
      <c r="D92" s="80"/>
      <c r="E92" s="95"/>
    </row>
    <row r="93" spans="1:9" x14ac:dyDescent="0.2">
      <c r="A93" s="5"/>
      <c r="B93" s="5"/>
      <c r="C93" s="8"/>
      <c r="D93" s="5"/>
      <c r="E93" s="91"/>
    </row>
    <row r="94" spans="1:9" ht="15.75" thickBot="1" x14ac:dyDescent="0.3">
      <c r="A94" s="5"/>
      <c r="B94" s="5"/>
      <c r="C94" s="5"/>
      <c r="D94" s="5"/>
      <c r="E94" s="2"/>
    </row>
    <row r="95" spans="1:9" ht="15.75" x14ac:dyDescent="0.25">
      <c r="A95" s="108" t="s">
        <v>92</v>
      </c>
      <c r="B95" s="109"/>
      <c r="C95" s="110"/>
      <c r="D95" s="110"/>
      <c r="E95" s="111"/>
    </row>
    <row r="96" spans="1:9" x14ac:dyDescent="0.2">
      <c r="A96" s="331" t="s">
        <v>221</v>
      </c>
      <c r="B96" s="332"/>
      <c r="C96" s="332"/>
      <c r="D96" s="332"/>
      <c r="E96" s="333"/>
    </row>
    <row r="97" spans="1:9" ht="12.75" customHeight="1" x14ac:dyDescent="0.2">
      <c r="A97" s="67"/>
      <c r="B97" s="5"/>
      <c r="C97" s="255" t="s">
        <v>159</v>
      </c>
      <c r="D97" s="255" t="s">
        <v>159</v>
      </c>
      <c r="E97" s="256" t="s">
        <v>89</v>
      </c>
      <c r="F97" s="5"/>
    </row>
    <row r="98" spans="1:9" x14ac:dyDescent="0.2">
      <c r="A98" s="67" t="s">
        <v>111</v>
      </c>
      <c r="B98" s="5"/>
      <c r="C98" s="287">
        <f>VLOOKUP($A$1,'List of ROE by TO'!$B$8:$E$29,3,FALSE)</f>
        <v>0.12379999999999999</v>
      </c>
      <c r="D98" s="287">
        <f>VLOOKUP($A$1,'List of ROE by TO'!$B$8:$E$29,4,FALSE)</f>
        <v>0.1082</v>
      </c>
      <c r="E98" s="256" t="s">
        <v>161</v>
      </c>
      <c r="F98" s="5"/>
    </row>
    <row r="99" spans="1:9" ht="27.6" customHeight="1" x14ac:dyDescent="0.2">
      <c r="A99" s="329" t="s">
        <v>128</v>
      </c>
      <c r="B99" s="330"/>
      <c r="C99" s="133">
        <v>0</v>
      </c>
      <c r="D99" s="133">
        <v>0</v>
      </c>
      <c r="E99" s="68"/>
      <c r="F99" s="5"/>
    </row>
    <row r="100" spans="1:9" x14ac:dyDescent="0.2">
      <c r="A100" s="69" t="s">
        <v>227</v>
      </c>
      <c r="B100" s="5"/>
      <c r="C100" s="9">
        <f>$E$29</f>
        <v>0.76549999999999996</v>
      </c>
      <c r="D100" s="9">
        <f>$E$33</f>
        <v>0.23449999999999999</v>
      </c>
      <c r="E100" s="68"/>
      <c r="F100" s="5"/>
    </row>
    <row r="101" spans="1:9" x14ac:dyDescent="0.2">
      <c r="A101" s="69" t="s">
        <v>112</v>
      </c>
      <c r="B101" s="6"/>
      <c r="C101" s="7">
        <f>ROUND(C99*C100,0)</f>
        <v>0</v>
      </c>
      <c r="D101" s="7">
        <f>ROUND(D99*D100,0)</f>
        <v>0</v>
      </c>
      <c r="E101" s="71">
        <f>ROUND(C101+D101,0)</f>
        <v>0</v>
      </c>
      <c r="F101" s="5"/>
    </row>
    <row r="102" spans="1:9" x14ac:dyDescent="0.2">
      <c r="A102" s="69"/>
      <c r="B102" s="6"/>
      <c r="C102" s="7"/>
      <c r="D102" s="7"/>
      <c r="E102" s="71"/>
      <c r="F102" s="5"/>
    </row>
    <row r="103" spans="1:9" ht="14.25" x14ac:dyDescent="0.2">
      <c r="A103" s="69" t="s">
        <v>126</v>
      </c>
      <c r="B103" s="5"/>
      <c r="C103" s="138"/>
      <c r="D103" s="5"/>
      <c r="E103" s="137">
        <v>0</v>
      </c>
      <c r="F103" s="5"/>
      <c r="G103" s="5" t="s">
        <v>222</v>
      </c>
      <c r="H103" s="5"/>
      <c r="I103" s="5"/>
    </row>
    <row r="104" spans="1:9" x14ac:dyDescent="0.2">
      <c r="A104" s="69"/>
      <c r="B104" s="5"/>
      <c r="C104" s="8"/>
      <c r="D104" s="5"/>
      <c r="E104" s="68"/>
      <c r="F104" s="5"/>
      <c r="G104" s="100" t="s">
        <v>223</v>
      </c>
      <c r="H104" s="5"/>
      <c r="I104" s="5"/>
    </row>
    <row r="105" spans="1:9" x14ac:dyDescent="0.2">
      <c r="A105" s="67" t="s">
        <v>113</v>
      </c>
      <c r="B105" s="5"/>
      <c r="C105" s="8"/>
      <c r="D105" s="5"/>
      <c r="E105" s="93">
        <f>ROUND(E101-E103,0)</f>
        <v>0</v>
      </c>
      <c r="F105" s="5"/>
      <c r="G105" s="100" t="s">
        <v>224</v>
      </c>
      <c r="H105" s="5"/>
      <c r="I105" s="5"/>
    </row>
    <row r="106" spans="1:9" x14ac:dyDescent="0.2">
      <c r="A106" s="69"/>
      <c r="B106" s="5"/>
      <c r="C106" s="8"/>
      <c r="D106" s="5"/>
      <c r="E106" s="68"/>
      <c r="F106" s="5"/>
    </row>
    <row r="107" spans="1:9" x14ac:dyDescent="0.2">
      <c r="A107" s="69" t="s">
        <v>172</v>
      </c>
      <c r="B107" s="5"/>
      <c r="C107" s="8"/>
      <c r="D107" s="5"/>
      <c r="E107" s="311">
        <f>IF($C$1="Individual","n/a",IF($E$105&gt;0,$C$10,$C$9))</f>
        <v>2.7469999999999999E-3</v>
      </c>
      <c r="F107" s="5"/>
    </row>
    <row r="108" spans="1:9" x14ac:dyDescent="0.2">
      <c r="A108" s="69" t="s">
        <v>3</v>
      </c>
      <c r="B108" s="5"/>
      <c r="C108" s="8"/>
      <c r="D108" s="5"/>
      <c r="E108" s="279">
        <f>IF($C$1="Aggregate",($E$105*($E$107*24)),'2016 MM TU Weighted ROE'!K94)</f>
        <v>0</v>
      </c>
      <c r="F108" s="5"/>
    </row>
    <row r="109" spans="1:9" x14ac:dyDescent="0.2">
      <c r="A109" s="69"/>
      <c r="B109" s="5"/>
      <c r="C109" s="8"/>
      <c r="D109" s="5"/>
      <c r="E109" s="68"/>
      <c r="F109" s="5"/>
      <c r="G109" s="1" t="s">
        <v>123</v>
      </c>
    </row>
    <row r="110" spans="1:9" ht="15" x14ac:dyDescent="0.25">
      <c r="A110" s="67" t="s">
        <v>114</v>
      </c>
      <c r="B110" s="5"/>
      <c r="C110" s="8"/>
      <c r="D110" s="5"/>
      <c r="E110" s="280">
        <f>ROUND(E105+E108,0)</f>
        <v>0</v>
      </c>
      <c r="F110" s="5"/>
      <c r="G110" s="269">
        <f>'2016 MM TU Weighted ROE'!L94</f>
        <v>0</v>
      </c>
      <c r="H110" s="250">
        <f>E110-G110</f>
        <v>0</v>
      </c>
    </row>
    <row r="111" spans="1:9" ht="17.25" x14ac:dyDescent="0.25">
      <c r="A111" s="292" t="s">
        <v>127</v>
      </c>
      <c r="B111" s="5"/>
      <c r="C111" s="8"/>
      <c r="D111" s="5"/>
      <c r="E111" s="68"/>
      <c r="F111" s="5"/>
    </row>
    <row r="112" spans="1:9" ht="15" x14ac:dyDescent="0.25">
      <c r="A112" s="290" t="s">
        <v>193</v>
      </c>
      <c r="B112" s="5"/>
      <c r="C112" s="8"/>
      <c r="D112" s="5"/>
      <c r="E112" s="68"/>
      <c r="F112" s="5"/>
    </row>
    <row r="113" spans="1:5" ht="15.75" thickBot="1" x14ac:dyDescent="0.3">
      <c r="A113" s="291" t="s">
        <v>192</v>
      </c>
      <c r="B113" s="80"/>
      <c r="C113" s="94"/>
      <c r="D113" s="80"/>
      <c r="E113" s="103"/>
    </row>
    <row r="114" spans="1:5" x14ac:dyDescent="0.2">
      <c r="A114" s="117"/>
      <c r="B114" s="116"/>
      <c r="C114" s="3"/>
      <c r="D114" s="241"/>
    </row>
    <row r="115" spans="1:5" x14ac:dyDescent="0.2">
      <c r="A115" s="243"/>
      <c r="B115" s="241"/>
      <c r="C115" s="241"/>
      <c r="D115" s="241"/>
    </row>
    <row r="116" spans="1:5" x14ac:dyDescent="0.2">
      <c r="A116" s="243"/>
      <c r="B116" s="241"/>
      <c r="C116" s="241"/>
      <c r="D116" s="241"/>
    </row>
    <row r="117" spans="1:5" x14ac:dyDescent="0.2">
      <c r="A117" s="4"/>
      <c r="B117" s="241"/>
      <c r="C117" s="241"/>
      <c r="D117" s="241"/>
    </row>
    <row r="118" spans="1:5" x14ac:dyDescent="0.2">
      <c r="A118" s="4"/>
      <c r="B118" s="241"/>
      <c r="C118" s="241"/>
      <c r="D118" s="241"/>
    </row>
    <row r="119" spans="1:5" x14ac:dyDescent="0.2">
      <c r="A119" s="241"/>
      <c r="B119" s="241"/>
      <c r="C119" s="241"/>
      <c r="D119" s="241"/>
    </row>
    <row r="120" spans="1:5" x14ac:dyDescent="0.2">
      <c r="A120" s="241"/>
      <c r="B120" s="241"/>
      <c r="C120" s="241"/>
      <c r="D120" s="241"/>
    </row>
  </sheetData>
  <mergeCells count="4">
    <mergeCell ref="A99:B99"/>
    <mergeCell ref="A77:B77"/>
    <mergeCell ref="A74:E74"/>
    <mergeCell ref="A96:E96"/>
  </mergeCells>
  <pageMargins left="0.45" right="0.45" top="0.25" bottom="0.5" header="0.3" footer="0.1"/>
  <pageSetup scale="80" orientation="landscape" r:id="rId1"/>
  <headerFooter>
    <oddHeader>&amp;R&amp;A</oddHeader>
    <oddFooter>&amp;R&amp;D  Filename:  &amp;F &amp;  Tab: &amp;A</oddFooter>
  </headerFooter>
  <rowBreaks count="2" manualBreakCount="2">
    <brk id="35" max="8" man="1"/>
    <brk id="7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8"/>
  <sheetViews>
    <sheetView topLeftCell="A64" workbookViewId="0">
      <selection activeCell="F24" sqref="F24"/>
    </sheetView>
  </sheetViews>
  <sheetFormatPr defaultColWidth="11.42578125" defaultRowHeight="15" x14ac:dyDescent="0.25"/>
  <cols>
    <col min="1" max="1" width="1.7109375" style="16" customWidth="1"/>
    <col min="2" max="2" width="5.42578125" style="16" customWidth="1"/>
    <col min="3" max="3" width="41" style="16" customWidth="1"/>
    <col min="4" max="4" width="10.5703125" style="16" customWidth="1"/>
    <col min="5" max="5" width="13" style="16" customWidth="1"/>
    <col min="6" max="6" width="15.42578125" style="16" customWidth="1"/>
    <col min="7" max="7" width="16.7109375" style="16" customWidth="1"/>
    <col min="8" max="8" width="15.85546875" style="16" customWidth="1"/>
    <col min="9" max="9" width="13.42578125" style="16" customWidth="1"/>
    <col min="10" max="10" width="11.7109375" style="16" customWidth="1"/>
    <col min="11" max="11" width="13" style="16" customWidth="1"/>
    <col min="12" max="12" width="14.42578125" style="16" customWidth="1"/>
    <col min="13" max="13" width="2.5703125" style="16" customWidth="1"/>
    <col min="14" max="14" width="18.28515625" style="16" customWidth="1"/>
    <col min="15" max="15" width="16.42578125" style="16" customWidth="1"/>
    <col min="16" max="16" width="13.85546875" style="16" customWidth="1"/>
    <col min="17" max="16384" width="11.42578125" style="16"/>
  </cols>
  <sheetData>
    <row r="1" spans="2:33" ht="14.45" x14ac:dyDescent="0.3">
      <c r="B1" s="240" t="s">
        <v>157</v>
      </c>
    </row>
    <row r="2" spans="2:33" ht="14.45" x14ac:dyDescent="0.3">
      <c r="B2" s="313" t="s">
        <v>215</v>
      </c>
    </row>
    <row r="3" spans="2:33" ht="14.45" x14ac:dyDescent="0.3">
      <c r="B3" s="240" t="s">
        <v>129</v>
      </c>
    </row>
    <row r="4" spans="2:33" thickBot="1" x14ac:dyDescent="0.35"/>
    <row r="5" spans="2:33" s="15" customFormat="1" ht="18" x14ac:dyDescent="0.35">
      <c r="B5" s="145" t="s">
        <v>155</v>
      </c>
      <c r="C5" s="146"/>
      <c r="D5" s="146"/>
      <c r="E5" s="146"/>
      <c r="F5" s="263">
        <f>VLOOKUP(D7,'List of ROE by TO'!$B$8:$E$29,3,FALSE)</f>
        <v>0.12379999999999999</v>
      </c>
      <c r="G5" s="146"/>
      <c r="H5" s="146"/>
      <c r="I5" s="146"/>
      <c r="J5" s="146"/>
      <c r="K5" s="146"/>
      <c r="L5" s="147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</row>
    <row r="6" spans="2:33" ht="14.45" x14ac:dyDescent="0.3">
      <c r="B6" s="148" t="s">
        <v>18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2:33" ht="18" x14ac:dyDescent="0.35">
      <c r="B7" s="148"/>
      <c r="C7" s="151" t="s">
        <v>19</v>
      </c>
      <c r="D7" s="234" t="str">
        <f>'2016 TU'!A1</f>
        <v>SIGECO/Vectren</v>
      </c>
      <c r="E7" s="149"/>
      <c r="F7" s="149"/>
      <c r="G7" s="149"/>
      <c r="H7" s="149"/>
      <c r="I7" s="149"/>
      <c r="J7" s="149"/>
      <c r="K7" s="149"/>
      <c r="L7" s="150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2:33" ht="14.45" x14ac:dyDescent="0.3">
      <c r="B8" s="154" t="s">
        <v>21</v>
      </c>
      <c r="C8" s="20" t="s">
        <v>22</v>
      </c>
      <c r="D8" s="20" t="s">
        <v>23</v>
      </c>
      <c r="E8" s="20" t="s">
        <v>24</v>
      </c>
      <c r="F8" s="20" t="s">
        <v>25</v>
      </c>
      <c r="G8" s="20" t="s">
        <v>26</v>
      </c>
      <c r="H8" s="20" t="s">
        <v>27</v>
      </c>
      <c r="I8" s="20" t="s">
        <v>28</v>
      </c>
      <c r="J8" s="20" t="s">
        <v>29</v>
      </c>
      <c r="K8" s="20" t="s">
        <v>30</v>
      </c>
      <c r="L8" s="155" t="s">
        <v>31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2:33" ht="14.45" x14ac:dyDescent="0.3">
      <c r="B9" s="156"/>
      <c r="C9" s="17"/>
      <c r="D9" s="17"/>
      <c r="E9" s="17"/>
      <c r="F9" s="17"/>
      <c r="G9" s="18" t="s">
        <v>32</v>
      </c>
      <c r="H9" s="17"/>
      <c r="I9" s="17"/>
      <c r="J9" s="17"/>
      <c r="K9" s="17"/>
      <c r="L9" s="15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2:33" ht="14.45" x14ac:dyDescent="0.3">
      <c r="B10" s="152"/>
      <c r="C10" s="19"/>
      <c r="D10" s="19"/>
      <c r="E10" s="19"/>
      <c r="F10" s="20" t="s">
        <v>33</v>
      </c>
      <c r="G10" s="20" t="s">
        <v>34</v>
      </c>
      <c r="H10" s="20" t="s">
        <v>32</v>
      </c>
      <c r="I10" s="20" t="s">
        <v>35</v>
      </c>
      <c r="J10" s="20"/>
      <c r="K10" s="20"/>
      <c r="L10" s="153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ht="14.45" x14ac:dyDescent="0.3">
      <c r="B11" s="152"/>
      <c r="C11" s="19"/>
      <c r="D11" s="20" t="s">
        <v>37</v>
      </c>
      <c r="E11" s="20" t="s">
        <v>32</v>
      </c>
      <c r="F11" s="20" t="s">
        <v>38</v>
      </c>
      <c r="G11" s="20" t="s">
        <v>39</v>
      </c>
      <c r="H11" s="20" t="s">
        <v>38</v>
      </c>
      <c r="I11" s="20" t="s">
        <v>40</v>
      </c>
      <c r="J11" s="20"/>
      <c r="K11" s="20"/>
      <c r="L11" s="155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x14ac:dyDescent="0.25">
      <c r="B12" s="154" t="s">
        <v>42</v>
      </c>
      <c r="C12" s="20" t="s">
        <v>43</v>
      </c>
      <c r="D12" s="20" t="s">
        <v>43</v>
      </c>
      <c r="E12" s="20" t="s">
        <v>34</v>
      </c>
      <c r="F12" s="20" t="s">
        <v>5</v>
      </c>
      <c r="G12" s="20" t="s">
        <v>44</v>
      </c>
      <c r="H12" s="20" t="s">
        <v>5</v>
      </c>
      <c r="I12" s="20" t="s">
        <v>45</v>
      </c>
      <c r="J12" s="20"/>
      <c r="K12" s="20"/>
      <c r="L12" s="155"/>
      <c r="N12" s="334"/>
      <c r="O12" s="32"/>
      <c r="P12" s="334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ht="17.25" customHeight="1" x14ac:dyDescent="0.25">
      <c r="B13" s="158" t="s">
        <v>47</v>
      </c>
      <c r="C13" s="21" t="s">
        <v>48</v>
      </c>
      <c r="D13" s="21" t="s">
        <v>49</v>
      </c>
      <c r="E13" s="284" t="s">
        <v>196</v>
      </c>
      <c r="F13" s="21" t="s">
        <v>50</v>
      </c>
      <c r="G13" s="21" t="s">
        <v>51</v>
      </c>
      <c r="H13" s="21" t="s">
        <v>50</v>
      </c>
      <c r="I13" s="21" t="s">
        <v>52</v>
      </c>
      <c r="J13" s="21"/>
      <c r="K13" s="21"/>
      <c r="L13" s="159"/>
      <c r="N13" s="334"/>
      <c r="O13" s="32"/>
      <c r="P13" s="334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2:33" ht="15" customHeight="1" x14ac:dyDescent="0.25">
      <c r="B14" s="152"/>
      <c r="C14" s="19"/>
      <c r="D14" s="19"/>
      <c r="E14" s="19"/>
      <c r="F14" s="22" t="s">
        <v>33</v>
      </c>
      <c r="G14" s="22" t="s">
        <v>53</v>
      </c>
      <c r="H14" s="22" t="s">
        <v>32</v>
      </c>
      <c r="I14" s="19"/>
      <c r="J14" s="19"/>
      <c r="K14" s="19"/>
      <c r="L14" s="153"/>
      <c r="N14" s="334"/>
      <c r="O14" s="334"/>
      <c r="P14" s="33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2:33" ht="15" customHeight="1" x14ac:dyDescent="0.25">
      <c r="B15" s="152"/>
      <c r="C15" s="19"/>
      <c r="D15" s="19"/>
      <c r="E15" s="19"/>
      <c r="F15" s="22" t="s">
        <v>34</v>
      </c>
      <c r="G15" s="22" t="s">
        <v>54</v>
      </c>
      <c r="H15" s="22" t="s">
        <v>34</v>
      </c>
      <c r="I15" s="19"/>
      <c r="J15" s="22"/>
      <c r="K15" s="22"/>
      <c r="L15" s="153"/>
      <c r="N15" s="334"/>
      <c r="O15" s="334"/>
      <c r="P15" s="334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2:33" ht="17.25" x14ac:dyDescent="0.25">
      <c r="B16" s="160"/>
      <c r="C16" s="23"/>
      <c r="D16" s="23"/>
      <c r="E16" s="23"/>
      <c r="F16" s="24" t="s">
        <v>56</v>
      </c>
      <c r="G16" s="25" t="s">
        <v>57</v>
      </c>
      <c r="H16" s="24" t="s">
        <v>56</v>
      </c>
      <c r="I16" s="25" t="s">
        <v>58</v>
      </c>
      <c r="J16" s="25"/>
      <c r="K16" s="25"/>
      <c r="L16" s="159"/>
      <c r="N16" s="334"/>
      <c r="O16" s="334"/>
      <c r="P16" s="334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2:33" ht="9.75" customHeight="1" x14ac:dyDescent="0.3">
      <c r="B17" s="156"/>
      <c r="C17" s="17"/>
      <c r="D17" s="17"/>
      <c r="E17" s="17"/>
      <c r="F17" s="17"/>
      <c r="G17" s="17"/>
      <c r="H17" s="17"/>
      <c r="I17" s="17"/>
      <c r="J17" s="17"/>
      <c r="K17" s="17"/>
      <c r="L17" s="157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2:33" ht="32.25" customHeight="1" x14ac:dyDescent="0.3">
      <c r="B18" s="161">
        <v>1</v>
      </c>
      <c r="C18" s="335" t="s">
        <v>62</v>
      </c>
      <c r="D18" s="335"/>
      <c r="E18" s="35">
        <f>'2016 TU'!$E$81</f>
        <v>20773482</v>
      </c>
      <c r="F18" s="19"/>
      <c r="G18" s="19"/>
      <c r="H18" s="19"/>
      <c r="I18" s="19"/>
      <c r="J18" s="19"/>
      <c r="K18" s="19"/>
      <c r="L18" s="153"/>
      <c r="N18" s="32"/>
      <c r="O18" s="253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ht="13.5" customHeight="1" x14ac:dyDescent="0.3">
      <c r="B19" s="154"/>
      <c r="C19" s="19"/>
      <c r="D19" s="19"/>
      <c r="E19" s="19"/>
      <c r="F19" s="19"/>
      <c r="G19" s="19"/>
      <c r="H19" s="19"/>
      <c r="I19" s="19"/>
      <c r="J19" s="19"/>
      <c r="K19" s="19"/>
      <c r="L19" s="153"/>
      <c r="N19" s="253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2:33" x14ac:dyDescent="0.25">
      <c r="B20" s="154" t="s">
        <v>63</v>
      </c>
      <c r="C20" s="143" t="s">
        <v>230</v>
      </c>
      <c r="D20" s="244">
        <v>1004</v>
      </c>
      <c r="E20" s="27"/>
      <c r="F20" s="246">
        <v>3123983.6596484701</v>
      </c>
      <c r="G20" s="27">
        <f t="shared" ref="G20:G29" si="0">IF(F20=0,0,ROUND($E$18*(F20/$F$31),0))</f>
        <v>3111570</v>
      </c>
      <c r="H20" s="246">
        <v>3172833.8849344105</v>
      </c>
      <c r="I20" s="28">
        <f>ROUND(+H20-G20,0)</f>
        <v>61264</v>
      </c>
      <c r="J20" s="29"/>
      <c r="K20" s="28"/>
      <c r="L20" s="162"/>
      <c r="N20" s="254"/>
      <c r="O20" s="32"/>
      <c r="P20" s="254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2:33" x14ac:dyDescent="0.25">
      <c r="B21" s="154" t="s">
        <v>64</v>
      </c>
      <c r="C21" s="143" t="s">
        <v>231</v>
      </c>
      <c r="D21" s="244">
        <v>1259</v>
      </c>
      <c r="E21" s="27"/>
      <c r="F21" s="246">
        <v>1999266.0044003865</v>
      </c>
      <c r="G21" s="27">
        <f t="shared" si="0"/>
        <v>1991322</v>
      </c>
      <c r="H21" s="246">
        <v>2028892.7185343681</v>
      </c>
      <c r="I21" s="28">
        <f t="shared" ref="I21:I29" si="1">ROUND(+H21-G21,0)</f>
        <v>37571</v>
      </c>
      <c r="J21" s="29"/>
      <c r="K21" s="28"/>
      <c r="L21" s="162"/>
      <c r="N21" s="254"/>
      <c r="O21" s="32"/>
      <c r="P21" s="254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2:33" x14ac:dyDescent="0.25">
      <c r="B22" s="154" t="s">
        <v>65</v>
      </c>
      <c r="C22" s="143" t="s">
        <v>232</v>
      </c>
      <c r="D22" s="245">
        <v>1970</v>
      </c>
      <c r="E22" s="27"/>
      <c r="F22" s="246">
        <v>1014741.2112157476</v>
      </c>
      <c r="G22" s="27">
        <f t="shared" si="0"/>
        <v>1010709</v>
      </c>
      <c r="H22" s="246">
        <v>1030887.3999035542</v>
      </c>
      <c r="I22" s="28">
        <f t="shared" si="1"/>
        <v>20178</v>
      </c>
      <c r="J22" s="29"/>
      <c r="K22" s="28"/>
      <c r="L22" s="162"/>
      <c r="N22" s="254"/>
      <c r="O22" s="32"/>
      <c r="P22" s="254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2:33" x14ac:dyDescent="0.25">
      <c r="B23" s="154" t="s">
        <v>66</v>
      </c>
      <c r="C23" s="143" t="s">
        <v>233</v>
      </c>
      <c r="D23" s="244">
        <v>1257</v>
      </c>
      <c r="E23" s="27"/>
      <c r="F23" s="246">
        <v>14489724.158081928</v>
      </c>
      <c r="G23" s="27">
        <f t="shared" si="0"/>
        <v>14432147</v>
      </c>
      <c r="H23" s="246">
        <v>14713181.455604905</v>
      </c>
      <c r="I23" s="28">
        <f t="shared" si="1"/>
        <v>281034</v>
      </c>
      <c r="J23" s="29"/>
      <c r="K23" s="28"/>
      <c r="L23" s="162"/>
      <c r="N23" s="254"/>
      <c r="O23" s="32"/>
      <c r="P23" s="25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2:33" s="31" customFormat="1" x14ac:dyDescent="0.25">
      <c r="B24" s="163" t="s">
        <v>81</v>
      </c>
      <c r="C24" s="26" t="s">
        <v>234</v>
      </c>
      <c r="D24" s="244">
        <v>3212</v>
      </c>
      <c r="E24" s="30"/>
      <c r="F24" s="246">
        <v>228642.49670811841</v>
      </c>
      <c r="G24" s="27">
        <f t="shared" si="0"/>
        <v>227734</v>
      </c>
      <c r="H24" s="246">
        <v>230770.43196489924</v>
      </c>
      <c r="I24" s="28">
        <f t="shared" si="1"/>
        <v>3036</v>
      </c>
      <c r="J24" s="29"/>
      <c r="K24" s="28"/>
      <c r="L24" s="162"/>
      <c r="N24" s="254"/>
      <c r="O24" s="32"/>
      <c r="P24" s="254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2:33" s="31" customFormat="1" ht="14.45" x14ac:dyDescent="0.3">
      <c r="B25" s="163" t="s">
        <v>82</v>
      </c>
      <c r="C25" s="26"/>
      <c r="D25" s="244">
        <v>0</v>
      </c>
      <c r="E25" s="32"/>
      <c r="F25" s="246">
        <v>0</v>
      </c>
      <c r="G25" s="27">
        <f t="shared" si="0"/>
        <v>0</v>
      </c>
      <c r="H25" s="246">
        <v>0</v>
      </c>
      <c r="I25" s="28">
        <f t="shared" si="1"/>
        <v>0</v>
      </c>
      <c r="J25" s="29"/>
      <c r="K25" s="28"/>
      <c r="L25" s="162"/>
      <c r="N25" s="254"/>
      <c r="O25" s="32"/>
      <c r="P25" s="254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3" s="31" customFormat="1" ht="14.45" x14ac:dyDescent="0.3">
      <c r="B26" s="163" t="s">
        <v>83</v>
      </c>
      <c r="C26" s="26"/>
      <c r="D26" s="244">
        <v>0</v>
      </c>
      <c r="E26" s="32"/>
      <c r="F26" s="246">
        <v>0</v>
      </c>
      <c r="G26" s="27">
        <f t="shared" si="0"/>
        <v>0</v>
      </c>
      <c r="H26" s="246">
        <v>0</v>
      </c>
      <c r="I26" s="28">
        <f t="shared" si="1"/>
        <v>0</v>
      </c>
      <c r="J26" s="29"/>
      <c r="K26" s="28"/>
      <c r="L26" s="162"/>
      <c r="N26" s="254"/>
      <c r="O26" s="32"/>
      <c r="P26" s="254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2:33" s="31" customFormat="1" ht="14.45" x14ac:dyDescent="0.3">
      <c r="B27" s="163" t="s">
        <v>84</v>
      </c>
      <c r="C27" s="26"/>
      <c r="D27" s="244">
        <v>0</v>
      </c>
      <c r="E27" s="32"/>
      <c r="F27" s="246">
        <v>0</v>
      </c>
      <c r="G27" s="27">
        <f t="shared" si="0"/>
        <v>0</v>
      </c>
      <c r="H27" s="246">
        <v>0</v>
      </c>
      <c r="I27" s="28">
        <f t="shared" si="1"/>
        <v>0</v>
      </c>
      <c r="J27" s="29"/>
      <c r="K27" s="28"/>
      <c r="L27" s="162"/>
      <c r="N27" s="254"/>
      <c r="O27" s="32"/>
      <c r="P27" s="254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2:33" s="31" customFormat="1" ht="14.45" x14ac:dyDescent="0.3">
      <c r="B28" s="163" t="s">
        <v>85</v>
      </c>
      <c r="C28" s="26"/>
      <c r="D28" s="244">
        <v>0</v>
      </c>
      <c r="E28" s="32"/>
      <c r="F28" s="246">
        <v>0</v>
      </c>
      <c r="G28" s="27">
        <f t="shared" si="0"/>
        <v>0</v>
      </c>
      <c r="H28" s="246">
        <v>0</v>
      </c>
      <c r="I28" s="28">
        <f t="shared" si="1"/>
        <v>0</v>
      </c>
      <c r="J28" s="29"/>
      <c r="K28" s="28"/>
      <c r="L28" s="162"/>
      <c r="N28" s="254"/>
      <c r="O28" s="32"/>
      <c r="P28" s="254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2:33" s="31" customFormat="1" ht="14.45" x14ac:dyDescent="0.3">
      <c r="B29" s="277" t="s">
        <v>86</v>
      </c>
      <c r="C29" s="26"/>
      <c r="D29" s="244">
        <v>0</v>
      </c>
      <c r="E29" s="32"/>
      <c r="F29" s="246">
        <v>0</v>
      </c>
      <c r="G29" s="27">
        <f t="shared" si="0"/>
        <v>0</v>
      </c>
      <c r="H29" s="246">
        <v>0</v>
      </c>
      <c r="I29" s="28">
        <f t="shared" si="1"/>
        <v>0</v>
      </c>
      <c r="J29" s="29"/>
      <c r="K29" s="28"/>
      <c r="L29" s="162"/>
      <c r="N29" s="254"/>
      <c r="O29" s="32"/>
      <c r="P29" s="254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ht="14.45" x14ac:dyDescent="0.3">
      <c r="B30" s="158"/>
      <c r="C30" s="23"/>
      <c r="D30" s="23"/>
      <c r="E30" s="23"/>
      <c r="F30" s="23"/>
      <c r="G30" s="23"/>
      <c r="H30" s="23"/>
      <c r="I30" s="23"/>
      <c r="J30" s="23"/>
      <c r="K30" s="23"/>
      <c r="L30" s="164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ht="14.45" x14ac:dyDescent="0.3">
      <c r="B31" s="154">
        <v>3</v>
      </c>
      <c r="C31" s="19" t="s">
        <v>67</v>
      </c>
      <c r="D31" s="19"/>
      <c r="E31" s="165"/>
      <c r="F31" s="165">
        <f>SUM(F20:F30)</f>
        <v>20856357.530054651</v>
      </c>
      <c r="G31" s="165">
        <f>SUM(G20:G30)</f>
        <v>20773482</v>
      </c>
      <c r="H31" s="165">
        <f>SUM(H20:H30)</f>
        <v>21176565.890942138</v>
      </c>
      <c r="I31" s="165"/>
      <c r="J31" s="19"/>
      <c r="K31" s="19"/>
      <c r="L31" s="153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ht="14.45" x14ac:dyDescent="0.3">
      <c r="B32" s="154">
        <v>4</v>
      </c>
      <c r="C32" s="19" t="s">
        <v>68</v>
      </c>
      <c r="D32" s="19"/>
      <c r="E32" s="19"/>
      <c r="F32" s="19"/>
      <c r="G32" s="19"/>
      <c r="H32" s="19"/>
      <c r="I32" s="165">
        <f>SUM(I20:I30)</f>
        <v>403083</v>
      </c>
      <c r="J32" s="19"/>
      <c r="K32" s="165"/>
      <c r="L32" s="166"/>
      <c r="N32" s="35"/>
      <c r="O32" s="32"/>
      <c r="P32" s="35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2:33" ht="14.45" x14ac:dyDescent="0.3">
      <c r="B33" s="154"/>
      <c r="C33" s="19"/>
      <c r="D33" s="19"/>
      <c r="E33" s="19"/>
      <c r="F33" s="19"/>
      <c r="G33" s="19"/>
      <c r="H33" s="19"/>
      <c r="I33" s="165"/>
      <c r="J33" s="19"/>
      <c r="K33" s="165"/>
      <c r="L33" s="166"/>
      <c r="N33" s="35"/>
      <c r="O33" s="32"/>
      <c r="P33" s="35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2:33" ht="15.75" customHeight="1" x14ac:dyDescent="0.3">
      <c r="B34" s="167" t="s">
        <v>70</v>
      </c>
      <c r="C34" s="285" t="s">
        <v>209</v>
      </c>
      <c r="D34" s="32"/>
      <c r="E34" s="32"/>
      <c r="F34" s="32"/>
      <c r="G34" s="32"/>
      <c r="H34" s="19"/>
      <c r="I34" s="19"/>
      <c r="J34" s="168"/>
      <c r="K34" s="19"/>
      <c r="L34" s="153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2:33" ht="15.75" customHeight="1" x14ac:dyDescent="0.3">
      <c r="B35" s="167"/>
      <c r="C35" s="288" t="s">
        <v>195</v>
      </c>
      <c r="D35" s="5"/>
      <c r="E35" s="8"/>
      <c r="F35" s="5"/>
      <c r="G35" s="68"/>
      <c r="H35" s="19"/>
      <c r="I35" s="19"/>
      <c r="J35" s="168"/>
      <c r="K35" s="19"/>
      <c r="L35" s="15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2:33" ht="15.75" customHeight="1" thickBot="1" x14ac:dyDescent="0.35">
      <c r="B36" s="169" t="s">
        <v>71</v>
      </c>
      <c r="C36" s="170" t="s">
        <v>72</v>
      </c>
      <c r="D36" s="170"/>
      <c r="E36" s="170"/>
      <c r="F36" s="170"/>
      <c r="G36" s="170"/>
      <c r="H36" s="170"/>
      <c r="I36" s="170"/>
      <c r="J36" s="170"/>
      <c r="K36" s="170"/>
      <c r="L36" s="17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2:33" ht="15.75" customHeight="1" thickBot="1" x14ac:dyDescent="0.35"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2:33" s="15" customFormat="1" ht="18" x14ac:dyDescent="0.35">
      <c r="B38" s="172" t="s">
        <v>156</v>
      </c>
      <c r="C38" s="173"/>
      <c r="D38" s="173"/>
      <c r="E38" s="173"/>
      <c r="F38" s="264">
        <f>VLOOKUP(D40,'List of ROE by TO'!$B$8:$E$29,4,FALSE)</f>
        <v>0.1082</v>
      </c>
      <c r="G38" s="173"/>
      <c r="H38" s="173"/>
      <c r="I38" s="173"/>
      <c r="J38" s="173"/>
      <c r="K38" s="173"/>
      <c r="L38" s="174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</row>
    <row r="39" spans="2:33" ht="14.45" x14ac:dyDescent="0.3">
      <c r="B39" s="175" t="s">
        <v>18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2:33" ht="18" x14ac:dyDescent="0.35">
      <c r="B40" s="175"/>
      <c r="C40" s="178" t="s">
        <v>19</v>
      </c>
      <c r="D40" s="235" t="str">
        <f>D7</f>
        <v>SIGECO/Vectren</v>
      </c>
      <c r="E40" s="176"/>
      <c r="F40" s="176"/>
      <c r="G40" s="176"/>
      <c r="H40" s="176"/>
      <c r="I40" s="176"/>
      <c r="J40" s="176"/>
      <c r="K40" s="176"/>
      <c r="L40" s="177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2:33" ht="14.45" x14ac:dyDescent="0.3">
      <c r="B41" s="175"/>
      <c r="C41" s="178" t="s">
        <v>20</v>
      </c>
      <c r="D41" s="179">
        <v>2016</v>
      </c>
      <c r="E41" s="176"/>
      <c r="F41" s="176"/>
      <c r="G41" s="176"/>
      <c r="H41" s="176"/>
      <c r="I41" s="176"/>
      <c r="J41" s="176"/>
      <c r="K41" s="176"/>
      <c r="L41" s="177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2:33" ht="14.45" x14ac:dyDescent="0.3">
      <c r="B42" s="154" t="s">
        <v>21</v>
      </c>
      <c r="C42" s="20" t="s">
        <v>22</v>
      </c>
      <c r="D42" s="20" t="s">
        <v>23</v>
      </c>
      <c r="E42" s="20" t="s">
        <v>24</v>
      </c>
      <c r="F42" s="20" t="s">
        <v>25</v>
      </c>
      <c r="G42" s="20" t="s">
        <v>26</v>
      </c>
      <c r="H42" s="20" t="s">
        <v>27</v>
      </c>
      <c r="I42" s="20" t="s">
        <v>28</v>
      </c>
      <c r="J42" s="20" t="s">
        <v>29</v>
      </c>
      <c r="K42" s="20" t="s">
        <v>30</v>
      </c>
      <c r="L42" s="155" t="s">
        <v>31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2:33" ht="14.45" x14ac:dyDescent="0.3">
      <c r="B43" s="156"/>
      <c r="C43" s="17"/>
      <c r="D43" s="17"/>
      <c r="E43" s="17"/>
      <c r="F43" s="17"/>
      <c r="G43" s="18" t="s">
        <v>32</v>
      </c>
      <c r="H43" s="17"/>
      <c r="I43" s="17"/>
      <c r="J43" s="17"/>
      <c r="K43" s="17"/>
      <c r="L43" s="157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2:33" ht="14.45" x14ac:dyDescent="0.3">
      <c r="B44" s="152"/>
      <c r="C44" s="19"/>
      <c r="D44" s="19"/>
      <c r="E44" s="19"/>
      <c r="F44" s="20" t="s">
        <v>33</v>
      </c>
      <c r="G44" s="20" t="s">
        <v>34</v>
      </c>
      <c r="H44" s="20" t="s">
        <v>32</v>
      </c>
      <c r="I44" s="20" t="s">
        <v>35</v>
      </c>
      <c r="J44" s="20"/>
      <c r="K44" s="20"/>
      <c r="L44" s="153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2:33" ht="14.45" x14ac:dyDescent="0.3">
      <c r="B45" s="152"/>
      <c r="C45" s="19"/>
      <c r="D45" s="20" t="s">
        <v>37</v>
      </c>
      <c r="E45" s="20" t="s">
        <v>32</v>
      </c>
      <c r="F45" s="20" t="s">
        <v>38</v>
      </c>
      <c r="G45" s="20" t="s">
        <v>39</v>
      </c>
      <c r="H45" s="20" t="s">
        <v>38</v>
      </c>
      <c r="I45" s="20" t="s">
        <v>40</v>
      </c>
      <c r="J45" s="20"/>
      <c r="K45" s="20"/>
      <c r="L45" s="15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2:33" x14ac:dyDescent="0.25">
      <c r="B46" s="154" t="s">
        <v>42</v>
      </c>
      <c r="C46" s="20" t="s">
        <v>43</v>
      </c>
      <c r="D46" s="20" t="s">
        <v>43</v>
      </c>
      <c r="E46" s="20" t="s">
        <v>34</v>
      </c>
      <c r="F46" s="20" t="s">
        <v>5</v>
      </c>
      <c r="G46" s="20" t="s">
        <v>44</v>
      </c>
      <c r="H46" s="20" t="s">
        <v>5</v>
      </c>
      <c r="I46" s="20" t="s">
        <v>45</v>
      </c>
      <c r="J46" s="20"/>
      <c r="K46" s="20"/>
      <c r="L46" s="155"/>
      <c r="N46" s="334"/>
      <c r="O46" s="32"/>
      <c r="P46" s="334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2:33" ht="17.25" customHeight="1" x14ac:dyDescent="0.25">
      <c r="B47" s="158" t="s">
        <v>47</v>
      </c>
      <c r="C47" s="21" t="s">
        <v>48</v>
      </c>
      <c r="D47" s="21" t="s">
        <v>49</v>
      </c>
      <c r="E47" s="284" t="s">
        <v>196</v>
      </c>
      <c r="F47" s="21" t="s">
        <v>50</v>
      </c>
      <c r="G47" s="21" t="s">
        <v>51</v>
      </c>
      <c r="H47" s="21" t="s">
        <v>50</v>
      </c>
      <c r="I47" s="21" t="s">
        <v>52</v>
      </c>
      <c r="J47" s="21"/>
      <c r="K47" s="21"/>
      <c r="L47" s="159"/>
      <c r="N47" s="334"/>
      <c r="O47" s="32"/>
      <c r="P47" s="334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2:33" ht="15" customHeight="1" x14ac:dyDescent="0.25">
      <c r="B48" s="152"/>
      <c r="C48" s="19"/>
      <c r="D48" s="19"/>
      <c r="E48" s="19"/>
      <c r="F48" s="22" t="s">
        <v>33</v>
      </c>
      <c r="G48" s="22" t="s">
        <v>53</v>
      </c>
      <c r="H48" s="22" t="s">
        <v>32</v>
      </c>
      <c r="I48" s="19"/>
      <c r="J48" s="19"/>
      <c r="K48" s="19"/>
      <c r="L48" s="153"/>
      <c r="N48" s="334"/>
      <c r="O48" s="334"/>
      <c r="P48" s="334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2:33" ht="15" customHeight="1" x14ac:dyDescent="0.25">
      <c r="B49" s="152"/>
      <c r="C49" s="19"/>
      <c r="D49" s="19"/>
      <c r="E49" s="19"/>
      <c r="F49" s="22" t="s">
        <v>34</v>
      </c>
      <c r="G49" s="22" t="s">
        <v>54</v>
      </c>
      <c r="H49" s="22" t="s">
        <v>34</v>
      </c>
      <c r="I49" s="19"/>
      <c r="J49" s="22"/>
      <c r="K49" s="22"/>
      <c r="L49" s="153"/>
      <c r="N49" s="334"/>
      <c r="O49" s="334"/>
      <c r="P49" s="334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2:33" ht="17.25" x14ac:dyDescent="0.25">
      <c r="B50" s="160"/>
      <c r="C50" s="23"/>
      <c r="D50" s="23"/>
      <c r="E50" s="23"/>
      <c r="F50" s="24" t="s">
        <v>56</v>
      </c>
      <c r="G50" s="25" t="s">
        <v>57</v>
      </c>
      <c r="H50" s="24" t="s">
        <v>56</v>
      </c>
      <c r="I50" s="25" t="s">
        <v>58</v>
      </c>
      <c r="J50" s="25"/>
      <c r="K50" s="25"/>
      <c r="L50" s="159"/>
      <c r="N50" s="334"/>
      <c r="O50" s="334"/>
      <c r="P50" s="334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2:33" ht="9.75" customHeight="1" x14ac:dyDescent="0.25">
      <c r="B51" s="156"/>
      <c r="C51" s="17"/>
      <c r="D51" s="17"/>
      <c r="E51" s="17"/>
      <c r="F51" s="17"/>
      <c r="G51" s="17"/>
      <c r="H51" s="17"/>
      <c r="I51" s="17"/>
      <c r="J51" s="17"/>
      <c r="K51" s="17"/>
      <c r="L51" s="15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2:33" ht="32.25" customHeight="1" x14ac:dyDescent="0.25">
      <c r="B52" s="161">
        <v>1</v>
      </c>
      <c r="C52" s="335" t="s">
        <v>62</v>
      </c>
      <c r="D52" s="335"/>
      <c r="E52" s="35">
        <f>$E$18</f>
        <v>20773482</v>
      </c>
      <c r="F52" s="19"/>
      <c r="G52" s="19"/>
      <c r="H52" s="19"/>
      <c r="I52" s="19"/>
      <c r="J52" s="19"/>
      <c r="K52" s="19"/>
      <c r="L52" s="153"/>
      <c r="N52" s="32"/>
      <c r="O52" s="253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2:33" ht="13.5" customHeight="1" x14ac:dyDescent="0.25">
      <c r="B53" s="154"/>
      <c r="C53" s="19"/>
      <c r="D53" s="19"/>
      <c r="E53" s="19"/>
      <c r="F53" s="19"/>
      <c r="G53" s="19"/>
      <c r="H53" s="19"/>
      <c r="I53" s="19"/>
      <c r="J53" s="19"/>
      <c r="K53" s="19"/>
      <c r="L53" s="153"/>
      <c r="N53" s="253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2:33" x14ac:dyDescent="0.25">
      <c r="B54" s="154" t="s">
        <v>63</v>
      </c>
      <c r="C54" s="143" t="str">
        <f>C20</f>
        <v>345/138 kV Substation at Francisco</v>
      </c>
      <c r="D54" s="247">
        <f>D20</f>
        <v>1004</v>
      </c>
      <c r="E54" s="27"/>
      <c r="F54" s="246">
        <v>2889922.4129942479</v>
      </c>
      <c r="G54" s="27">
        <f t="shared" ref="G54:G63" si="2">IF(F54=0,0,ROUND($E$52*(F54/$F$65),0))</f>
        <v>3109024</v>
      </c>
      <c r="H54" s="246">
        <v>2930799.060313296</v>
      </c>
      <c r="I54" s="28">
        <f>ROUND(+H54-G54,0)</f>
        <v>-178225</v>
      </c>
      <c r="J54" s="29"/>
      <c r="K54" s="28"/>
      <c r="L54" s="162"/>
      <c r="N54" s="254"/>
      <c r="O54" s="32"/>
      <c r="P54" s="25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2:33" x14ac:dyDescent="0.25">
      <c r="B55" s="154" t="s">
        <v>64</v>
      </c>
      <c r="C55" s="143" t="str">
        <f t="shared" ref="C55:C58" si="3">C21</f>
        <v>Transmission line Dubois to Newtonville</v>
      </c>
      <c r="D55" s="247">
        <f t="shared" ref="D55:D63" si="4">D21</f>
        <v>1259</v>
      </c>
      <c r="E55" s="27"/>
      <c r="F55" s="246">
        <v>1858220.5357328902</v>
      </c>
      <c r="G55" s="27">
        <f t="shared" si="2"/>
        <v>1999103</v>
      </c>
      <c r="H55" s="246">
        <v>1883042.3662845911</v>
      </c>
      <c r="I55" s="28">
        <f t="shared" ref="I55:I63" si="5">ROUND(+H55-G55,0)</f>
        <v>-116061</v>
      </c>
      <c r="J55" s="29"/>
      <c r="K55" s="28"/>
      <c r="L55" s="162"/>
      <c r="N55" s="254"/>
      <c r="O55" s="32"/>
      <c r="P55" s="254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2:33" x14ac:dyDescent="0.25">
      <c r="B56" s="154" t="s">
        <v>65</v>
      </c>
      <c r="C56" s="143" t="str">
        <f t="shared" si="3"/>
        <v>345kV Transformer at AB Brown</v>
      </c>
      <c r="D56" s="248">
        <f t="shared" si="4"/>
        <v>1970</v>
      </c>
      <c r="E56" s="27"/>
      <c r="F56" s="246">
        <v>936773.42658615275</v>
      </c>
      <c r="G56" s="27">
        <f t="shared" si="2"/>
        <v>1007796</v>
      </c>
      <c r="H56" s="246">
        <v>950263.54888733407</v>
      </c>
      <c r="I56" s="28">
        <f t="shared" si="5"/>
        <v>-57532</v>
      </c>
      <c r="J56" s="29"/>
      <c r="K56" s="28"/>
      <c r="L56" s="162"/>
      <c r="N56" s="254"/>
      <c r="O56" s="32"/>
      <c r="P56" s="254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2:33" x14ac:dyDescent="0.25">
      <c r="B57" s="154" t="s">
        <v>66</v>
      </c>
      <c r="C57" s="143" t="str">
        <f t="shared" si="3"/>
        <v>Gibson to AB Brown to Reid 345kV</v>
      </c>
      <c r="D57" s="247">
        <f t="shared" si="4"/>
        <v>1257</v>
      </c>
      <c r="E57" s="27"/>
      <c r="F57" s="246">
        <v>13412698.918409996</v>
      </c>
      <c r="G57" s="27">
        <f t="shared" si="2"/>
        <v>14429594</v>
      </c>
      <c r="H57" s="246">
        <v>13599436.96591036</v>
      </c>
      <c r="I57" s="28">
        <f t="shared" si="5"/>
        <v>-830157</v>
      </c>
      <c r="J57" s="29"/>
      <c r="K57" s="28"/>
      <c r="L57" s="162"/>
      <c r="N57" s="254"/>
      <c r="O57" s="32"/>
      <c r="P57" s="254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2:33" s="31" customFormat="1" x14ac:dyDescent="0.25">
      <c r="B58" s="163" t="s">
        <v>81</v>
      </c>
      <c r="C58" s="143" t="str">
        <f t="shared" si="3"/>
        <v>Upgrade Breed-Wheatland-Petersburg 345kV</v>
      </c>
      <c r="D58" s="247">
        <f t="shared" si="4"/>
        <v>3212</v>
      </c>
      <c r="E58" s="30"/>
      <c r="F58" s="246">
        <v>211899.18737784843</v>
      </c>
      <c r="G58" s="27">
        <f t="shared" si="2"/>
        <v>227965</v>
      </c>
      <c r="H58" s="246">
        <v>213557.82341964392</v>
      </c>
      <c r="I58" s="28">
        <f t="shared" si="5"/>
        <v>-14407</v>
      </c>
      <c r="J58" s="29"/>
      <c r="K58" s="28"/>
      <c r="L58" s="162"/>
      <c r="N58" s="254"/>
      <c r="O58" s="32"/>
      <c r="P58" s="254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2:33" s="31" customFormat="1" x14ac:dyDescent="0.25">
      <c r="B59" s="163" t="s">
        <v>82</v>
      </c>
      <c r="C59" s="143"/>
      <c r="D59" s="247">
        <f t="shared" si="4"/>
        <v>0</v>
      </c>
      <c r="E59" s="32"/>
      <c r="F59" s="246">
        <v>0</v>
      </c>
      <c r="G59" s="27">
        <f t="shared" si="2"/>
        <v>0</v>
      </c>
      <c r="H59" s="246">
        <v>0</v>
      </c>
      <c r="I59" s="28">
        <f t="shared" si="5"/>
        <v>0</v>
      </c>
      <c r="J59" s="29"/>
      <c r="K59" s="28"/>
      <c r="L59" s="162"/>
      <c r="N59" s="254"/>
      <c r="O59" s="32"/>
      <c r="P59" s="254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2:33" s="31" customFormat="1" x14ac:dyDescent="0.25">
      <c r="B60" s="163" t="s">
        <v>83</v>
      </c>
      <c r="C60" s="143"/>
      <c r="D60" s="247">
        <f t="shared" si="4"/>
        <v>0</v>
      </c>
      <c r="E60" s="32"/>
      <c r="F60" s="246">
        <v>0</v>
      </c>
      <c r="G60" s="27">
        <f t="shared" si="2"/>
        <v>0</v>
      </c>
      <c r="H60" s="246">
        <v>0</v>
      </c>
      <c r="I60" s="28">
        <f t="shared" si="5"/>
        <v>0</v>
      </c>
      <c r="J60" s="29"/>
      <c r="K60" s="28"/>
      <c r="L60" s="162"/>
      <c r="N60" s="254"/>
      <c r="O60" s="32"/>
      <c r="P60" s="254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2:33" s="31" customFormat="1" x14ac:dyDescent="0.25">
      <c r="B61" s="163" t="s">
        <v>84</v>
      </c>
      <c r="C61" s="143"/>
      <c r="D61" s="247">
        <f t="shared" si="4"/>
        <v>0</v>
      </c>
      <c r="E61" s="32"/>
      <c r="F61" s="246">
        <v>0</v>
      </c>
      <c r="G61" s="27">
        <f t="shared" si="2"/>
        <v>0</v>
      </c>
      <c r="H61" s="246">
        <v>0</v>
      </c>
      <c r="I61" s="28">
        <f t="shared" si="5"/>
        <v>0</v>
      </c>
      <c r="J61" s="29"/>
      <c r="K61" s="28"/>
      <c r="L61" s="162"/>
      <c r="N61" s="254"/>
      <c r="O61" s="32"/>
      <c r="P61" s="254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2:33" s="31" customFormat="1" x14ac:dyDescent="0.25">
      <c r="B62" s="163" t="s">
        <v>85</v>
      </c>
      <c r="C62" s="143"/>
      <c r="D62" s="247">
        <f t="shared" si="4"/>
        <v>0</v>
      </c>
      <c r="E62" s="32"/>
      <c r="F62" s="246">
        <v>0</v>
      </c>
      <c r="G62" s="27">
        <f t="shared" si="2"/>
        <v>0</v>
      </c>
      <c r="H62" s="246">
        <v>0</v>
      </c>
      <c r="I62" s="28">
        <f t="shared" si="5"/>
        <v>0</v>
      </c>
      <c r="J62" s="29"/>
      <c r="K62" s="28"/>
      <c r="L62" s="162"/>
      <c r="N62" s="254"/>
      <c r="O62" s="32"/>
      <c r="P62" s="254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2:33" s="31" customFormat="1" x14ac:dyDescent="0.25">
      <c r="B63" s="277" t="s">
        <v>86</v>
      </c>
      <c r="C63" s="26"/>
      <c r="D63" s="247">
        <f t="shared" si="4"/>
        <v>0</v>
      </c>
      <c r="E63" s="32"/>
      <c r="F63" s="246">
        <v>0</v>
      </c>
      <c r="G63" s="27">
        <f t="shared" si="2"/>
        <v>0</v>
      </c>
      <c r="H63" s="246">
        <v>0</v>
      </c>
      <c r="I63" s="28">
        <f t="shared" si="5"/>
        <v>0</v>
      </c>
      <c r="J63" s="29"/>
      <c r="K63" s="28"/>
      <c r="L63" s="162"/>
      <c r="N63" s="254"/>
      <c r="O63" s="32"/>
      <c r="P63" s="254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2:33" x14ac:dyDescent="0.25">
      <c r="B64" s="158"/>
      <c r="C64" s="23"/>
      <c r="D64" s="23"/>
      <c r="E64" s="23"/>
      <c r="F64" s="23"/>
      <c r="G64" s="23"/>
      <c r="H64" s="23"/>
      <c r="I64" s="23"/>
      <c r="J64" s="23"/>
      <c r="K64" s="23"/>
      <c r="L64" s="164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x14ac:dyDescent="0.25">
      <c r="B65" s="154">
        <v>3</v>
      </c>
      <c r="C65" s="19" t="s">
        <v>67</v>
      </c>
      <c r="D65" s="19"/>
      <c r="E65" s="165"/>
      <c r="F65" s="165">
        <f>SUM(F54:F64)</f>
        <v>19309514.481101133</v>
      </c>
      <c r="G65" s="165">
        <f>SUM(G54:G64)</f>
        <v>20773482</v>
      </c>
      <c r="H65" s="165">
        <f>SUM(H54:H64)</f>
        <v>19577099.764815226</v>
      </c>
      <c r="I65" s="165"/>
      <c r="J65" s="19"/>
      <c r="K65" s="19"/>
      <c r="L65" s="153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15.75" thickBot="1" x14ac:dyDescent="0.3">
      <c r="B66" s="180">
        <v>4</v>
      </c>
      <c r="C66" s="170" t="s">
        <v>68</v>
      </c>
      <c r="D66" s="170"/>
      <c r="E66" s="170"/>
      <c r="F66" s="170"/>
      <c r="G66" s="170"/>
      <c r="H66" s="170"/>
      <c r="I66" s="181">
        <f>SUM(I54:I64)</f>
        <v>-1196382</v>
      </c>
      <c r="J66" s="170"/>
      <c r="K66" s="181"/>
      <c r="L66" s="182"/>
      <c r="N66" s="35"/>
      <c r="O66" s="32"/>
      <c r="P66" s="35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15.75" thickBot="1" x14ac:dyDescent="0.3"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8.75" x14ac:dyDescent="0.3">
      <c r="A68" s="15"/>
      <c r="B68" s="185" t="s">
        <v>119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7"/>
      <c r="M68" s="15"/>
      <c r="N68" s="252"/>
      <c r="O68" s="252"/>
      <c r="P68" s="25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x14ac:dyDescent="0.25">
      <c r="B69" s="188" t="s">
        <v>18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90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18.75" x14ac:dyDescent="0.3">
      <c r="B70" s="188"/>
      <c r="C70" s="191" t="s">
        <v>19</v>
      </c>
      <c r="D70" s="236" t="str">
        <f>D7</f>
        <v>SIGECO/Vectren</v>
      </c>
      <c r="E70" s="189"/>
      <c r="F70" s="189"/>
      <c r="G70" s="189"/>
      <c r="H70" s="189"/>
      <c r="I70" s="189"/>
      <c r="J70" s="189"/>
      <c r="K70" s="189"/>
      <c r="L70" s="190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x14ac:dyDescent="0.25">
      <c r="B71" s="188"/>
      <c r="C71" s="191" t="s">
        <v>20</v>
      </c>
      <c r="D71" s="192">
        <v>2016</v>
      </c>
      <c r="E71" s="189"/>
      <c r="F71" s="189"/>
      <c r="G71" s="189"/>
      <c r="H71" s="189"/>
      <c r="I71" s="189"/>
      <c r="J71" s="189"/>
      <c r="K71" s="189"/>
      <c r="L71" s="190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x14ac:dyDescent="0.25">
      <c r="B72" s="154" t="s">
        <v>21</v>
      </c>
      <c r="C72" s="20" t="s">
        <v>22</v>
      </c>
      <c r="D72" s="20" t="s">
        <v>23</v>
      </c>
      <c r="E72" s="20" t="s">
        <v>24</v>
      </c>
      <c r="F72" s="20" t="s">
        <v>25</v>
      </c>
      <c r="G72" s="20" t="s">
        <v>26</v>
      </c>
      <c r="H72" s="20" t="s">
        <v>27</v>
      </c>
      <c r="I72" s="20" t="s">
        <v>28</v>
      </c>
      <c r="J72" s="20" t="s">
        <v>29</v>
      </c>
      <c r="K72" s="20" t="s">
        <v>30</v>
      </c>
      <c r="L72" s="155" t="s">
        <v>31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x14ac:dyDescent="0.25">
      <c r="B73" s="156"/>
      <c r="C73" s="17"/>
      <c r="D73" s="17"/>
      <c r="E73" s="17"/>
      <c r="F73" s="17"/>
      <c r="G73" s="18" t="s">
        <v>32</v>
      </c>
      <c r="H73" s="17"/>
      <c r="I73" s="17"/>
      <c r="J73" s="17"/>
      <c r="K73" s="17"/>
      <c r="L73" s="157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x14ac:dyDescent="0.25">
      <c r="B74" s="152"/>
      <c r="C74" s="19"/>
      <c r="D74" s="19"/>
      <c r="E74" s="19"/>
      <c r="F74" s="20" t="s">
        <v>33</v>
      </c>
      <c r="G74" s="20" t="s">
        <v>34</v>
      </c>
      <c r="H74" s="20" t="s">
        <v>32</v>
      </c>
      <c r="I74" s="20" t="s">
        <v>35</v>
      </c>
      <c r="J74" s="20" t="s">
        <v>36</v>
      </c>
      <c r="K74" s="20" t="s">
        <v>35</v>
      </c>
      <c r="L74" s="15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x14ac:dyDescent="0.25">
      <c r="B75" s="152"/>
      <c r="C75" s="19"/>
      <c r="D75" s="20" t="s">
        <v>37</v>
      </c>
      <c r="E75" s="20" t="s">
        <v>32</v>
      </c>
      <c r="F75" s="20" t="s">
        <v>38</v>
      </c>
      <c r="G75" s="20" t="s">
        <v>39</v>
      </c>
      <c r="H75" s="20" t="s">
        <v>38</v>
      </c>
      <c r="I75" s="20" t="s">
        <v>40</v>
      </c>
      <c r="J75" s="20" t="s">
        <v>41</v>
      </c>
      <c r="K75" s="20" t="s">
        <v>40</v>
      </c>
      <c r="L75" s="155" t="s">
        <v>17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x14ac:dyDescent="0.25">
      <c r="B76" s="154" t="s">
        <v>42</v>
      </c>
      <c r="C76" s="20" t="s">
        <v>43</v>
      </c>
      <c r="D76" s="20" t="s">
        <v>43</v>
      </c>
      <c r="E76" s="20" t="s">
        <v>34</v>
      </c>
      <c r="F76" s="20" t="s">
        <v>5</v>
      </c>
      <c r="G76" s="20" t="s">
        <v>44</v>
      </c>
      <c r="H76" s="20" t="s">
        <v>5</v>
      </c>
      <c r="I76" s="20" t="s">
        <v>45</v>
      </c>
      <c r="J76" s="20" t="s">
        <v>46</v>
      </c>
      <c r="K76" s="20" t="s">
        <v>41</v>
      </c>
      <c r="L76" s="155" t="s">
        <v>35</v>
      </c>
      <c r="N76" s="334"/>
      <c r="O76" s="32"/>
      <c r="P76" s="334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ht="17.25" x14ac:dyDescent="0.25">
      <c r="B77" s="158" t="s">
        <v>47</v>
      </c>
      <c r="C77" s="21" t="s">
        <v>48</v>
      </c>
      <c r="D77" s="21" t="s">
        <v>49</v>
      </c>
      <c r="E77" s="284" t="s">
        <v>197</v>
      </c>
      <c r="F77" s="21" t="s">
        <v>50</v>
      </c>
      <c r="G77" s="21" t="s">
        <v>51</v>
      </c>
      <c r="H77" s="21" t="s">
        <v>50</v>
      </c>
      <c r="I77" s="21" t="s">
        <v>52</v>
      </c>
      <c r="J77" s="21" t="s">
        <v>52</v>
      </c>
      <c r="K77" s="21" t="s">
        <v>52</v>
      </c>
      <c r="L77" s="159" t="s">
        <v>40</v>
      </c>
      <c r="N77" s="334"/>
      <c r="O77" s="32"/>
      <c r="P77" s="334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x14ac:dyDescent="0.25">
      <c r="B78" s="152"/>
      <c r="C78" s="19"/>
      <c r="D78" s="19"/>
      <c r="E78" s="19"/>
      <c r="F78" s="22" t="s">
        <v>33</v>
      </c>
      <c r="G78" s="22" t="s">
        <v>53</v>
      </c>
      <c r="H78" s="22" t="s">
        <v>32</v>
      </c>
      <c r="I78" s="19"/>
      <c r="J78" s="19"/>
      <c r="K78" s="19"/>
      <c r="L78" s="153"/>
      <c r="N78" s="334"/>
      <c r="O78" s="334"/>
      <c r="P78" s="334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x14ac:dyDescent="0.25">
      <c r="B79" s="152"/>
      <c r="C79" s="19"/>
      <c r="D79" s="19"/>
      <c r="E79" s="19"/>
      <c r="F79" s="22" t="s">
        <v>34</v>
      </c>
      <c r="G79" s="22" t="s">
        <v>54</v>
      </c>
      <c r="H79" s="22" t="s">
        <v>34</v>
      </c>
      <c r="I79" s="19"/>
      <c r="J79" s="22"/>
      <c r="K79" s="22" t="s">
        <v>55</v>
      </c>
      <c r="L79" s="153"/>
      <c r="N79" s="334"/>
      <c r="O79" s="334"/>
      <c r="P79" s="334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17.25" x14ac:dyDescent="0.25">
      <c r="B80" s="160"/>
      <c r="C80" s="23"/>
      <c r="D80" s="23"/>
      <c r="E80" s="23"/>
      <c r="F80" s="24" t="s">
        <v>56</v>
      </c>
      <c r="G80" s="25" t="s">
        <v>57</v>
      </c>
      <c r="H80" s="24" t="s">
        <v>56</v>
      </c>
      <c r="I80" s="25" t="s">
        <v>58</v>
      </c>
      <c r="J80" s="25" t="s">
        <v>59</v>
      </c>
      <c r="K80" s="25" t="s">
        <v>60</v>
      </c>
      <c r="L80" s="159" t="s">
        <v>61</v>
      </c>
      <c r="N80" s="334"/>
      <c r="O80" s="334"/>
      <c r="P80" s="334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x14ac:dyDescent="0.25">
      <c r="B81" s="156"/>
      <c r="C81" s="17"/>
      <c r="D81" s="17"/>
      <c r="E81" s="17"/>
      <c r="F81" s="17"/>
      <c r="G81" s="17"/>
      <c r="H81" s="17"/>
      <c r="I81" s="17"/>
      <c r="J81" s="17"/>
      <c r="K81" s="17"/>
      <c r="L81" s="157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x14ac:dyDescent="0.25">
      <c r="B82" s="161">
        <v>1</v>
      </c>
      <c r="C82" s="335" t="s">
        <v>62</v>
      </c>
      <c r="D82" s="335"/>
      <c r="E82" s="35">
        <f>$E$18</f>
        <v>20773482</v>
      </c>
      <c r="F82" s="19"/>
      <c r="G82" s="19"/>
      <c r="H82" s="19"/>
      <c r="I82" s="19"/>
      <c r="J82" s="19"/>
      <c r="K82" s="19"/>
      <c r="L82" s="153"/>
      <c r="N82" s="32"/>
      <c r="O82" s="253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x14ac:dyDescent="0.25">
      <c r="B83" s="154"/>
      <c r="C83" s="19"/>
      <c r="D83" s="19"/>
      <c r="E83" s="19"/>
      <c r="F83" s="19"/>
      <c r="G83" s="19"/>
      <c r="H83" s="19"/>
      <c r="I83" s="19"/>
      <c r="J83" s="19"/>
      <c r="K83" s="19"/>
      <c r="L83" s="153"/>
      <c r="N83" s="253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x14ac:dyDescent="0.25">
      <c r="B84" s="154" t="s">
        <v>63</v>
      </c>
      <c r="C84" s="143" t="str">
        <f>C54</f>
        <v>345/138 kV Substation at Francisco</v>
      </c>
      <c r="D84" s="247">
        <f t="shared" ref="D84:D93" si="6">D20</f>
        <v>1004</v>
      </c>
      <c r="E84" s="27"/>
      <c r="F84" s="30">
        <f>ROUND((F20*'2016 TU'!$E$29)+(F54*'2016 TU'!$E$33),0)</f>
        <v>3069096</v>
      </c>
      <c r="G84" s="27">
        <f t="shared" ref="G84:G93" si="7">IF(F84=0,0,ROUND($E$82*(F84/$F$95),0))</f>
        <v>3111007</v>
      </c>
      <c r="H84" s="30">
        <f>ROUND((H20*'2016 TU'!$E$29)+(H54*'2016 TU'!$E$33),0)</f>
        <v>3116077</v>
      </c>
      <c r="I84" s="28">
        <f>ROUND(+H84-G84,0)</f>
        <v>5070</v>
      </c>
      <c r="J84" s="144">
        <f t="shared" ref="J84:J93" si="8">+$J$97</f>
        <v>5.9199999999999997E-4</v>
      </c>
      <c r="K84" s="28">
        <f>ROUND((I84*J84)*24,0)</f>
        <v>72</v>
      </c>
      <c r="L84" s="162">
        <f>ROUND(+I84+K84,0)</f>
        <v>5142</v>
      </c>
      <c r="N84" s="254"/>
      <c r="O84" s="32"/>
      <c r="P84" s="254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x14ac:dyDescent="0.25">
      <c r="B85" s="154" t="s">
        <v>64</v>
      </c>
      <c r="C85" s="143" t="str">
        <f>C55</f>
        <v>Transmission line Dubois to Newtonville</v>
      </c>
      <c r="D85" s="247">
        <f t="shared" si="6"/>
        <v>1259</v>
      </c>
      <c r="E85" s="27"/>
      <c r="F85" s="30">
        <f>ROUND((F21*'2016 TU'!$E$29)+(F55*'2016 TU'!$E$33),0)</f>
        <v>1966191</v>
      </c>
      <c r="G85" s="27">
        <f t="shared" si="7"/>
        <v>1993041</v>
      </c>
      <c r="H85" s="30">
        <f>ROUND((H21*'2016 TU'!$E$29)+(H55*'2016 TU'!$E$33),0)</f>
        <v>1994691</v>
      </c>
      <c r="I85" s="28">
        <f t="shared" ref="I85:I93" si="9">ROUND(+H85-G85,0)</f>
        <v>1650</v>
      </c>
      <c r="J85" s="144">
        <f t="shared" si="8"/>
        <v>5.9199999999999997E-4</v>
      </c>
      <c r="K85" s="28">
        <f t="shared" ref="K85:K86" si="10">ROUND((I85*J85)*24,0)</f>
        <v>23</v>
      </c>
      <c r="L85" s="162">
        <f t="shared" ref="L85:L93" si="11">ROUND(+I85+K85,0)</f>
        <v>1673</v>
      </c>
      <c r="N85" s="254"/>
      <c r="O85" s="32"/>
      <c r="P85" s="254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x14ac:dyDescent="0.25">
      <c r="B86" s="154" t="s">
        <v>65</v>
      </c>
      <c r="C86" s="143" t="str">
        <f>C56</f>
        <v>345kV Transformer at AB Brown</v>
      </c>
      <c r="D86" s="248">
        <f t="shared" si="6"/>
        <v>1970</v>
      </c>
      <c r="E86" s="27"/>
      <c r="F86" s="30">
        <f>ROUND((F22*'2016 TU'!$E$29)+(F56*'2016 TU'!$E$33),0)</f>
        <v>996458</v>
      </c>
      <c r="G86" s="27">
        <f t="shared" si="7"/>
        <v>1010066</v>
      </c>
      <c r="H86" s="30">
        <f>ROUND((H22*'2016 TU'!$E$29)+(H56*'2016 TU'!$E$33),0)</f>
        <v>1011981</v>
      </c>
      <c r="I86" s="28">
        <f t="shared" si="9"/>
        <v>1915</v>
      </c>
      <c r="J86" s="144">
        <f t="shared" si="8"/>
        <v>5.9199999999999997E-4</v>
      </c>
      <c r="K86" s="28">
        <f t="shared" si="10"/>
        <v>27</v>
      </c>
      <c r="L86" s="162">
        <f t="shared" si="11"/>
        <v>1942</v>
      </c>
      <c r="N86" s="254"/>
      <c r="O86" s="32"/>
      <c r="P86" s="254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x14ac:dyDescent="0.25">
      <c r="B87" s="154" t="s">
        <v>66</v>
      </c>
      <c r="C87" s="143" t="str">
        <f>C57</f>
        <v>Gibson to AB Brown to Reid 345kV</v>
      </c>
      <c r="D87" s="247">
        <f t="shared" si="6"/>
        <v>1257</v>
      </c>
      <c r="E87" s="27"/>
      <c r="F87" s="30">
        <f>ROUND((F23*'2016 TU'!$E$29)+(F57*'2016 TU'!$E$33),0)</f>
        <v>14237162</v>
      </c>
      <c r="G87" s="27">
        <f t="shared" si="7"/>
        <v>14431583</v>
      </c>
      <c r="H87" s="30">
        <f>ROUND((H23*'2016 TU'!$E$29)+(H57*'2016 TU'!$E$33),0)</f>
        <v>14452008</v>
      </c>
      <c r="I87" s="28">
        <f t="shared" si="9"/>
        <v>20425</v>
      </c>
      <c r="J87" s="144">
        <f t="shared" si="8"/>
        <v>5.9199999999999997E-4</v>
      </c>
      <c r="K87" s="28">
        <f>ROUND((I87*J87)*24,0)</f>
        <v>290</v>
      </c>
      <c r="L87" s="162">
        <f t="shared" si="11"/>
        <v>20715</v>
      </c>
      <c r="N87" s="254"/>
      <c r="O87" s="32"/>
      <c r="P87" s="254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x14ac:dyDescent="0.25">
      <c r="A88" s="31"/>
      <c r="B88" s="163" t="s">
        <v>81</v>
      </c>
      <c r="C88" s="143" t="str">
        <f>C58</f>
        <v>Upgrade Breed-Wheatland-Petersburg 345kV</v>
      </c>
      <c r="D88" s="247">
        <f t="shared" si="6"/>
        <v>3212</v>
      </c>
      <c r="E88" s="30"/>
      <c r="F88" s="30">
        <f>ROUND((F24*'2016 TU'!$E$29)+(F58*'2016 TU'!$E$33),0)</f>
        <v>224716</v>
      </c>
      <c r="G88" s="27">
        <f t="shared" si="7"/>
        <v>227785</v>
      </c>
      <c r="H88" s="30">
        <f>ROUND((H24*'2016 TU'!$E$29)+(H58*'2016 TU'!$E$33),0)</f>
        <v>226734</v>
      </c>
      <c r="I88" s="28">
        <f t="shared" si="9"/>
        <v>-1051</v>
      </c>
      <c r="J88" s="144">
        <f t="shared" si="8"/>
        <v>5.9199999999999997E-4</v>
      </c>
      <c r="K88" s="28">
        <f t="shared" ref="K88:K93" si="12">ROUND((I88*J88)*24,0)</f>
        <v>-15</v>
      </c>
      <c r="L88" s="162">
        <f t="shared" si="11"/>
        <v>-1066</v>
      </c>
      <c r="M88" s="31"/>
      <c r="N88" s="254"/>
      <c r="O88" s="32"/>
      <c r="P88" s="254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x14ac:dyDescent="0.25">
      <c r="A89" s="31"/>
      <c r="B89" s="163" t="s">
        <v>82</v>
      </c>
      <c r="C89" s="26"/>
      <c r="D89" s="247">
        <f t="shared" si="6"/>
        <v>0</v>
      </c>
      <c r="E89" s="32"/>
      <c r="F89" s="30">
        <f>ROUND((F25*'2016 TU'!$E$29)+(F59*'2016 TU'!$E$33),0)</f>
        <v>0</v>
      </c>
      <c r="G89" s="27">
        <f t="shared" si="7"/>
        <v>0</v>
      </c>
      <c r="H89" s="30">
        <f>ROUND((H25*'2016 TU'!$E$29)+(H59*'2016 TU'!$E$33),0)</f>
        <v>0</v>
      </c>
      <c r="I89" s="28">
        <f t="shared" si="9"/>
        <v>0</v>
      </c>
      <c r="J89" s="144">
        <f t="shared" si="8"/>
        <v>5.9199999999999997E-4</v>
      </c>
      <c r="K89" s="28">
        <f t="shared" si="12"/>
        <v>0</v>
      </c>
      <c r="L89" s="162">
        <f t="shared" si="11"/>
        <v>0</v>
      </c>
      <c r="M89" s="31"/>
      <c r="N89" s="254"/>
      <c r="O89" s="32"/>
      <c r="P89" s="254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x14ac:dyDescent="0.25">
      <c r="A90" s="31"/>
      <c r="B90" s="163" t="s">
        <v>83</v>
      </c>
      <c r="C90" s="26"/>
      <c r="D90" s="247">
        <f t="shared" si="6"/>
        <v>0</v>
      </c>
      <c r="E90" s="32"/>
      <c r="F90" s="30">
        <f>ROUND((F26*'2016 TU'!$E$29)+(F60*'2016 TU'!$E$33),0)</f>
        <v>0</v>
      </c>
      <c r="G90" s="27">
        <f t="shared" si="7"/>
        <v>0</v>
      </c>
      <c r="H90" s="30">
        <f>ROUND((H26*'2016 TU'!$E$29)+(H60*'2016 TU'!$E$33),0)</f>
        <v>0</v>
      </c>
      <c r="I90" s="28">
        <f t="shared" si="9"/>
        <v>0</v>
      </c>
      <c r="J90" s="144">
        <f t="shared" si="8"/>
        <v>5.9199999999999997E-4</v>
      </c>
      <c r="K90" s="28">
        <f t="shared" si="12"/>
        <v>0</v>
      </c>
      <c r="L90" s="162">
        <f t="shared" si="11"/>
        <v>0</v>
      </c>
      <c r="M90" s="31"/>
      <c r="N90" s="254"/>
      <c r="O90" s="32"/>
      <c r="P90" s="254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x14ac:dyDescent="0.25">
      <c r="A91" s="31"/>
      <c r="B91" s="163" t="s">
        <v>84</v>
      </c>
      <c r="C91" s="26"/>
      <c r="D91" s="247">
        <f t="shared" si="6"/>
        <v>0</v>
      </c>
      <c r="E91" s="32"/>
      <c r="F91" s="30">
        <f>ROUND((F27*'2016 TU'!$E$29)+(F61*'2016 TU'!$E$33),0)</f>
        <v>0</v>
      </c>
      <c r="G91" s="27">
        <f t="shared" si="7"/>
        <v>0</v>
      </c>
      <c r="H91" s="30">
        <f>ROUND((H27*'2016 TU'!$E$29)+(H61*'2016 TU'!$E$33),0)</f>
        <v>0</v>
      </c>
      <c r="I91" s="28">
        <f t="shared" si="9"/>
        <v>0</v>
      </c>
      <c r="J91" s="144">
        <f t="shared" si="8"/>
        <v>5.9199999999999997E-4</v>
      </c>
      <c r="K91" s="28">
        <f t="shared" si="12"/>
        <v>0</v>
      </c>
      <c r="L91" s="162">
        <f t="shared" si="11"/>
        <v>0</v>
      </c>
      <c r="M91" s="31"/>
      <c r="N91" s="254"/>
      <c r="O91" s="32"/>
      <c r="P91" s="254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x14ac:dyDescent="0.25">
      <c r="A92" s="31"/>
      <c r="B92" s="163" t="s">
        <v>85</v>
      </c>
      <c r="C92" s="26"/>
      <c r="D92" s="247">
        <f t="shared" si="6"/>
        <v>0</v>
      </c>
      <c r="E92" s="32"/>
      <c r="F92" s="30">
        <f>ROUND((F28*'2016 TU'!$E$29)+(F62*'2016 TU'!$E$33),0)</f>
        <v>0</v>
      </c>
      <c r="G92" s="27">
        <f t="shared" si="7"/>
        <v>0</v>
      </c>
      <c r="H92" s="30">
        <f>ROUND((H28*'2016 TU'!$E$29)+(H62*'2016 TU'!$E$33),0)</f>
        <v>0</v>
      </c>
      <c r="I92" s="28">
        <f t="shared" si="9"/>
        <v>0</v>
      </c>
      <c r="J92" s="144">
        <f t="shared" si="8"/>
        <v>5.9199999999999997E-4</v>
      </c>
      <c r="K92" s="28">
        <f t="shared" si="12"/>
        <v>0</v>
      </c>
      <c r="L92" s="162">
        <f t="shared" si="11"/>
        <v>0</v>
      </c>
      <c r="M92" s="31"/>
      <c r="N92" s="254"/>
      <c r="O92" s="32"/>
      <c r="P92" s="254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x14ac:dyDescent="0.25">
      <c r="A93" s="31"/>
      <c r="B93" s="277" t="s">
        <v>86</v>
      </c>
      <c r="C93" s="26"/>
      <c r="D93" s="247">
        <f t="shared" si="6"/>
        <v>0</v>
      </c>
      <c r="E93" s="32"/>
      <c r="F93" s="30">
        <f>ROUND((F29*'2016 TU'!$E$29)+(F63*'2016 TU'!$E$33),0)</f>
        <v>0</v>
      </c>
      <c r="G93" s="27">
        <f t="shared" si="7"/>
        <v>0</v>
      </c>
      <c r="H93" s="30">
        <f>ROUND((H29*'2016 TU'!$E$29)+(H63*'2016 TU'!$E$33),0)</f>
        <v>0</v>
      </c>
      <c r="I93" s="28">
        <f t="shared" si="9"/>
        <v>0</v>
      </c>
      <c r="J93" s="144">
        <f t="shared" si="8"/>
        <v>5.9199999999999997E-4</v>
      </c>
      <c r="K93" s="28">
        <f t="shared" si="12"/>
        <v>0</v>
      </c>
      <c r="L93" s="162">
        <f t="shared" si="11"/>
        <v>0</v>
      </c>
      <c r="M93" s="31"/>
      <c r="N93" s="254"/>
      <c r="O93" s="32"/>
      <c r="P93" s="254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x14ac:dyDescent="0.25">
      <c r="B94" s="158"/>
      <c r="C94" s="23"/>
      <c r="D94" s="23"/>
      <c r="E94" s="23"/>
      <c r="F94" s="23"/>
      <c r="G94" s="23"/>
      <c r="H94" s="23"/>
      <c r="I94" s="23"/>
      <c r="J94" s="23"/>
      <c r="K94" s="23"/>
      <c r="L94" s="164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x14ac:dyDescent="0.25">
      <c r="B95" s="154">
        <v>3</v>
      </c>
      <c r="C95" s="19" t="s">
        <v>67</v>
      </c>
      <c r="D95" s="19"/>
      <c r="E95" s="165"/>
      <c r="F95" s="165">
        <f>SUM(F84:F94)</f>
        <v>20493623</v>
      </c>
      <c r="G95" s="165">
        <f>SUM(G84:G94)</f>
        <v>20773482</v>
      </c>
      <c r="H95" s="165">
        <f>SUM(H84:H94)</f>
        <v>20801491</v>
      </c>
      <c r="I95" s="165"/>
      <c r="J95" s="19"/>
      <c r="K95" s="19"/>
      <c r="L95" s="153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5.75" x14ac:dyDescent="0.25">
      <c r="B96" s="154">
        <v>4</v>
      </c>
      <c r="C96" s="19" t="s">
        <v>68</v>
      </c>
      <c r="D96" s="19"/>
      <c r="E96" s="19"/>
      <c r="F96" s="19"/>
      <c r="G96" s="19"/>
      <c r="H96" s="19"/>
      <c r="I96" s="165">
        <f>SUM(I84:I94)</f>
        <v>28009</v>
      </c>
      <c r="J96" s="19"/>
      <c r="K96" s="165">
        <f>SUM(K84:K94)</f>
        <v>397</v>
      </c>
      <c r="L96" s="310">
        <f>SUM(L84:L94)</f>
        <v>28406</v>
      </c>
      <c r="N96" s="35"/>
      <c r="O96" s="32"/>
      <c r="P96" s="35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2:98" ht="15.75" thickBot="1" x14ac:dyDescent="0.3">
      <c r="B97" s="180">
        <v>5</v>
      </c>
      <c r="C97" s="183" t="s">
        <v>69</v>
      </c>
      <c r="D97" s="170"/>
      <c r="E97" s="170"/>
      <c r="F97" s="184"/>
      <c r="G97" s="170"/>
      <c r="H97" s="170"/>
      <c r="I97" s="170"/>
      <c r="J97" s="125">
        <f>IF(I96&gt;0,'2016 TU'!$C$10,'2016 TU'!$C$9)</f>
        <v>5.9199999999999997E-4</v>
      </c>
      <c r="K97" s="170"/>
      <c r="L97" s="171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2:98" x14ac:dyDescent="0.25"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2:98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</row>
    <row r="100" spans="2:98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</row>
    <row r="101" spans="2:98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</row>
    <row r="102" spans="2:98" x14ac:dyDescent="0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</row>
    <row r="103" spans="2:98" x14ac:dyDescent="0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</row>
    <row r="104" spans="2:98" x14ac:dyDescent="0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</row>
    <row r="105" spans="2:98" x14ac:dyDescent="0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</row>
    <row r="106" spans="2:98" x14ac:dyDescent="0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</row>
    <row r="107" spans="2:98" x14ac:dyDescent="0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</row>
    <row r="108" spans="2:98" x14ac:dyDescent="0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</row>
    <row r="109" spans="2:98" x14ac:dyDescent="0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</row>
    <row r="110" spans="2:98" x14ac:dyDescent="0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</row>
    <row r="111" spans="2:98" x14ac:dyDescent="0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</row>
    <row r="112" spans="2:98" x14ac:dyDescent="0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</row>
    <row r="113" spans="2:98" x14ac:dyDescent="0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</row>
    <row r="114" spans="2:98" x14ac:dyDescent="0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</row>
    <row r="115" spans="2:98" x14ac:dyDescent="0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</row>
    <row r="116" spans="2:98" x14ac:dyDescent="0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</row>
    <row r="117" spans="2:98" x14ac:dyDescent="0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</row>
    <row r="118" spans="2:98" x14ac:dyDescent="0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</row>
    <row r="119" spans="2:98" x14ac:dyDescent="0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</row>
    <row r="120" spans="2:98" x14ac:dyDescent="0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</row>
    <row r="121" spans="2:98" x14ac:dyDescent="0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</row>
    <row r="122" spans="2:98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</row>
    <row r="123" spans="2:98" x14ac:dyDescent="0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</row>
    <row r="124" spans="2:98" x14ac:dyDescent="0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</row>
    <row r="125" spans="2:98" x14ac:dyDescent="0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</row>
    <row r="126" spans="2:98" x14ac:dyDescent="0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</row>
    <row r="127" spans="2:98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</row>
    <row r="128" spans="2:98" x14ac:dyDescent="0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</row>
    <row r="129" spans="2:98" x14ac:dyDescent="0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</row>
    <row r="130" spans="2:98" x14ac:dyDescent="0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</row>
    <row r="131" spans="2:98" x14ac:dyDescent="0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</row>
    <row r="132" spans="2:98" x14ac:dyDescent="0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</row>
    <row r="133" spans="2:98" x14ac:dyDescent="0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</row>
    <row r="134" spans="2:98" x14ac:dyDescent="0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</row>
    <row r="135" spans="2:98" x14ac:dyDescent="0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</row>
    <row r="136" spans="2:98" x14ac:dyDescent="0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</row>
    <row r="137" spans="2:98" x14ac:dyDescent="0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</row>
    <row r="138" spans="2:98" x14ac:dyDescent="0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</row>
    <row r="139" spans="2:98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</row>
    <row r="140" spans="2:98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</row>
    <row r="141" spans="2:98" x14ac:dyDescent="0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</row>
    <row r="142" spans="2:98" x14ac:dyDescent="0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</row>
    <row r="143" spans="2:98" x14ac:dyDescent="0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</row>
    <row r="144" spans="2:98" x14ac:dyDescent="0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</row>
    <row r="145" spans="2:98" x14ac:dyDescent="0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</row>
    <row r="146" spans="2:98" x14ac:dyDescent="0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</row>
    <row r="147" spans="2:98" x14ac:dyDescent="0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</row>
    <row r="148" spans="2:98" x14ac:dyDescent="0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</row>
    <row r="149" spans="2:98" x14ac:dyDescent="0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</row>
    <row r="150" spans="2:98" x14ac:dyDescent="0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</row>
    <row r="151" spans="2:98" x14ac:dyDescent="0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</row>
    <row r="152" spans="2:98" x14ac:dyDescent="0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</row>
    <row r="153" spans="2:98" x14ac:dyDescent="0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</row>
    <row r="154" spans="2:98" x14ac:dyDescent="0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</row>
    <row r="155" spans="2:98" x14ac:dyDescent="0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</row>
    <row r="156" spans="2:98" x14ac:dyDescent="0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</row>
    <row r="157" spans="2:98" x14ac:dyDescent="0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</row>
    <row r="158" spans="2:98" x14ac:dyDescent="0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</row>
    <row r="159" spans="2:98" x14ac:dyDescent="0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</row>
    <row r="160" spans="2:98" x14ac:dyDescent="0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</row>
    <row r="161" spans="2:98" x14ac:dyDescent="0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</row>
    <row r="162" spans="2:98" x14ac:dyDescent="0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</row>
    <row r="163" spans="2:98" x14ac:dyDescent="0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</row>
    <row r="164" spans="2:98" x14ac:dyDescent="0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</row>
    <row r="165" spans="2:98" x14ac:dyDescent="0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</row>
    <row r="166" spans="2:98" x14ac:dyDescent="0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</row>
    <row r="167" spans="2:98" x14ac:dyDescent="0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</row>
    <row r="168" spans="2:98" x14ac:dyDescent="0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</row>
    <row r="169" spans="2:98" x14ac:dyDescent="0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</row>
    <row r="170" spans="2:98" x14ac:dyDescent="0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</row>
    <row r="171" spans="2:98" x14ac:dyDescent="0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</row>
    <row r="172" spans="2:98" x14ac:dyDescent="0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</row>
    <row r="173" spans="2:98" x14ac:dyDescent="0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</row>
    <row r="174" spans="2:98" x14ac:dyDescent="0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</row>
    <row r="175" spans="2:98" x14ac:dyDescent="0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</row>
    <row r="176" spans="2:98" x14ac:dyDescent="0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</row>
    <row r="177" spans="2:98" x14ac:dyDescent="0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</row>
    <row r="178" spans="2:98" x14ac:dyDescent="0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</row>
    <row r="179" spans="2:98" x14ac:dyDescent="0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</row>
    <row r="180" spans="2:98" x14ac:dyDescent="0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</row>
    <row r="181" spans="2:98" x14ac:dyDescent="0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</row>
    <row r="182" spans="2:98" x14ac:dyDescent="0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</row>
    <row r="183" spans="2:98" x14ac:dyDescent="0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</row>
    <row r="184" spans="2:98" x14ac:dyDescent="0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</row>
    <row r="185" spans="2:98" x14ac:dyDescent="0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</row>
    <row r="186" spans="2:98" x14ac:dyDescent="0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</row>
    <row r="187" spans="2:98" x14ac:dyDescent="0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</row>
    <row r="188" spans="2:98" x14ac:dyDescent="0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</row>
    <row r="189" spans="2:98" x14ac:dyDescent="0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</row>
    <row r="190" spans="2:98" x14ac:dyDescent="0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</row>
    <row r="191" spans="2:98" x14ac:dyDescent="0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</row>
    <row r="192" spans="2:98" x14ac:dyDescent="0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</row>
    <row r="193" spans="2:98" x14ac:dyDescent="0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</row>
    <row r="194" spans="2:98" x14ac:dyDescent="0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</row>
    <row r="195" spans="2:98" x14ac:dyDescent="0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</row>
    <row r="196" spans="2:98" x14ac:dyDescent="0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</row>
    <row r="197" spans="2:98" x14ac:dyDescent="0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</row>
    <row r="198" spans="2:98" x14ac:dyDescent="0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</row>
    <row r="199" spans="2:98" x14ac:dyDescent="0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</row>
    <row r="200" spans="2:98" x14ac:dyDescent="0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</row>
    <row r="201" spans="2:98" x14ac:dyDescent="0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</row>
    <row r="202" spans="2:98" x14ac:dyDescent="0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</row>
    <row r="203" spans="2:98" x14ac:dyDescent="0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</row>
    <row r="204" spans="2:98" x14ac:dyDescent="0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</row>
    <row r="205" spans="2:98" x14ac:dyDescent="0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</row>
    <row r="206" spans="2:98" x14ac:dyDescent="0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</row>
    <row r="207" spans="2:98" x14ac:dyDescent="0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</row>
    <row r="208" spans="2:98" x14ac:dyDescent="0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</row>
    <row r="209" spans="2:98" x14ac:dyDescent="0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</row>
    <row r="210" spans="2:98" x14ac:dyDescent="0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</row>
    <row r="211" spans="2:98" x14ac:dyDescent="0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</row>
    <row r="212" spans="2:98" x14ac:dyDescent="0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</row>
    <row r="213" spans="2:98" x14ac:dyDescent="0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</row>
    <row r="214" spans="2:98" x14ac:dyDescent="0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</row>
    <row r="215" spans="2:98" x14ac:dyDescent="0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</row>
    <row r="216" spans="2:98" x14ac:dyDescent="0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</row>
    <row r="217" spans="2:98" x14ac:dyDescent="0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</row>
    <row r="218" spans="2:98" x14ac:dyDescent="0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</row>
    <row r="219" spans="2:98" x14ac:dyDescent="0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</row>
    <row r="220" spans="2:98" x14ac:dyDescent="0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</row>
    <row r="221" spans="2:98" x14ac:dyDescent="0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</row>
    <row r="222" spans="2:98" x14ac:dyDescent="0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</row>
    <row r="223" spans="2:98" x14ac:dyDescent="0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</row>
    <row r="224" spans="2:98" x14ac:dyDescent="0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</row>
    <row r="225" spans="2:98" x14ac:dyDescent="0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</row>
    <row r="226" spans="2:98" x14ac:dyDescent="0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</row>
    <row r="227" spans="2:98" x14ac:dyDescent="0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</row>
    <row r="228" spans="2:98" x14ac:dyDescent="0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</row>
    <row r="229" spans="2:98" x14ac:dyDescent="0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</row>
    <row r="230" spans="2:98" x14ac:dyDescent="0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</row>
    <row r="231" spans="2:98" x14ac:dyDescent="0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</row>
    <row r="232" spans="2:98" x14ac:dyDescent="0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</row>
    <row r="233" spans="2:98" x14ac:dyDescent="0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</row>
    <row r="234" spans="2:98" x14ac:dyDescent="0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</row>
    <row r="235" spans="2:98" x14ac:dyDescent="0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</row>
    <row r="236" spans="2:98" x14ac:dyDescent="0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</row>
    <row r="237" spans="2:98" x14ac:dyDescent="0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</row>
    <row r="238" spans="2:98" x14ac:dyDescent="0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</row>
    <row r="239" spans="2:98" x14ac:dyDescent="0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</row>
    <row r="240" spans="2:98" x14ac:dyDescent="0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</row>
    <row r="241" spans="2:98" x14ac:dyDescent="0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</row>
    <row r="242" spans="2:98" x14ac:dyDescent="0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</row>
    <row r="243" spans="2:98" x14ac:dyDescent="0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</row>
    <row r="244" spans="2:98" x14ac:dyDescent="0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</row>
    <row r="245" spans="2:98" x14ac:dyDescent="0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</row>
    <row r="246" spans="2:98" x14ac:dyDescent="0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</row>
    <row r="247" spans="2:98" x14ac:dyDescent="0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</row>
    <row r="248" spans="2:98" x14ac:dyDescent="0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</row>
    <row r="249" spans="2:98" x14ac:dyDescent="0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</row>
    <row r="250" spans="2:98" x14ac:dyDescent="0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</row>
    <row r="251" spans="2:98" x14ac:dyDescent="0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</row>
    <row r="252" spans="2:98" x14ac:dyDescent="0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</row>
    <row r="253" spans="2:98" x14ac:dyDescent="0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</row>
    <row r="254" spans="2:98" x14ac:dyDescent="0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</row>
    <row r="255" spans="2:98" x14ac:dyDescent="0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</row>
    <row r="256" spans="2:98" x14ac:dyDescent="0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</row>
    <row r="257" spans="2:98" x14ac:dyDescent="0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</row>
    <row r="258" spans="2:98" x14ac:dyDescent="0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</row>
    <row r="259" spans="2:98" x14ac:dyDescent="0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</row>
    <row r="260" spans="2:98" x14ac:dyDescent="0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</row>
    <row r="261" spans="2:98" x14ac:dyDescent="0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</row>
    <row r="262" spans="2:98" x14ac:dyDescent="0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</row>
    <row r="263" spans="2:98" x14ac:dyDescent="0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</row>
    <row r="264" spans="2:98" x14ac:dyDescent="0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</row>
    <row r="265" spans="2:98" x14ac:dyDescent="0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</row>
    <row r="266" spans="2:98" x14ac:dyDescent="0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</row>
    <row r="267" spans="2:98" x14ac:dyDescent="0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</row>
    <row r="268" spans="2:98" x14ac:dyDescent="0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</row>
    <row r="269" spans="2:98" x14ac:dyDescent="0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</row>
    <row r="270" spans="2:98" x14ac:dyDescent="0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</row>
    <row r="271" spans="2:98" x14ac:dyDescent="0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</row>
    <row r="272" spans="2:98" x14ac:dyDescent="0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</row>
    <row r="273" spans="2:98" x14ac:dyDescent="0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</row>
    <row r="274" spans="2:98" x14ac:dyDescent="0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</row>
    <row r="275" spans="2:98" x14ac:dyDescent="0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</row>
    <row r="276" spans="2:98" x14ac:dyDescent="0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</row>
    <row r="277" spans="2:98" x14ac:dyDescent="0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</row>
    <row r="278" spans="2:98" x14ac:dyDescent="0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</row>
    <row r="279" spans="2:98" x14ac:dyDescent="0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</row>
    <row r="280" spans="2:98" x14ac:dyDescent="0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</row>
    <row r="281" spans="2:98" x14ac:dyDescent="0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</row>
    <row r="282" spans="2:98" x14ac:dyDescent="0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</row>
    <row r="283" spans="2:98" x14ac:dyDescent="0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</row>
    <row r="284" spans="2:98" x14ac:dyDescent="0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</row>
    <row r="285" spans="2:98" x14ac:dyDescent="0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</row>
    <row r="286" spans="2:98" x14ac:dyDescent="0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</row>
    <row r="287" spans="2:98" x14ac:dyDescent="0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</row>
    <row r="288" spans="2:98" x14ac:dyDescent="0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</row>
    <row r="289" spans="2:98" x14ac:dyDescent="0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</row>
    <row r="290" spans="2:98" x14ac:dyDescent="0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</row>
    <row r="291" spans="2:98" x14ac:dyDescent="0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</row>
    <row r="292" spans="2:98" x14ac:dyDescent="0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</row>
    <row r="293" spans="2:98" x14ac:dyDescent="0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</row>
    <row r="294" spans="2:98" x14ac:dyDescent="0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</row>
    <row r="295" spans="2:98" x14ac:dyDescent="0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</row>
    <row r="296" spans="2:98" x14ac:dyDescent="0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</row>
    <row r="297" spans="2:98" x14ac:dyDescent="0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</row>
    <row r="298" spans="2:98" x14ac:dyDescent="0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</row>
    <row r="299" spans="2:98" x14ac:dyDescent="0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</row>
    <row r="300" spans="2:98" x14ac:dyDescent="0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</row>
    <row r="301" spans="2:98" x14ac:dyDescent="0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</row>
    <row r="302" spans="2:98" x14ac:dyDescent="0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</row>
    <row r="303" spans="2:98" x14ac:dyDescent="0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</row>
    <row r="304" spans="2:98" x14ac:dyDescent="0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</row>
    <row r="305" spans="2:98" x14ac:dyDescent="0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</row>
    <row r="306" spans="2:98" x14ac:dyDescent="0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</row>
    <row r="307" spans="2:98" x14ac:dyDescent="0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</row>
    <row r="308" spans="2:98" x14ac:dyDescent="0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</row>
    <row r="309" spans="2:98" x14ac:dyDescent="0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</row>
    <row r="310" spans="2:98" x14ac:dyDescent="0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</row>
    <row r="311" spans="2:98" x14ac:dyDescent="0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</row>
    <row r="312" spans="2:98" x14ac:dyDescent="0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</row>
    <row r="313" spans="2:98" x14ac:dyDescent="0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</row>
    <row r="314" spans="2:98" x14ac:dyDescent="0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</row>
    <row r="315" spans="2:98" x14ac:dyDescent="0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</row>
    <row r="316" spans="2:98" x14ac:dyDescent="0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</row>
    <row r="317" spans="2:98" x14ac:dyDescent="0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</row>
    <row r="318" spans="2:98" x14ac:dyDescent="0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</row>
    <row r="319" spans="2:98" x14ac:dyDescent="0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</row>
    <row r="320" spans="2:98" x14ac:dyDescent="0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</row>
    <row r="321" spans="2:98" x14ac:dyDescent="0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</row>
    <row r="322" spans="2:98" x14ac:dyDescent="0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</row>
    <row r="323" spans="2:98" x14ac:dyDescent="0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</row>
    <row r="324" spans="2:98" x14ac:dyDescent="0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</row>
    <row r="325" spans="2:98" x14ac:dyDescent="0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</row>
    <row r="326" spans="2:98" x14ac:dyDescent="0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</row>
    <row r="327" spans="2:98" x14ac:dyDescent="0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</row>
    <row r="328" spans="2:98" x14ac:dyDescent="0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</row>
    <row r="329" spans="2:98" x14ac:dyDescent="0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</row>
    <row r="330" spans="2:98" x14ac:dyDescent="0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</row>
    <row r="331" spans="2:98" x14ac:dyDescent="0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</row>
    <row r="332" spans="2:98" x14ac:dyDescent="0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</row>
    <row r="333" spans="2:98" x14ac:dyDescent="0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</row>
    <row r="334" spans="2:98" x14ac:dyDescent="0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</row>
    <row r="335" spans="2:98" x14ac:dyDescent="0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</row>
    <row r="336" spans="2:98" x14ac:dyDescent="0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</row>
    <row r="337" spans="2:98" x14ac:dyDescent="0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</row>
    <row r="338" spans="2:98" x14ac:dyDescent="0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</row>
    <row r="339" spans="2:98" x14ac:dyDescent="0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</row>
    <row r="340" spans="2:98" x14ac:dyDescent="0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</row>
    <row r="341" spans="2:98" x14ac:dyDescent="0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</row>
    <row r="342" spans="2:98" x14ac:dyDescent="0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</row>
    <row r="343" spans="2:98" x14ac:dyDescent="0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</row>
    <row r="344" spans="2:98" x14ac:dyDescent="0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</row>
    <row r="345" spans="2:98" x14ac:dyDescent="0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</row>
    <row r="346" spans="2:98" x14ac:dyDescent="0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</row>
    <row r="347" spans="2:98" x14ac:dyDescent="0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</row>
    <row r="348" spans="2:98" x14ac:dyDescent="0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</row>
    <row r="349" spans="2:98" x14ac:dyDescent="0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</row>
    <row r="350" spans="2:98" x14ac:dyDescent="0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</row>
    <row r="351" spans="2:98" x14ac:dyDescent="0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</row>
    <row r="352" spans="2:98" x14ac:dyDescent="0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</row>
    <row r="353" spans="2:98" x14ac:dyDescent="0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</row>
    <row r="354" spans="2:98" x14ac:dyDescent="0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</row>
    <row r="355" spans="2:98" x14ac:dyDescent="0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</row>
    <row r="356" spans="2:98" x14ac:dyDescent="0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</row>
    <row r="357" spans="2:98" x14ac:dyDescent="0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</row>
    <row r="358" spans="2:98" x14ac:dyDescent="0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</row>
    <row r="359" spans="2:98" x14ac:dyDescent="0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</row>
    <row r="360" spans="2:98" x14ac:dyDescent="0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</row>
    <row r="361" spans="2:98" x14ac:dyDescent="0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</row>
    <row r="362" spans="2:98" x14ac:dyDescent="0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</row>
    <row r="363" spans="2:98" x14ac:dyDescent="0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</row>
    <row r="364" spans="2:98" x14ac:dyDescent="0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</row>
    <row r="365" spans="2:98" x14ac:dyDescent="0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</row>
    <row r="366" spans="2:98" x14ac:dyDescent="0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</row>
    <row r="367" spans="2:98" x14ac:dyDescent="0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</row>
    <row r="368" spans="2:98" x14ac:dyDescent="0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</row>
    <row r="369" spans="2:98" x14ac:dyDescent="0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</row>
    <row r="370" spans="2:98" x14ac:dyDescent="0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</row>
    <row r="371" spans="2:98" x14ac:dyDescent="0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</row>
    <row r="372" spans="2:98" x14ac:dyDescent="0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</row>
    <row r="373" spans="2:98" x14ac:dyDescent="0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</row>
    <row r="374" spans="2:98" x14ac:dyDescent="0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</row>
    <row r="375" spans="2:98" x14ac:dyDescent="0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</row>
    <row r="376" spans="2:98" x14ac:dyDescent="0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</row>
    <row r="377" spans="2:98" x14ac:dyDescent="0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</row>
    <row r="378" spans="2:98" x14ac:dyDescent="0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</row>
    <row r="379" spans="2:98" x14ac:dyDescent="0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</row>
    <row r="380" spans="2:98" x14ac:dyDescent="0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</row>
    <row r="381" spans="2:98" x14ac:dyDescent="0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</row>
    <row r="382" spans="2:98" x14ac:dyDescent="0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</row>
    <row r="383" spans="2:98" x14ac:dyDescent="0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</row>
    <row r="384" spans="2:98" x14ac:dyDescent="0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</row>
    <row r="385" spans="2:98" x14ac:dyDescent="0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</row>
    <row r="386" spans="2:98" x14ac:dyDescent="0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</row>
    <row r="387" spans="2:98" x14ac:dyDescent="0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</row>
    <row r="388" spans="2:98" x14ac:dyDescent="0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</row>
    <row r="389" spans="2:98" x14ac:dyDescent="0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</row>
    <row r="390" spans="2:98" x14ac:dyDescent="0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</row>
    <row r="391" spans="2:98" x14ac:dyDescent="0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</row>
    <row r="392" spans="2:98" x14ac:dyDescent="0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</row>
    <row r="393" spans="2:98" x14ac:dyDescent="0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</row>
    <row r="394" spans="2:98" x14ac:dyDescent="0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</row>
    <row r="395" spans="2:98" x14ac:dyDescent="0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</row>
    <row r="396" spans="2:98" x14ac:dyDescent="0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</row>
    <row r="397" spans="2:98" x14ac:dyDescent="0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</row>
    <row r="398" spans="2:98" x14ac:dyDescent="0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</row>
    <row r="399" spans="2:98" x14ac:dyDescent="0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</row>
    <row r="400" spans="2:98" x14ac:dyDescent="0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</row>
    <row r="401" spans="2:98" x14ac:dyDescent="0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</row>
    <row r="402" spans="2:98" x14ac:dyDescent="0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</row>
    <row r="403" spans="2:98" x14ac:dyDescent="0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</row>
    <row r="404" spans="2:98" x14ac:dyDescent="0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</row>
    <row r="405" spans="2:98" x14ac:dyDescent="0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</row>
    <row r="406" spans="2:98" x14ac:dyDescent="0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</row>
    <row r="407" spans="2:98" x14ac:dyDescent="0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</row>
    <row r="408" spans="2:98" x14ac:dyDescent="0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</row>
    <row r="409" spans="2:98" x14ac:dyDescent="0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</row>
    <row r="410" spans="2:98" x14ac:dyDescent="0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</row>
    <row r="411" spans="2:98" x14ac:dyDescent="0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</row>
    <row r="412" spans="2:98" x14ac:dyDescent="0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</row>
    <row r="413" spans="2:98" x14ac:dyDescent="0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</row>
    <row r="414" spans="2:98" x14ac:dyDescent="0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</row>
    <row r="415" spans="2:98" x14ac:dyDescent="0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</row>
    <row r="416" spans="2:98" x14ac:dyDescent="0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</row>
    <row r="417" spans="2:98" x14ac:dyDescent="0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</row>
    <row r="418" spans="2:98" x14ac:dyDescent="0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</row>
    <row r="419" spans="2:98" x14ac:dyDescent="0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</row>
    <row r="420" spans="2:98" x14ac:dyDescent="0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</row>
    <row r="421" spans="2:98" x14ac:dyDescent="0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</row>
    <row r="422" spans="2:98" x14ac:dyDescent="0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</row>
    <row r="423" spans="2:98" x14ac:dyDescent="0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</row>
    <row r="424" spans="2:98" x14ac:dyDescent="0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</row>
    <row r="425" spans="2:98" x14ac:dyDescent="0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</row>
    <row r="426" spans="2:98" x14ac:dyDescent="0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</row>
    <row r="427" spans="2:98" x14ac:dyDescent="0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</row>
    <row r="428" spans="2:98" x14ac:dyDescent="0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</row>
    <row r="429" spans="2:98" x14ac:dyDescent="0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</row>
    <row r="430" spans="2:98" x14ac:dyDescent="0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</row>
    <row r="431" spans="2:98" x14ac:dyDescent="0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</row>
    <row r="432" spans="2:98" x14ac:dyDescent="0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</row>
    <row r="433" spans="2:98" x14ac:dyDescent="0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</row>
    <row r="434" spans="2:98" x14ac:dyDescent="0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</row>
    <row r="435" spans="2:98" x14ac:dyDescent="0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</row>
    <row r="436" spans="2:98" x14ac:dyDescent="0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</row>
    <row r="437" spans="2:98" x14ac:dyDescent="0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</row>
    <row r="438" spans="2:98" x14ac:dyDescent="0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</row>
    <row r="439" spans="2:98" x14ac:dyDescent="0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</row>
    <row r="440" spans="2:98" x14ac:dyDescent="0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</row>
    <row r="441" spans="2:98" x14ac:dyDescent="0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</row>
    <row r="442" spans="2:98" x14ac:dyDescent="0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</row>
    <row r="443" spans="2:98" x14ac:dyDescent="0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</row>
    <row r="444" spans="2:98" x14ac:dyDescent="0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</row>
    <row r="445" spans="2:98" x14ac:dyDescent="0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</row>
    <row r="446" spans="2:98" x14ac:dyDescent="0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</row>
    <row r="447" spans="2:98" x14ac:dyDescent="0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</row>
    <row r="448" spans="2:98" x14ac:dyDescent="0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</row>
    <row r="449" spans="2:98" x14ac:dyDescent="0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</row>
    <row r="450" spans="2:98" x14ac:dyDescent="0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</row>
    <row r="451" spans="2:98" x14ac:dyDescent="0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</row>
    <row r="452" spans="2:98" x14ac:dyDescent="0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</row>
    <row r="453" spans="2:98" x14ac:dyDescent="0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</row>
    <row r="454" spans="2:98" x14ac:dyDescent="0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</row>
    <row r="455" spans="2:98" x14ac:dyDescent="0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</row>
    <row r="456" spans="2:98" x14ac:dyDescent="0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</row>
    <row r="457" spans="2:98" x14ac:dyDescent="0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</row>
    <row r="458" spans="2:98" x14ac:dyDescent="0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</row>
    <row r="459" spans="2:98" x14ac:dyDescent="0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</row>
    <row r="460" spans="2:98" x14ac:dyDescent="0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</row>
    <row r="461" spans="2:98" x14ac:dyDescent="0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</row>
    <row r="462" spans="2:98" x14ac:dyDescent="0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</row>
    <row r="463" spans="2:98" x14ac:dyDescent="0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</row>
    <row r="464" spans="2:98" x14ac:dyDescent="0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</row>
    <row r="465" spans="2:98" x14ac:dyDescent="0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</row>
    <row r="466" spans="2:98" x14ac:dyDescent="0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</row>
    <row r="467" spans="2:98" x14ac:dyDescent="0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</row>
    <row r="468" spans="2:98" x14ac:dyDescent="0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</row>
    <row r="469" spans="2:98" x14ac:dyDescent="0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</row>
    <row r="470" spans="2:98" x14ac:dyDescent="0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</row>
    <row r="471" spans="2:98" x14ac:dyDescent="0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</row>
    <row r="472" spans="2:98" x14ac:dyDescent="0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</row>
    <row r="473" spans="2:98" x14ac:dyDescent="0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</row>
    <row r="474" spans="2:98" x14ac:dyDescent="0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</row>
    <row r="475" spans="2:98" x14ac:dyDescent="0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</row>
    <row r="476" spans="2:98" x14ac:dyDescent="0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</row>
    <row r="477" spans="2:98" x14ac:dyDescent="0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</row>
    <row r="478" spans="2:98" x14ac:dyDescent="0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</row>
    <row r="479" spans="2:98" x14ac:dyDescent="0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</row>
    <row r="480" spans="2:98" x14ac:dyDescent="0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</row>
    <row r="481" spans="2:98" x14ac:dyDescent="0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</row>
    <row r="482" spans="2:98" x14ac:dyDescent="0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</row>
    <row r="483" spans="2:98" x14ac:dyDescent="0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</row>
    <row r="484" spans="2:98" x14ac:dyDescent="0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</row>
    <row r="485" spans="2:98" x14ac:dyDescent="0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</row>
    <row r="486" spans="2:98" x14ac:dyDescent="0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</row>
    <row r="487" spans="2:98" x14ac:dyDescent="0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</row>
    <row r="488" spans="2:98" x14ac:dyDescent="0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</row>
    <row r="489" spans="2:98" x14ac:dyDescent="0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</row>
    <row r="490" spans="2:98" x14ac:dyDescent="0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</row>
    <row r="491" spans="2:98" x14ac:dyDescent="0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</row>
    <row r="492" spans="2:98" x14ac:dyDescent="0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</row>
    <row r="493" spans="2:98" x14ac:dyDescent="0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</row>
    <row r="494" spans="2:98" x14ac:dyDescent="0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</row>
    <row r="495" spans="2:98" x14ac:dyDescent="0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</row>
    <row r="496" spans="2:98" x14ac:dyDescent="0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</row>
    <row r="497" spans="2:98" x14ac:dyDescent="0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</row>
    <row r="498" spans="2:98" x14ac:dyDescent="0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</row>
    <row r="499" spans="2:98" x14ac:dyDescent="0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</row>
    <row r="500" spans="2:98" x14ac:dyDescent="0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</row>
    <row r="501" spans="2:98" x14ac:dyDescent="0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</row>
    <row r="502" spans="2:98" x14ac:dyDescent="0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</row>
    <row r="503" spans="2:98" x14ac:dyDescent="0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</row>
    <row r="504" spans="2:98" x14ac:dyDescent="0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</row>
    <row r="505" spans="2:98" x14ac:dyDescent="0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</row>
    <row r="506" spans="2:98" x14ac:dyDescent="0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</row>
    <row r="507" spans="2:98" x14ac:dyDescent="0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</row>
    <row r="508" spans="2:98" x14ac:dyDescent="0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</row>
    <row r="509" spans="2:98" x14ac:dyDescent="0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</row>
    <row r="510" spans="2:98" x14ac:dyDescent="0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</row>
    <row r="511" spans="2:98" x14ac:dyDescent="0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</row>
    <row r="512" spans="2:98" x14ac:dyDescent="0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</row>
    <row r="513" spans="2:98" x14ac:dyDescent="0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</row>
    <row r="514" spans="2:98" x14ac:dyDescent="0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</row>
    <row r="515" spans="2:98" x14ac:dyDescent="0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</row>
    <row r="516" spans="2:98" x14ac:dyDescent="0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</row>
    <row r="517" spans="2:98" x14ac:dyDescent="0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</row>
    <row r="518" spans="2:98" x14ac:dyDescent="0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</row>
    <row r="519" spans="2:98" x14ac:dyDescent="0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</row>
    <row r="520" spans="2:98" x14ac:dyDescent="0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</row>
    <row r="521" spans="2:98" x14ac:dyDescent="0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</row>
    <row r="522" spans="2:98" x14ac:dyDescent="0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</row>
    <row r="523" spans="2:98" x14ac:dyDescent="0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</row>
    <row r="524" spans="2:98" x14ac:dyDescent="0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</row>
    <row r="525" spans="2:98" x14ac:dyDescent="0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</row>
    <row r="526" spans="2:98" x14ac:dyDescent="0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</row>
    <row r="527" spans="2:98" x14ac:dyDescent="0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</row>
    <row r="528" spans="2:98" x14ac:dyDescent="0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</row>
    <row r="529" spans="2:98" x14ac:dyDescent="0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</row>
    <row r="530" spans="2:98" x14ac:dyDescent="0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</row>
    <row r="531" spans="2:98" x14ac:dyDescent="0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</row>
    <row r="532" spans="2:98" x14ac:dyDescent="0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</row>
    <row r="533" spans="2:98" x14ac:dyDescent="0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</row>
    <row r="534" spans="2:98" x14ac:dyDescent="0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</row>
    <row r="535" spans="2:98" x14ac:dyDescent="0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</row>
    <row r="536" spans="2:98" x14ac:dyDescent="0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</row>
    <row r="537" spans="2:98" x14ac:dyDescent="0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</row>
    <row r="538" spans="2:98" x14ac:dyDescent="0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</row>
    <row r="539" spans="2:98" x14ac:dyDescent="0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</row>
    <row r="540" spans="2:98" x14ac:dyDescent="0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</row>
    <row r="541" spans="2:98" x14ac:dyDescent="0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</row>
    <row r="542" spans="2:98" x14ac:dyDescent="0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</row>
    <row r="543" spans="2:98" x14ac:dyDescent="0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</row>
    <row r="544" spans="2:98" x14ac:dyDescent="0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</row>
    <row r="545" spans="2:98" x14ac:dyDescent="0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</row>
    <row r="546" spans="2:98" x14ac:dyDescent="0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</row>
    <row r="547" spans="2:98" x14ac:dyDescent="0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</row>
    <row r="548" spans="2:98" x14ac:dyDescent="0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</row>
    <row r="549" spans="2:98" x14ac:dyDescent="0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</row>
    <row r="550" spans="2:98" x14ac:dyDescent="0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</row>
    <row r="551" spans="2:98" x14ac:dyDescent="0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</row>
    <row r="552" spans="2:98" x14ac:dyDescent="0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</row>
    <row r="553" spans="2:98" x14ac:dyDescent="0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</row>
    <row r="554" spans="2:98" x14ac:dyDescent="0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</row>
    <row r="555" spans="2:98" x14ac:dyDescent="0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</row>
    <row r="556" spans="2:98" x14ac:dyDescent="0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</row>
    <row r="557" spans="2:98" x14ac:dyDescent="0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</row>
    <row r="558" spans="2:98" x14ac:dyDescent="0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</row>
    <row r="559" spans="2:98" x14ac:dyDescent="0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</row>
    <row r="560" spans="2:98" x14ac:dyDescent="0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</row>
    <row r="561" spans="2:98" x14ac:dyDescent="0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</row>
    <row r="562" spans="2:98" x14ac:dyDescent="0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</row>
    <row r="563" spans="2:98" x14ac:dyDescent="0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</row>
    <row r="564" spans="2:98" x14ac:dyDescent="0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</row>
    <row r="565" spans="2:98" x14ac:dyDescent="0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</row>
    <row r="566" spans="2:98" x14ac:dyDescent="0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</row>
    <row r="567" spans="2:98" x14ac:dyDescent="0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</row>
    <row r="568" spans="2:98" x14ac:dyDescent="0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</row>
    <row r="569" spans="2:98" x14ac:dyDescent="0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</row>
    <row r="570" spans="2:98" x14ac:dyDescent="0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</row>
    <row r="571" spans="2:98" x14ac:dyDescent="0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</row>
    <row r="572" spans="2:98" x14ac:dyDescent="0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</row>
    <row r="573" spans="2:98" x14ac:dyDescent="0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</row>
    <row r="574" spans="2:98" x14ac:dyDescent="0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</row>
    <row r="575" spans="2:98" x14ac:dyDescent="0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</row>
    <row r="576" spans="2:98" x14ac:dyDescent="0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</row>
    <row r="577" spans="2:98" x14ac:dyDescent="0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</row>
    <row r="578" spans="2:98" x14ac:dyDescent="0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</row>
    <row r="579" spans="2:98" x14ac:dyDescent="0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</row>
    <row r="580" spans="2:98" x14ac:dyDescent="0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</row>
    <row r="581" spans="2:98" x14ac:dyDescent="0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</row>
    <row r="582" spans="2:98" x14ac:dyDescent="0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</row>
    <row r="583" spans="2:98" x14ac:dyDescent="0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</row>
    <row r="584" spans="2:98" x14ac:dyDescent="0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</row>
    <row r="585" spans="2:98" x14ac:dyDescent="0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</row>
    <row r="586" spans="2:98" x14ac:dyDescent="0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</row>
    <row r="587" spans="2:98" x14ac:dyDescent="0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</row>
    <row r="588" spans="2:98" x14ac:dyDescent="0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</row>
    <row r="589" spans="2:98" x14ac:dyDescent="0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</row>
    <row r="590" spans="2:98" x14ac:dyDescent="0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</row>
    <row r="591" spans="2:98" x14ac:dyDescent="0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</row>
    <row r="592" spans="2:98" x14ac:dyDescent="0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</row>
    <row r="593" spans="2:98" x14ac:dyDescent="0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</row>
    <row r="594" spans="2:98" x14ac:dyDescent="0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</row>
    <row r="595" spans="2:98" x14ac:dyDescent="0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</row>
    <row r="596" spans="2:98" x14ac:dyDescent="0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</row>
    <row r="597" spans="2:98" x14ac:dyDescent="0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</row>
    <row r="598" spans="2:98" x14ac:dyDescent="0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</row>
    <row r="599" spans="2:98" x14ac:dyDescent="0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</row>
    <row r="600" spans="2:98" x14ac:dyDescent="0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</row>
    <row r="601" spans="2:98" x14ac:dyDescent="0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</row>
    <row r="602" spans="2:98" x14ac:dyDescent="0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</row>
    <row r="603" spans="2:98" x14ac:dyDescent="0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</row>
    <row r="604" spans="2:98" x14ac:dyDescent="0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</row>
    <row r="605" spans="2:98" x14ac:dyDescent="0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</row>
    <row r="606" spans="2:98" x14ac:dyDescent="0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</row>
    <row r="607" spans="2:98" x14ac:dyDescent="0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</row>
    <row r="608" spans="2:98" x14ac:dyDescent="0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</row>
    <row r="609" spans="2:98" x14ac:dyDescent="0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</row>
    <row r="610" spans="2:98" x14ac:dyDescent="0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</row>
    <row r="611" spans="2:98" x14ac:dyDescent="0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</row>
    <row r="612" spans="2:98" x14ac:dyDescent="0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</row>
    <row r="613" spans="2:98" x14ac:dyDescent="0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</row>
    <row r="614" spans="2:98" x14ac:dyDescent="0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</row>
    <row r="615" spans="2:98" x14ac:dyDescent="0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</row>
    <row r="616" spans="2:98" x14ac:dyDescent="0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</row>
    <row r="617" spans="2:98" x14ac:dyDescent="0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</row>
    <row r="618" spans="2:98" x14ac:dyDescent="0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</row>
    <row r="619" spans="2:98" x14ac:dyDescent="0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</row>
    <row r="620" spans="2:98" x14ac:dyDescent="0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</row>
    <row r="621" spans="2:98" x14ac:dyDescent="0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</row>
    <row r="622" spans="2:98" x14ac:dyDescent="0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</row>
    <row r="623" spans="2:98" x14ac:dyDescent="0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</row>
    <row r="624" spans="2:98" x14ac:dyDescent="0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</row>
    <row r="625" spans="2:98" x14ac:dyDescent="0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</row>
    <row r="626" spans="2:98" x14ac:dyDescent="0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</row>
    <row r="627" spans="2:98" x14ac:dyDescent="0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</row>
    <row r="628" spans="2:98" x14ac:dyDescent="0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</row>
    <row r="629" spans="2:98" x14ac:dyDescent="0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</row>
    <row r="630" spans="2:98" x14ac:dyDescent="0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</row>
    <row r="631" spans="2:98" x14ac:dyDescent="0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</row>
    <row r="632" spans="2:98" x14ac:dyDescent="0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</row>
    <row r="633" spans="2:98" x14ac:dyDescent="0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</row>
    <row r="634" spans="2:98" x14ac:dyDescent="0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</row>
    <row r="635" spans="2:98" x14ac:dyDescent="0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</row>
    <row r="636" spans="2:98" x14ac:dyDescent="0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</row>
    <row r="637" spans="2:98" x14ac:dyDescent="0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</row>
    <row r="638" spans="2:98" x14ac:dyDescent="0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</row>
    <row r="639" spans="2:98" x14ac:dyDescent="0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</row>
    <row r="640" spans="2:98" x14ac:dyDescent="0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</row>
    <row r="641" spans="2:98" x14ac:dyDescent="0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</row>
    <row r="642" spans="2:98" x14ac:dyDescent="0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</row>
    <row r="643" spans="2:98" x14ac:dyDescent="0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</row>
    <row r="644" spans="2:98" x14ac:dyDescent="0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</row>
    <row r="645" spans="2:98" x14ac:dyDescent="0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</row>
    <row r="646" spans="2:98" x14ac:dyDescent="0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</row>
    <row r="647" spans="2:98" x14ac:dyDescent="0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</row>
    <row r="648" spans="2:98" x14ac:dyDescent="0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</row>
    <row r="649" spans="2:98" x14ac:dyDescent="0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</row>
    <row r="650" spans="2:98" x14ac:dyDescent="0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</row>
    <row r="651" spans="2:98" x14ac:dyDescent="0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</row>
    <row r="652" spans="2:98" x14ac:dyDescent="0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</row>
    <row r="653" spans="2:98" x14ac:dyDescent="0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</row>
    <row r="654" spans="2:98" x14ac:dyDescent="0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</row>
    <row r="655" spans="2:98" x14ac:dyDescent="0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</row>
    <row r="656" spans="2:98" x14ac:dyDescent="0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</row>
    <row r="657" spans="2:98" x14ac:dyDescent="0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</row>
    <row r="658" spans="2:98" x14ac:dyDescent="0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</row>
    <row r="659" spans="2:98" x14ac:dyDescent="0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</row>
    <row r="660" spans="2:98" x14ac:dyDescent="0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</row>
    <row r="661" spans="2:98" x14ac:dyDescent="0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</row>
    <row r="662" spans="2:98" x14ac:dyDescent="0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</row>
    <row r="663" spans="2:98" x14ac:dyDescent="0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</row>
    <row r="664" spans="2:98" x14ac:dyDescent="0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</row>
    <row r="665" spans="2:98" x14ac:dyDescent="0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</row>
    <row r="666" spans="2:98" x14ac:dyDescent="0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</row>
    <row r="667" spans="2:98" x14ac:dyDescent="0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</row>
    <row r="668" spans="2:98" x14ac:dyDescent="0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</row>
    <row r="669" spans="2:98" x14ac:dyDescent="0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</row>
    <row r="670" spans="2:98" x14ac:dyDescent="0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</row>
    <row r="671" spans="2:98" x14ac:dyDescent="0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</row>
    <row r="672" spans="2:98" x14ac:dyDescent="0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</row>
    <row r="673" spans="2:98" x14ac:dyDescent="0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</row>
    <row r="674" spans="2:98" x14ac:dyDescent="0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</row>
    <row r="675" spans="2:98" x14ac:dyDescent="0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</row>
    <row r="676" spans="2:98" x14ac:dyDescent="0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</row>
    <row r="677" spans="2:98" x14ac:dyDescent="0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</row>
    <row r="678" spans="2:98" x14ac:dyDescent="0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</row>
    <row r="679" spans="2:98" x14ac:dyDescent="0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</row>
    <row r="680" spans="2:98" x14ac:dyDescent="0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</row>
    <row r="681" spans="2:98" x14ac:dyDescent="0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</row>
    <row r="682" spans="2:98" x14ac:dyDescent="0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</row>
    <row r="683" spans="2:98" x14ac:dyDescent="0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</row>
    <row r="684" spans="2:98" x14ac:dyDescent="0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</row>
    <row r="685" spans="2:98" x14ac:dyDescent="0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</row>
    <row r="686" spans="2:98" x14ac:dyDescent="0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</row>
    <row r="687" spans="2:98" x14ac:dyDescent="0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</row>
    <row r="688" spans="2:98" x14ac:dyDescent="0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</row>
    <row r="689" spans="2:98" x14ac:dyDescent="0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</row>
    <row r="690" spans="2:98" x14ac:dyDescent="0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</row>
    <row r="691" spans="2:98" x14ac:dyDescent="0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</row>
    <row r="692" spans="2:98" x14ac:dyDescent="0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</row>
    <row r="693" spans="2:98" x14ac:dyDescent="0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</row>
    <row r="694" spans="2:98" x14ac:dyDescent="0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</row>
    <row r="695" spans="2:98" x14ac:dyDescent="0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</row>
    <row r="696" spans="2:98" x14ac:dyDescent="0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</row>
    <row r="697" spans="2:98" x14ac:dyDescent="0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</row>
    <row r="698" spans="2:98" x14ac:dyDescent="0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</row>
    <row r="699" spans="2:98" x14ac:dyDescent="0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</row>
    <row r="700" spans="2:98" x14ac:dyDescent="0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</row>
    <row r="701" spans="2:98" x14ac:dyDescent="0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</row>
    <row r="702" spans="2:98" x14ac:dyDescent="0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</row>
    <row r="703" spans="2:98" x14ac:dyDescent="0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</row>
    <row r="704" spans="2:98" x14ac:dyDescent="0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</row>
    <row r="705" spans="2:98" x14ac:dyDescent="0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</row>
    <row r="706" spans="2:98" x14ac:dyDescent="0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</row>
    <row r="707" spans="2:98" x14ac:dyDescent="0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</row>
    <row r="708" spans="2:98" x14ac:dyDescent="0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</row>
    <row r="709" spans="2:98" x14ac:dyDescent="0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</row>
    <row r="710" spans="2:98" x14ac:dyDescent="0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</row>
    <row r="711" spans="2:98" x14ac:dyDescent="0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</row>
    <row r="712" spans="2:98" x14ac:dyDescent="0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</row>
    <row r="713" spans="2:98" x14ac:dyDescent="0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</row>
    <row r="714" spans="2:98" x14ac:dyDescent="0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</row>
    <row r="715" spans="2:98" x14ac:dyDescent="0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</row>
    <row r="716" spans="2:98" x14ac:dyDescent="0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</row>
    <row r="717" spans="2:98" x14ac:dyDescent="0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</row>
    <row r="718" spans="2:98" x14ac:dyDescent="0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</row>
    <row r="719" spans="2:98" x14ac:dyDescent="0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</row>
    <row r="720" spans="2:98" x14ac:dyDescent="0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</row>
    <row r="721" spans="2:98" x14ac:dyDescent="0.2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</row>
    <row r="722" spans="2:98" x14ac:dyDescent="0.2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</row>
    <row r="723" spans="2:98" x14ac:dyDescent="0.2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</row>
    <row r="724" spans="2:98" x14ac:dyDescent="0.2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</row>
    <row r="725" spans="2:98" x14ac:dyDescent="0.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</row>
    <row r="726" spans="2:98" x14ac:dyDescent="0.2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</row>
    <row r="727" spans="2:98" x14ac:dyDescent="0.2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</row>
    <row r="728" spans="2:98" x14ac:dyDescent="0.2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</row>
    <row r="729" spans="2:98" x14ac:dyDescent="0.25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</row>
    <row r="730" spans="2:98" x14ac:dyDescent="0.25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</row>
    <row r="731" spans="2:98" x14ac:dyDescent="0.25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</row>
    <row r="732" spans="2:98" x14ac:dyDescent="0.25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</row>
    <row r="733" spans="2:98" x14ac:dyDescent="0.25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</row>
    <row r="734" spans="2:98" x14ac:dyDescent="0.25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</row>
    <row r="735" spans="2:98" x14ac:dyDescent="0.2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</row>
    <row r="736" spans="2:98" x14ac:dyDescent="0.2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</row>
    <row r="737" spans="2:98" x14ac:dyDescent="0.25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  <c r="CP737" s="32"/>
      <c r="CQ737" s="32"/>
      <c r="CR737" s="32"/>
      <c r="CS737" s="32"/>
      <c r="CT737" s="32"/>
    </row>
    <row r="738" spans="2:98" x14ac:dyDescent="0.25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</row>
    <row r="739" spans="2:98" x14ac:dyDescent="0.25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2"/>
      <c r="CQ739" s="32"/>
      <c r="CR739" s="32"/>
      <c r="CS739" s="32"/>
      <c r="CT739" s="32"/>
    </row>
    <row r="740" spans="2:98" x14ac:dyDescent="0.25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  <c r="CP740" s="32"/>
      <c r="CQ740" s="32"/>
      <c r="CR740" s="32"/>
      <c r="CS740" s="32"/>
      <c r="CT740" s="32"/>
    </row>
    <row r="741" spans="2:98" x14ac:dyDescent="0.25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</row>
    <row r="742" spans="2:98" x14ac:dyDescent="0.25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</row>
    <row r="743" spans="2:98" x14ac:dyDescent="0.25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</row>
    <row r="744" spans="2:98" x14ac:dyDescent="0.25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</row>
    <row r="745" spans="2:98" x14ac:dyDescent="0.2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</row>
    <row r="746" spans="2:98" x14ac:dyDescent="0.25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2"/>
      <c r="CQ746" s="32"/>
      <c r="CR746" s="32"/>
      <c r="CS746" s="32"/>
      <c r="CT746" s="32"/>
    </row>
    <row r="747" spans="2:98" x14ac:dyDescent="0.25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2"/>
      <c r="CQ747" s="32"/>
      <c r="CR747" s="32"/>
      <c r="CS747" s="32"/>
      <c r="CT747" s="32"/>
    </row>
    <row r="748" spans="2:98" x14ac:dyDescent="0.25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  <c r="CP748" s="32"/>
      <c r="CQ748" s="32"/>
      <c r="CR748" s="32"/>
      <c r="CS748" s="32"/>
      <c r="CT748" s="32"/>
    </row>
    <row r="749" spans="2:98" x14ac:dyDescent="0.25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  <c r="CP749" s="32"/>
      <c r="CQ749" s="32"/>
      <c r="CR749" s="32"/>
      <c r="CS749" s="32"/>
      <c r="CT749" s="32"/>
    </row>
    <row r="750" spans="2:98" x14ac:dyDescent="0.25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2"/>
      <c r="CQ750" s="32"/>
      <c r="CR750" s="32"/>
      <c r="CS750" s="32"/>
      <c r="CT750" s="32"/>
    </row>
    <row r="751" spans="2:98" x14ac:dyDescent="0.25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</row>
    <row r="752" spans="2:98" x14ac:dyDescent="0.25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  <c r="CP752" s="32"/>
      <c r="CQ752" s="32"/>
      <c r="CR752" s="32"/>
      <c r="CS752" s="32"/>
      <c r="CT752" s="32"/>
    </row>
    <row r="753" spans="2:98" x14ac:dyDescent="0.25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2"/>
      <c r="CQ753" s="32"/>
      <c r="CR753" s="32"/>
      <c r="CS753" s="32"/>
      <c r="CT753" s="32"/>
    </row>
    <row r="754" spans="2:98" x14ac:dyDescent="0.25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</row>
    <row r="755" spans="2:98" x14ac:dyDescent="0.2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</row>
    <row r="756" spans="2:98" x14ac:dyDescent="0.25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</row>
    <row r="757" spans="2:98" x14ac:dyDescent="0.25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</row>
    <row r="758" spans="2:98" x14ac:dyDescent="0.25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</row>
    <row r="759" spans="2:98" x14ac:dyDescent="0.25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</row>
    <row r="760" spans="2:98" x14ac:dyDescent="0.25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</row>
    <row r="761" spans="2:98" x14ac:dyDescent="0.25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</row>
    <row r="762" spans="2:98" x14ac:dyDescent="0.25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</row>
    <row r="763" spans="2:98" x14ac:dyDescent="0.25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</row>
    <row r="764" spans="2:98" x14ac:dyDescent="0.25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</row>
    <row r="765" spans="2:98" x14ac:dyDescent="0.2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</row>
    <row r="766" spans="2:98" x14ac:dyDescent="0.25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2"/>
      <c r="CQ766" s="32"/>
      <c r="CR766" s="32"/>
      <c r="CS766" s="32"/>
      <c r="CT766" s="32"/>
    </row>
    <row r="767" spans="2:98" x14ac:dyDescent="0.25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</row>
    <row r="768" spans="2:98" x14ac:dyDescent="0.25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2"/>
      <c r="CQ768" s="32"/>
      <c r="CR768" s="32"/>
      <c r="CS768" s="32"/>
      <c r="CT768" s="32"/>
    </row>
    <row r="769" spans="2:98" x14ac:dyDescent="0.25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</row>
    <row r="770" spans="2:98" x14ac:dyDescent="0.25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2"/>
      <c r="CQ770" s="32"/>
      <c r="CR770" s="32"/>
      <c r="CS770" s="32"/>
      <c r="CT770" s="32"/>
    </row>
    <row r="771" spans="2:98" x14ac:dyDescent="0.25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</row>
    <row r="772" spans="2:98" x14ac:dyDescent="0.25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2"/>
      <c r="CQ772" s="32"/>
      <c r="CR772" s="32"/>
      <c r="CS772" s="32"/>
      <c r="CT772" s="32"/>
    </row>
    <row r="773" spans="2:98" x14ac:dyDescent="0.25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2"/>
      <c r="CQ773" s="32"/>
      <c r="CR773" s="32"/>
      <c r="CS773" s="32"/>
      <c r="CT773" s="32"/>
    </row>
    <row r="774" spans="2:98" x14ac:dyDescent="0.25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</row>
    <row r="775" spans="2:98" x14ac:dyDescent="0.2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</row>
    <row r="776" spans="2:98" x14ac:dyDescent="0.25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2"/>
      <c r="CQ776" s="32"/>
      <c r="CR776" s="32"/>
      <c r="CS776" s="32"/>
      <c r="CT776" s="32"/>
    </row>
    <row r="777" spans="2:98" x14ac:dyDescent="0.25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2"/>
      <c r="CQ777" s="32"/>
      <c r="CR777" s="32"/>
      <c r="CS777" s="32"/>
      <c r="CT777" s="32"/>
    </row>
    <row r="778" spans="2:98" x14ac:dyDescent="0.25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2"/>
      <c r="CQ778" s="32"/>
      <c r="CR778" s="32"/>
      <c r="CS778" s="32"/>
      <c r="CT778" s="32"/>
    </row>
    <row r="779" spans="2:98" x14ac:dyDescent="0.25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</row>
    <row r="780" spans="2:98" x14ac:dyDescent="0.25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</row>
    <row r="781" spans="2:98" x14ac:dyDescent="0.25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</row>
    <row r="782" spans="2:98" x14ac:dyDescent="0.25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</row>
    <row r="783" spans="2:98" x14ac:dyDescent="0.25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</row>
    <row r="784" spans="2:98" x14ac:dyDescent="0.25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2"/>
      <c r="CQ784" s="32"/>
      <c r="CR784" s="32"/>
      <c r="CS784" s="32"/>
      <c r="CT784" s="32"/>
    </row>
    <row r="785" spans="2:98" x14ac:dyDescent="0.2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2"/>
      <c r="CQ785" s="32"/>
      <c r="CR785" s="32"/>
      <c r="CS785" s="32"/>
      <c r="CT785" s="32"/>
    </row>
    <row r="786" spans="2:98" x14ac:dyDescent="0.25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2"/>
      <c r="CQ786" s="32"/>
      <c r="CR786" s="32"/>
      <c r="CS786" s="32"/>
      <c r="CT786" s="32"/>
    </row>
    <row r="787" spans="2:98" x14ac:dyDescent="0.2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  <c r="CJ787" s="32"/>
      <c r="CK787" s="32"/>
      <c r="CL787" s="32"/>
      <c r="CM787" s="32"/>
      <c r="CN787" s="32"/>
      <c r="CO787" s="32"/>
      <c r="CP787" s="32"/>
      <c r="CQ787" s="32"/>
      <c r="CR787" s="32"/>
      <c r="CS787" s="32"/>
      <c r="CT787" s="32"/>
    </row>
    <row r="788" spans="2:98" x14ac:dyDescent="0.2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  <c r="CP788" s="32"/>
      <c r="CQ788" s="32"/>
      <c r="CR788" s="32"/>
      <c r="CS788" s="32"/>
      <c r="CT788" s="32"/>
    </row>
    <row r="789" spans="2:98" x14ac:dyDescent="0.2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  <c r="CP789" s="32"/>
      <c r="CQ789" s="32"/>
      <c r="CR789" s="32"/>
      <c r="CS789" s="32"/>
      <c r="CT789" s="32"/>
    </row>
    <row r="790" spans="2:98" x14ac:dyDescent="0.25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  <c r="CP790" s="32"/>
      <c r="CQ790" s="32"/>
      <c r="CR790" s="32"/>
      <c r="CS790" s="32"/>
      <c r="CT790" s="32"/>
    </row>
    <row r="791" spans="2:98" x14ac:dyDescent="0.25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  <c r="CP791" s="32"/>
      <c r="CQ791" s="32"/>
      <c r="CR791" s="32"/>
      <c r="CS791" s="32"/>
      <c r="CT791" s="32"/>
    </row>
    <row r="792" spans="2:98" x14ac:dyDescent="0.25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  <c r="CP792" s="32"/>
      <c r="CQ792" s="32"/>
      <c r="CR792" s="32"/>
      <c r="CS792" s="32"/>
      <c r="CT792" s="32"/>
    </row>
    <row r="793" spans="2:98" x14ac:dyDescent="0.25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  <c r="CP793" s="32"/>
      <c r="CQ793" s="32"/>
      <c r="CR793" s="32"/>
      <c r="CS793" s="32"/>
      <c r="CT793" s="32"/>
    </row>
    <row r="794" spans="2:98" x14ac:dyDescent="0.25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  <c r="CP794" s="32"/>
      <c r="CQ794" s="32"/>
      <c r="CR794" s="32"/>
      <c r="CS794" s="32"/>
      <c r="CT794" s="32"/>
    </row>
    <row r="795" spans="2:98" x14ac:dyDescent="0.2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2"/>
      <c r="CQ795" s="32"/>
      <c r="CR795" s="32"/>
      <c r="CS795" s="32"/>
      <c r="CT795" s="32"/>
    </row>
    <row r="796" spans="2:98" x14ac:dyDescent="0.25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  <c r="CP796" s="32"/>
      <c r="CQ796" s="32"/>
      <c r="CR796" s="32"/>
      <c r="CS796" s="32"/>
      <c r="CT796" s="32"/>
    </row>
    <row r="797" spans="2:98" x14ac:dyDescent="0.25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  <c r="CP797" s="32"/>
      <c r="CQ797" s="32"/>
      <c r="CR797" s="32"/>
      <c r="CS797" s="32"/>
      <c r="CT797" s="32"/>
    </row>
    <row r="798" spans="2:98" x14ac:dyDescent="0.25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</row>
    <row r="799" spans="2:98" x14ac:dyDescent="0.25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2"/>
      <c r="CQ799" s="32"/>
      <c r="CR799" s="32"/>
      <c r="CS799" s="32"/>
      <c r="CT799" s="32"/>
    </row>
    <row r="800" spans="2:98" x14ac:dyDescent="0.25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</row>
    <row r="801" spans="2:98" x14ac:dyDescent="0.25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</row>
    <row r="802" spans="2:98" x14ac:dyDescent="0.25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</row>
    <row r="803" spans="2:98" x14ac:dyDescent="0.25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2"/>
      <c r="CQ803" s="32"/>
      <c r="CR803" s="32"/>
      <c r="CS803" s="32"/>
      <c r="CT803" s="32"/>
    </row>
    <row r="804" spans="2:98" x14ac:dyDescent="0.25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</row>
    <row r="805" spans="2:98" x14ac:dyDescent="0.2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  <c r="CP805" s="32"/>
      <c r="CQ805" s="32"/>
      <c r="CR805" s="32"/>
      <c r="CS805" s="32"/>
      <c r="CT805" s="32"/>
    </row>
    <row r="806" spans="2:98" x14ac:dyDescent="0.25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</row>
    <row r="807" spans="2:98" x14ac:dyDescent="0.25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</row>
    <row r="808" spans="2:98" x14ac:dyDescent="0.25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</row>
    <row r="809" spans="2:98" x14ac:dyDescent="0.25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2"/>
      <c r="CQ809" s="32"/>
      <c r="CR809" s="32"/>
      <c r="CS809" s="32"/>
      <c r="CT809" s="32"/>
    </row>
    <row r="810" spans="2:98" x14ac:dyDescent="0.25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2"/>
      <c r="CQ810" s="32"/>
      <c r="CR810" s="32"/>
      <c r="CS810" s="32"/>
      <c r="CT810" s="32"/>
    </row>
    <row r="811" spans="2:98" x14ac:dyDescent="0.25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2"/>
      <c r="CQ811" s="32"/>
      <c r="CR811" s="32"/>
      <c r="CS811" s="32"/>
      <c r="CT811" s="32"/>
    </row>
    <row r="812" spans="2:98" x14ac:dyDescent="0.25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</row>
    <row r="813" spans="2:98" x14ac:dyDescent="0.25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2"/>
      <c r="CQ813" s="32"/>
      <c r="CR813" s="32"/>
      <c r="CS813" s="32"/>
      <c r="CT813" s="32"/>
    </row>
    <row r="814" spans="2:98" x14ac:dyDescent="0.25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2"/>
      <c r="CQ814" s="32"/>
      <c r="CR814" s="32"/>
      <c r="CS814" s="32"/>
      <c r="CT814" s="32"/>
    </row>
    <row r="815" spans="2:98" x14ac:dyDescent="0.2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2"/>
      <c r="CQ815" s="32"/>
      <c r="CR815" s="32"/>
      <c r="CS815" s="32"/>
      <c r="CT815" s="32"/>
    </row>
    <row r="816" spans="2:98" x14ac:dyDescent="0.25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2"/>
      <c r="CQ816" s="32"/>
      <c r="CR816" s="32"/>
      <c r="CS816" s="32"/>
      <c r="CT816" s="32"/>
    </row>
    <row r="817" spans="2:98" x14ac:dyDescent="0.25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</row>
    <row r="818" spans="2:98" x14ac:dyDescent="0.25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2"/>
      <c r="CQ818" s="32"/>
      <c r="CR818" s="32"/>
      <c r="CS818" s="32"/>
      <c r="CT818" s="32"/>
    </row>
    <row r="819" spans="2:98" x14ac:dyDescent="0.25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</row>
    <row r="820" spans="2:98" x14ac:dyDescent="0.25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</row>
    <row r="821" spans="2:98" x14ac:dyDescent="0.25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2"/>
      <c r="CQ821" s="32"/>
      <c r="CR821" s="32"/>
      <c r="CS821" s="32"/>
      <c r="CT821" s="32"/>
    </row>
    <row r="822" spans="2:98" x14ac:dyDescent="0.25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</row>
    <row r="823" spans="2:98" x14ac:dyDescent="0.25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</row>
    <row r="824" spans="2:98" x14ac:dyDescent="0.25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</row>
    <row r="825" spans="2:98" x14ac:dyDescent="0.2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</row>
    <row r="826" spans="2:98" x14ac:dyDescent="0.25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</row>
    <row r="827" spans="2:98" x14ac:dyDescent="0.25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</row>
    <row r="828" spans="2:98" x14ac:dyDescent="0.25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</row>
    <row r="829" spans="2:98" x14ac:dyDescent="0.25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</row>
    <row r="830" spans="2:98" x14ac:dyDescent="0.25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</row>
    <row r="831" spans="2:98" x14ac:dyDescent="0.25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  <c r="CP831" s="32"/>
      <c r="CQ831" s="32"/>
      <c r="CR831" s="32"/>
      <c r="CS831" s="32"/>
      <c r="CT831" s="32"/>
    </row>
    <row r="832" spans="2:98" x14ac:dyDescent="0.25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</row>
    <row r="833" spans="2:98" x14ac:dyDescent="0.25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</row>
    <row r="834" spans="2:98" x14ac:dyDescent="0.25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</row>
    <row r="835" spans="2:98" x14ac:dyDescent="0.2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</row>
    <row r="836" spans="2:98" x14ac:dyDescent="0.25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</row>
    <row r="837" spans="2:98" x14ac:dyDescent="0.25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</row>
    <row r="838" spans="2:98" x14ac:dyDescent="0.25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</row>
    <row r="839" spans="2:98" x14ac:dyDescent="0.25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</row>
    <row r="840" spans="2:98" x14ac:dyDescent="0.25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</row>
    <row r="841" spans="2:98" x14ac:dyDescent="0.25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</row>
    <row r="842" spans="2:98" x14ac:dyDescent="0.25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</row>
    <row r="843" spans="2:98" x14ac:dyDescent="0.25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</row>
    <row r="844" spans="2:98" x14ac:dyDescent="0.25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</row>
    <row r="845" spans="2:98" x14ac:dyDescent="0.2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  <c r="CJ845" s="32"/>
      <c r="CK845" s="32"/>
      <c r="CL845" s="32"/>
      <c r="CM845" s="32"/>
      <c r="CN845" s="32"/>
      <c r="CO845" s="32"/>
      <c r="CP845" s="32"/>
      <c r="CQ845" s="32"/>
      <c r="CR845" s="32"/>
      <c r="CS845" s="32"/>
      <c r="CT845" s="32"/>
    </row>
    <row r="846" spans="2:98" x14ac:dyDescent="0.25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  <c r="CJ846" s="32"/>
      <c r="CK846" s="32"/>
      <c r="CL846" s="32"/>
      <c r="CM846" s="32"/>
      <c r="CN846" s="32"/>
      <c r="CO846" s="32"/>
      <c r="CP846" s="32"/>
      <c r="CQ846" s="32"/>
      <c r="CR846" s="32"/>
      <c r="CS846" s="32"/>
      <c r="CT846" s="32"/>
    </row>
    <row r="847" spans="2:98" x14ac:dyDescent="0.25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  <c r="CJ847" s="32"/>
      <c r="CK847" s="32"/>
      <c r="CL847" s="32"/>
      <c r="CM847" s="32"/>
      <c r="CN847" s="32"/>
      <c r="CO847" s="32"/>
      <c r="CP847" s="32"/>
      <c r="CQ847" s="32"/>
      <c r="CR847" s="32"/>
      <c r="CS847" s="32"/>
      <c r="CT847" s="32"/>
    </row>
    <row r="848" spans="2:98" x14ac:dyDescent="0.25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  <c r="CC848" s="32"/>
      <c r="CD848" s="32"/>
      <c r="CE848" s="32"/>
      <c r="CF848" s="32"/>
      <c r="CG848" s="32"/>
      <c r="CH848" s="32"/>
      <c r="CI848" s="32"/>
      <c r="CJ848" s="32"/>
      <c r="CK848" s="32"/>
      <c r="CL848" s="32"/>
      <c r="CM848" s="32"/>
      <c r="CN848" s="32"/>
      <c r="CO848" s="32"/>
      <c r="CP848" s="32"/>
      <c r="CQ848" s="32"/>
      <c r="CR848" s="32"/>
      <c r="CS848" s="32"/>
      <c r="CT848" s="32"/>
    </row>
    <row r="849" spans="2:98" x14ac:dyDescent="0.25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  <c r="CC849" s="32"/>
      <c r="CD849" s="32"/>
      <c r="CE849" s="32"/>
      <c r="CF849" s="32"/>
      <c r="CG849" s="32"/>
      <c r="CH849" s="32"/>
      <c r="CI849" s="32"/>
      <c r="CJ849" s="32"/>
      <c r="CK849" s="32"/>
      <c r="CL849" s="32"/>
      <c r="CM849" s="32"/>
      <c r="CN849" s="32"/>
      <c r="CO849" s="32"/>
      <c r="CP849" s="32"/>
      <c r="CQ849" s="32"/>
      <c r="CR849" s="32"/>
      <c r="CS849" s="32"/>
      <c r="CT849" s="32"/>
    </row>
    <row r="850" spans="2:98" x14ac:dyDescent="0.25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  <c r="CA850" s="32"/>
      <c r="CB850" s="32"/>
      <c r="CC850" s="32"/>
      <c r="CD850" s="32"/>
      <c r="CE850" s="32"/>
      <c r="CF850" s="32"/>
      <c r="CG850" s="32"/>
      <c r="CH850" s="32"/>
      <c r="CI850" s="32"/>
      <c r="CJ850" s="32"/>
      <c r="CK850" s="32"/>
      <c r="CL850" s="32"/>
      <c r="CM850" s="32"/>
      <c r="CN850" s="32"/>
      <c r="CO850" s="32"/>
      <c r="CP850" s="32"/>
      <c r="CQ850" s="32"/>
      <c r="CR850" s="32"/>
      <c r="CS850" s="32"/>
      <c r="CT850" s="32"/>
    </row>
    <row r="851" spans="2:98" x14ac:dyDescent="0.25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  <c r="CA851" s="32"/>
      <c r="CB851" s="32"/>
      <c r="CC851" s="32"/>
      <c r="CD851" s="32"/>
      <c r="CE851" s="32"/>
      <c r="CF851" s="32"/>
      <c r="CG851" s="32"/>
      <c r="CH851" s="32"/>
      <c r="CI851" s="32"/>
      <c r="CJ851" s="32"/>
      <c r="CK851" s="32"/>
      <c r="CL851" s="32"/>
      <c r="CM851" s="32"/>
      <c r="CN851" s="32"/>
      <c r="CO851" s="32"/>
      <c r="CP851" s="32"/>
      <c r="CQ851" s="32"/>
      <c r="CR851" s="32"/>
      <c r="CS851" s="32"/>
      <c r="CT851" s="32"/>
    </row>
    <row r="852" spans="2:98" x14ac:dyDescent="0.25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  <c r="CC852" s="32"/>
      <c r="CD852" s="32"/>
      <c r="CE852" s="32"/>
      <c r="CF852" s="32"/>
      <c r="CG852" s="32"/>
      <c r="CH852" s="32"/>
      <c r="CI852" s="32"/>
      <c r="CJ852" s="32"/>
      <c r="CK852" s="32"/>
      <c r="CL852" s="32"/>
      <c r="CM852" s="32"/>
      <c r="CN852" s="32"/>
      <c r="CO852" s="32"/>
      <c r="CP852" s="32"/>
      <c r="CQ852" s="32"/>
      <c r="CR852" s="32"/>
      <c r="CS852" s="32"/>
      <c r="CT852" s="32"/>
    </row>
    <row r="853" spans="2:98" x14ac:dyDescent="0.25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CC853" s="32"/>
      <c r="CD853" s="32"/>
      <c r="CE853" s="32"/>
      <c r="CF853" s="32"/>
      <c r="CG853" s="32"/>
      <c r="CH853" s="32"/>
      <c r="CI853" s="32"/>
      <c r="CJ853" s="32"/>
      <c r="CK853" s="32"/>
      <c r="CL853" s="32"/>
      <c r="CM853" s="32"/>
      <c r="CN853" s="32"/>
      <c r="CO853" s="32"/>
      <c r="CP853" s="32"/>
      <c r="CQ853" s="32"/>
      <c r="CR853" s="32"/>
      <c r="CS853" s="32"/>
      <c r="CT853" s="32"/>
    </row>
    <row r="854" spans="2:98" x14ac:dyDescent="0.25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  <c r="CC854" s="32"/>
      <c r="CD854" s="32"/>
      <c r="CE854" s="32"/>
      <c r="CF854" s="32"/>
      <c r="CG854" s="32"/>
      <c r="CH854" s="32"/>
      <c r="CI854" s="32"/>
      <c r="CJ854" s="32"/>
      <c r="CK854" s="32"/>
      <c r="CL854" s="32"/>
      <c r="CM854" s="32"/>
      <c r="CN854" s="32"/>
      <c r="CO854" s="32"/>
      <c r="CP854" s="32"/>
      <c r="CQ854" s="32"/>
      <c r="CR854" s="32"/>
      <c r="CS854" s="32"/>
      <c r="CT854" s="32"/>
    </row>
    <row r="855" spans="2:98" x14ac:dyDescent="0.2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  <c r="CC855" s="32"/>
      <c r="CD855" s="32"/>
      <c r="CE855" s="32"/>
      <c r="CF855" s="32"/>
      <c r="CG855" s="32"/>
      <c r="CH855" s="32"/>
      <c r="CI855" s="32"/>
      <c r="CJ855" s="32"/>
      <c r="CK855" s="32"/>
      <c r="CL855" s="32"/>
      <c r="CM855" s="32"/>
      <c r="CN855" s="32"/>
      <c r="CO855" s="32"/>
      <c r="CP855" s="32"/>
      <c r="CQ855" s="32"/>
      <c r="CR855" s="32"/>
      <c r="CS855" s="32"/>
      <c r="CT855" s="32"/>
    </row>
    <row r="856" spans="2:98" x14ac:dyDescent="0.25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  <c r="CC856" s="32"/>
      <c r="CD856" s="32"/>
      <c r="CE856" s="32"/>
      <c r="CF856" s="32"/>
      <c r="CG856" s="32"/>
      <c r="CH856" s="32"/>
      <c r="CI856" s="32"/>
      <c r="CJ856" s="32"/>
      <c r="CK856" s="32"/>
      <c r="CL856" s="32"/>
      <c r="CM856" s="32"/>
      <c r="CN856" s="32"/>
      <c r="CO856" s="32"/>
      <c r="CP856" s="32"/>
      <c r="CQ856" s="32"/>
      <c r="CR856" s="32"/>
      <c r="CS856" s="32"/>
      <c r="CT856" s="32"/>
    </row>
    <row r="857" spans="2:98" x14ac:dyDescent="0.25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  <c r="CC857" s="32"/>
      <c r="CD857" s="32"/>
      <c r="CE857" s="32"/>
      <c r="CF857" s="32"/>
      <c r="CG857" s="32"/>
      <c r="CH857" s="32"/>
      <c r="CI857" s="32"/>
      <c r="CJ857" s="32"/>
      <c r="CK857" s="32"/>
      <c r="CL857" s="32"/>
      <c r="CM857" s="32"/>
      <c r="CN857" s="32"/>
      <c r="CO857" s="32"/>
      <c r="CP857" s="32"/>
      <c r="CQ857" s="32"/>
      <c r="CR857" s="32"/>
      <c r="CS857" s="32"/>
      <c r="CT857" s="32"/>
    </row>
    <row r="858" spans="2:98" x14ac:dyDescent="0.25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  <c r="CC858" s="32"/>
      <c r="CD858" s="32"/>
      <c r="CE858" s="32"/>
      <c r="CF858" s="32"/>
      <c r="CG858" s="32"/>
      <c r="CH858" s="32"/>
      <c r="CI858" s="32"/>
      <c r="CJ858" s="32"/>
      <c r="CK858" s="32"/>
      <c r="CL858" s="32"/>
      <c r="CM858" s="32"/>
      <c r="CN858" s="32"/>
      <c r="CO858" s="32"/>
      <c r="CP858" s="32"/>
      <c r="CQ858" s="32"/>
      <c r="CR858" s="32"/>
      <c r="CS858" s="32"/>
      <c r="CT858" s="32"/>
    </row>
    <row r="859" spans="2:98" x14ac:dyDescent="0.25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  <c r="CC859" s="32"/>
      <c r="CD859" s="32"/>
      <c r="CE859" s="32"/>
      <c r="CF859" s="32"/>
      <c r="CG859" s="32"/>
      <c r="CH859" s="32"/>
      <c r="CI859" s="32"/>
      <c r="CJ859" s="32"/>
      <c r="CK859" s="32"/>
      <c r="CL859" s="32"/>
      <c r="CM859" s="32"/>
      <c r="CN859" s="32"/>
      <c r="CO859" s="32"/>
      <c r="CP859" s="32"/>
      <c r="CQ859" s="32"/>
      <c r="CR859" s="32"/>
      <c r="CS859" s="32"/>
      <c r="CT859" s="32"/>
    </row>
    <row r="860" spans="2:98" x14ac:dyDescent="0.25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  <c r="CA860" s="32"/>
      <c r="CB860" s="32"/>
      <c r="CC860" s="32"/>
      <c r="CD860" s="32"/>
      <c r="CE860" s="32"/>
      <c r="CF860" s="32"/>
      <c r="CG860" s="32"/>
      <c r="CH860" s="32"/>
      <c r="CI860" s="32"/>
      <c r="CJ860" s="32"/>
      <c r="CK860" s="32"/>
      <c r="CL860" s="32"/>
      <c r="CM860" s="32"/>
      <c r="CN860" s="32"/>
      <c r="CO860" s="32"/>
      <c r="CP860" s="32"/>
      <c r="CQ860" s="32"/>
      <c r="CR860" s="32"/>
      <c r="CS860" s="32"/>
      <c r="CT860" s="32"/>
    </row>
    <row r="861" spans="2:98" x14ac:dyDescent="0.25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  <c r="CC861" s="32"/>
      <c r="CD861" s="32"/>
      <c r="CE861" s="32"/>
      <c r="CF861" s="32"/>
      <c r="CG861" s="32"/>
      <c r="CH861" s="32"/>
      <c r="CI861" s="32"/>
      <c r="CJ861" s="32"/>
      <c r="CK861" s="32"/>
      <c r="CL861" s="32"/>
      <c r="CM861" s="32"/>
      <c r="CN861" s="32"/>
      <c r="CO861" s="32"/>
      <c r="CP861" s="32"/>
      <c r="CQ861" s="32"/>
      <c r="CR861" s="32"/>
      <c r="CS861" s="32"/>
      <c r="CT861" s="32"/>
    </row>
    <row r="862" spans="2:98" x14ac:dyDescent="0.25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  <c r="CA862" s="32"/>
      <c r="CB862" s="32"/>
      <c r="CC862" s="32"/>
      <c r="CD862" s="32"/>
      <c r="CE862" s="32"/>
      <c r="CF862" s="32"/>
      <c r="CG862" s="32"/>
      <c r="CH862" s="32"/>
      <c r="CI862" s="32"/>
      <c r="CJ862" s="32"/>
      <c r="CK862" s="32"/>
      <c r="CL862" s="32"/>
      <c r="CM862" s="32"/>
      <c r="CN862" s="32"/>
      <c r="CO862" s="32"/>
      <c r="CP862" s="32"/>
      <c r="CQ862" s="32"/>
      <c r="CR862" s="32"/>
      <c r="CS862" s="32"/>
      <c r="CT862" s="32"/>
    </row>
    <row r="863" spans="2:98" x14ac:dyDescent="0.25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  <c r="CA863" s="32"/>
      <c r="CB863" s="32"/>
      <c r="CC863" s="32"/>
      <c r="CD863" s="32"/>
      <c r="CE863" s="32"/>
      <c r="CF863" s="32"/>
      <c r="CG863" s="32"/>
      <c r="CH863" s="32"/>
      <c r="CI863" s="32"/>
      <c r="CJ863" s="32"/>
      <c r="CK863" s="32"/>
      <c r="CL863" s="32"/>
      <c r="CM863" s="32"/>
      <c r="CN863" s="32"/>
      <c r="CO863" s="32"/>
      <c r="CP863" s="32"/>
      <c r="CQ863" s="32"/>
      <c r="CR863" s="32"/>
      <c r="CS863" s="32"/>
      <c r="CT863" s="32"/>
    </row>
    <row r="864" spans="2:98" x14ac:dyDescent="0.25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  <c r="CA864" s="32"/>
      <c r="CB864" s="32"/>
      <c r="CC864" s="32"/>
      <c r="CD864" s="32"/>
      <c r="CE864" s="32"/>
      <c r="CF864" s="32"/>
      <c r="CG864" s="32"/>
      <c r="CH864" s="32"/>
      <c r="CI864" s="32"/>
      <c r="CJ864" s="32"/>
      <c r="CK864" s="32"/>
      <c r="CL864" s="32"/>
      <c r="CM864" s="32"/>
      <c r="CN864" s="32"/>
      <c r="CO864" s="32"/>
      <c r="CP864" s="32"/>
      <c r="CQ864" s="32"/>
      <c r="CR864" s="32"/>
      <c r="CS864" s="32"/>
      <c r="CT864" s="32"/>
    </row>
    <row r="865" spans="2:98" x14ac:dyDescent="0.2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  <c r="CA865" s="32"/>
      <c r="CB865" s="32"/>
      <c r="CC865" s="32"/>
      <c r="CD865" s="32"/>
      <c r="CE865" s="32"/>
      <c r="CF865" s="32"/>
      <c r="CG865" s="32"/>
      <c r="CH865" s="32"/>
      <c r="CI865" s="32"/>
      <c r="CJ865" s="32"/>
      <c r="CK865" s="32"/>
      <c r="CL865" s="32"/>
      <c r="CM865" s="32"/>
      <c r="CN865" s="32"/>
      <c r="CO865" s="32"/>
      <c r="CP865" s="32"/>
      <c r="CQ865" s="32"/>
      <c r="CR865" s="32"/>
      <c r="CS865" s="32"/>
      <c r="CT865" s="32"/>
    </row>
    <row r="866" spans="2:98" x14ac:dyDescent="0.25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  <c r="CC866" s="32"/>
      <c r="CD866" s="32"/>
      <c r="CE866" s="32"/>
      <c r="CF866" s="32"/>
      <c r="CG866" s="32"/>
      <c r="CH866" s="32"/>
      <c r="CI866" s="32"/>
      <c r="CJ866" s="32"/>
      <c r="CK866" s="32"/>
      <c r="CL866" s="32"/>
      <c r="CM866" s="32"/>
      <c r="CN866" s="32"/>
      <c r="CO866" s="32"/>
      <c r="CP866" s="32"/>
      <c r="CQ866" s="32"/>
      <c r="CR866" s="32"/>
      <c r="CS866" s="32"/>
      <c r="CT866" s="32"/>
    </row>
    <row r="867" spans="2:98" x14ac:dyDescent="0.25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  <c r="CC867" s="32"/>
      <c r="CD867" s="32"/>
      <c r="CE867" s="32"/>
      <c r="CF867" s="32"/>
      <c r="CG867" s="32"/>
      <c r="CH867" s="32"/>
      <c r="CI867" s="32"/>
      <c r="CJ867" s="32"/>
      <c r="CK867" s="32"/>
      <c r="CL867" s="32"/>
      <c r="CM867" s="32"/>
      <c r="CN867" s="32"/>
      <c r="CO867" s="32"/>
      <c r="CP867" s="32"/>
      <c r="CQ867" s="32"/>
      <c r="CR867" s="32"/>
      <c r="CS867" s="32"/>
      <c r="CT867" s="32"/>
    </row>
    <row r="868" spans="2:98" x14ac:dyDescent="0.25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  <c r="CA868" s="32"/>
      <c r="CB868" s="32"/>
      <c r="CC868" s="32"/>
      <c r="CD868" s="32"/>
      <c r="CE868" s="32"/>
      <c r="CF868" s="32"/>
      <c r="CG868" s="32"/>
      <c r="CH868" s="32"/>
      <c r="CI868" s="32"/>
      <c r="CJ868" s="32"/>
      <c r="CK868" s="32"/>
      <c r="CL868" s="32"/>
      <c r="CM868" s="32"/>
      <c r="CN868" s="32"/>
      <c r="CO868" s="32"/>
      <c r="CP868" s="32"/>
      <c r="CQ868" s="32"/>
      <c r="CR868" s="32"/>
      <c r="CS868" s="32"/>
      <c r="CT868" s="32"/>
    </row>
    <row r="869" spans="2:98" x14ac:dyDescent="0.25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  <c r="CC869" s="32"/>
      <c r="CD869" s="32"/>
      <c r="CE869" s="32"/>
      <c r="CF869" s="32"/>
      <c r="CG869" s="32"/>
      <c r="CH869" s="32"/>
      <c r="CI869" s="32"/>
      <c r="CJ869" s="32"/>
      <c r="CK869" s="32"/>
      <c r="CL869" s="32"/>
      <c r="CM869" s="32"/>
      <c r="CN869" s="32"/>
      <c r="CO869" s="32"/>
      <c r="CP869" s="32"/>
      <c r="CQ869" s="32"/>
      <c r="CR869" s="32"/>
      <c r="CS869" s="32"/>
      <c r="CT869" s="32"/>
    </row>
    <row r="870" spans="2:98" x14ac:dyDescent="0.25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  <c r="CA870" s="32"/>
      <c r="CB870" s="32"/>
      <c r="CC870" s="32"/>
      <c r="CD870" s="32"/>
      <c r="CE870" s="32"/>
      <c r="CF870" s="32"/>
      <c r="CG870" s="32"/>
      <c r="CH870" s="32"/>
      <c r="CI870" s="32"/>
      <c r="CJ870" s="32"/>
      <c r="CK870" s="32"/>
      <c r="CL870" s="32"/>
      <c r="CM870" s="32"/>
      <c r="CN870" s="32"/>
      <c r="CO870" s="32"/>
      <c r="CP870" s="32"/>
      <c r="CQ870" s="32"/>
      <c r="CR870" s="32"/>
      <c r="CS870" s="32"/>
      <c r="CT870" s="32"/>
    </row>
    <row r="871" spans="2:98" x14ac:dyDescent="0.25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  <c r="CC871" s="32"/>
      <c r="CD871" s="32"/>
      <c r="CE871" s="32"/>
      <c r="CF871" s="32"/>
      <c r="CG871" s="32"/>
      <c r="CH871" s="32"/>
      <c r="CI871" s="32"/>
      <c r="CJ871" s="32"/>
      <c r="CK871" s="32"/>
      <c r="CL871" s="32"/>
      <c r="CM871" s="32"/>
      <c r="CN871" s="32"/>
      <c r="CO871" s="32"/>
      <c r="CP871" s="32"/>
      <c r="CQ871" s="32"/>
      <c r="CR871" s="32"/>
      <c r="CS871" s="32"/>
      <c r="CT871" s="32"/>
    </row>
    <row r="872" spans="2:98" x14ac:dyDescent="0.25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  <c r="CA872" s="32"/>
      <c r="CB872" s="32"/>
      <c r="CC872" s="32"/>
      <c r="CD872" s="32"/>
      <c r="CE872" s="32"/>
      <c r="CF872" s="32"/>
      <c r="CG872" s="32"/>
      <c r="CH872" s="32"/>
      <c r="CI872" s="32"/>
      <c r="CJ872" s="32"/>
      <c r="CK872" s="32"/>
      <c r="CL872" s="32"/>
      <c r="CM872" s="32"/>
      <c r="CN872" s="32"/>
      <c r="CO872" s="32"/>
      <c r="CP872" s="32"/>
      <c r="CQ872" s="32"/>
      <c r="CR872" s="32"/>
      <c r="CS872" s="32"/>
      <c r="CT872" s="32"/>
    </row>
    <row r="873" spans="2:98" x14ac:dyDescent="0.25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  <c r="CA873" s="32"/>
      <c r="CB873" s="32"/>
      <c r="CC873" s="32"/>
      <c r="CD873" s="32"/>
      <c r="CE873" s="32"/>
      <c r="CF873" s="32"/>
      <c r="CG873" s="32"/>
      <c r="CH873" s="32"/>
      <c r="CI873" s="32"/>
      <c r="CJ873" s="32"/>
      <c r="CK873" s="32"/>
      <c r="CL873" s="32"/>
      <c r="CM873" s="32"/>
      <c r="CN873" s="32"/>
      <c r="CO873" s="32"/>
      <c r="CP873" s="32"/>
      <c r="CQ873" s="32"/>
      <c r="CR873" s="32"/>
      <c r="CS873" s="32"/>
      <c r="CT873" s="32"/>
    </row>
    <row r="874" spans="2:98" x14ac:dyDescent="0.25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  <c r="CC874" s="32"/>
      <c r="CD874" s="32"/>
      <c r="CE874" s="32"/>
      <c r="CF874" s="32"/>
      <c r="CG874" s="32"/>
      <c r="CH874" s="32"/>
      <c r="CI874" s="32"/>
      <c r="CJ874" s="32"/>
      <c r="CK874" s="32"/>
      <c r="CL874" s="32"/>
      <c r="CM874" s="32"/>
      <c r="CN874" s="32"/>
      <c r="CO874" s="32"/>
      <c r="CP874" s="32"/>
      <c r="CQ874" s="32"/>
      <c r="CR874" s="32"/>
      <c r="CS874" s="32"/>
      <c r="CT874" s="32"/>
    </row>
    <row r="875" spans="2:98" x14ac:dyDescent="0.2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  <c r="CC875" s="32"/>
      <c r="CD875" s="32"/>
      <c r="CE875" s="32"/>
      <c r="CF875" s="32"/>
      <c r="CG875" s="32"/>
      <c r="CH875" s="32"/>
      <c r="CI875" s="32"/>
      <c r="CJ875" s="32"/>
      <c r="CK875" s="32"/>
      <c r="CL875" s="32"/>
      <c r="CM875" s="32"/>
      <c r="CN875" s="32"/>
      <c r="CO875" s="32"/>
      <c r="CP875" s="32"/>
      <c r="CQ875" s="32"/>
      <c r="CR875" s="32"/>
      <c r="CS875" s="32"/>
      <c r="CT875" s="32"/>
    </row>
    <row r="876" spans="2:98" x14ac:dyDescent="0.25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  <c r="CC876" s="32"/>
      <c r="CD876" s="32"/>
      <c r="CE876" s="32"/>
      <c r="CF876" s="32"/>
      <c r="CG876" s="32"/>
      <c r="CH876" s="32"/>
      <c r="CI876" s="32"/>
      <c r="CJ876" s="32"/>
      <c r="CK876" s="32"/>
      <c r="CL876" s="32"/>
      <c r="CM876" s="32"/>
      <c r="CN876" s="32"/>
      <c r="CO876" s="32"/>
      <c r="CP876" s="32"/>
      <c r="CQ876" s="32"/>
      <c r="CR876" s="32"/>
      <c r="CS876" s="32"/>
      <c r="CT876" s="32"/>
    </row>
    <row r="877" spans="2:98" x14ac:dyDescent="0.25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  <c r="CC877" s="32"/>
      <c r="CD877" s="32"/>
      <c r="CE877" s="32"/>
      <c r="CF877" s="32"/>
      <c r="CG877" s="32"/>
      <c r="CH877" s="32"/>
      <c r="CI877" s="32"/>
      <c r="CJ877" s="32"/>
      <c r="CK877" s="32"/>
      <c r="CL877" s="32"/>
      <c r="CM877" s="32"/>
      <c r="CN877" s="32"/>
      <c r="CO877" s="32"/>
      <c r="CP877" s="32"/>
      <c r="CQ877" s="32"/>
      <c r="CR877" s="32"/>
      <c r="CS877" s="32"/>
      <c r="CT877" s="32"/>
    </row>
    <row r="878" spans="2:98" x14ac:dyDescent="0.25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CC878" s="32"/>
      <c r="CD878" s="32"/>
      <c r="CE878" s="32"/>
      <c r="CF878" s="32"/>
      <c r="CG878" s="32"/>
      <c r="CH878" s="32"/>
      <c r="CI878" s="32"/>
      <c r="CJ878" s="32"/>
      <c r="CK878" s="32"/>
      <c r="CL878" s="32"/>
      <c r="CM878" s="32"/>
      <c r="CN878" s="32"/>
      <c r="CO878" s="32"/>
      <c r="CP878" s="32"/>
      <c r="CQ878" s="32"/>
      <c r="CR878" s="32"/>
      <c r="CS878" s="32"/>
      <c r="CT878" s="32"/>
    </row>
  </sheetData>
  <mergeCells count="12">
    <mergeCell ref="C52:D52"/>
    <mergeCell ref="N76:N80"/>
    <mergeCell ref="P76:P80"/>
    <mergeCell ref="O78:O80"/>
    <mergeCell ref="C82:D82"/>
    <mergeCell ref="O14:O16"/>
    <mergeCell ref="C18:D18"/>
    <mergeCell ref="N12:N16"/>
    <mergeCell ref="P12:P16"/>
    <mergeCell ref="N46:N50"/>
    <mergeCell ref="P46:P50"/>
    <mergeCell ref="O48:O50"/>
  </mergeCells>
  <pageMargins left="0.7" right="0.2" top="0.25" bottom="0.25" header="0.3" footer="0.3"/>
  <pageSetup scale="5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"/>
  <sheetViews>
    <sheetView zoomScaleNormal="100" workbookViewId="0">
      <selection activeCell="C102" sqref="C102"/>
    </sheetView>
  </sheetViews>
  <sheetFormatPr defaultColWidth="9.140625" defaultRowHeight="15" x14ac:dyDescent="0.25"/>
  <cols>
    <col min="1" max="1" width="1.7109375" style="36" customWidth="1"/>
    <col min="2" max="2" width="6.85546875" style="36" customWidth="1"/>
    <col min="3" max="3" width="19.5703125" style="36" customWidth="1"/>
    <col min="4" max="4" width="8.7109375" style="36" customWidth="1"/>
    <col min="5" max="5" width="13.5703125" style="36" customWidth="1"/>
    <col min="6" max="6" width="14.5703125" style="36" customWidth="1"/>
    <col min="7" max="7" width="17.140625" style="36" customWidth="1"/>
    <col min="8" max="8" width="14.5703125" style="36" customWidth="1"/>
    <col min="9" max="9" width="13.140625" style="36" customWidth="1"/>
    <col min="10" max="10" width="12.7109375" style="36" customWidth="1"/>
    <col min="11" max="11" width="13.28515625" style="36" customWidth="1"/>
    <col min="12" max="12" width="14.7109375" style="36" customWidth="1"/>
    <col min="13" max="13" width="3.85546875" style="36" customWidth="1"/>
    <col min="14" max="14" width="14.7109375" style="36" customWidth="1"/>
    <col min="15" max="15" width="14.28515625" style="36" customWidth="1"/>
    <col min="16" max="16" width="14.85546875" style="36" customWidth="1"/>
    <col min="17" max="16384" width="9.140625" style="36"/>
  </cols>
  <sheetData>
    <row r="1" spans="2:16" ht="14.45" x14ac:dyDescent="0.3">
      <c r="B1" s="240" t="s">
        <v>157</v>
      </c>
    </row>
    <row r="2" spans="2:16" ht="14.45" x14ac:dyDescent="0.3">
      <c r="B2" s="313" t="s">
        <v>214</v>
      </c>
    </row>
    <row r="3" spans="2:16" ht="14.45" x14ac:dyDescent="0.3">
      <c r="B3" s="240" t="s">
        <v>130</v>
      </c>
    </row>
    <row r="4" spans="2:16" thickBot="1" x14ac:dyDescent="0.35"/>
    <row r="5" spans="2:16" ht="18" x14ac:dyDescent="0.35">
      <c r="B5" s="193" t="s">
        <v>158</v>
      </c>
      <c r="C5" s="194"/>
      <c r="D5" s="194"/>
      <c r="E5" s="194"/>
      <c r="F5" s="263">
        <f>VLOOKUP(D7,'List of ROE by TO'!$B$8:$D$29,3,FALSE)</f>
        <v>0.12379999999999999</v>
      </c>
      <c r="G5" s="194"/>
      <c r="H5" s="194"/>
      <c r="I5" s="194"/>
      <c r="J5" s="194"/>
      <c r="K5" s="194"/>
      <c r="L5" s="195"/>
    </row>
    <row r="6" spans="2:16" ht="14.45" x14ac:dyDescent="0.3">
      <c r="B6" s="196" t="s">
        <v>77</v>
      </c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2:16" ht="18" x14ac:dyDescent="0.35">
      <c r="B7" s="196"/>
      <c r="C7" s="199" t="s">
        <v>19</v>
      </c>
      <c r="D7" s="234" t="str">
        <f>'2016 TU'!A1</f>
        <v>SIGECO/Vectren</v>
      </c>
      <c r="E7" s="197"/>
      <c r="F7" s="197"/>
      <c r="G7" s="197"/>
      <c r="H7" s="197"/>
      <c r="I7" s="197"/>
      <c r="J7" s="197"/>
      <c r="K7" s="197"/>
      <c r="L7" s="198"/>
    </row>
    <row r="8" spans="2:16" ht="14.45" x14ac:dyDescent="0.3">
      <c r="B8" s="163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  <c r="L8" s="200" t="s">
        <v>31</v>
      </c>
    </row>
    <row r="9" spans="2:16" ht="14.45" x14ac:dyDescent="0.3">
      <c r="B9" s="201"/>
      <c r="C9" s="38"/>
      <c r="D9" s="38"/>
      <c r="E9" s="38"/>
      <c r="F9" s="38"/>
      <c r="G9" s="39" t="s">
        <v>32</v>
      </c>
      <c r="H9" s="38"/>
      <c r="I9" s="38"/>
      <c r="J9" s="38"/>
      <c r="K9" s="38"/>
      <c r="L9" s="202"/>
    </row>
    <row r="10" spans="2:16" ht="14.45" x14ac:dyDescent="0.3">
      <c r="B10" s="203"/>
      <c r="C10" s="40"/>
      <c r="D10" s="40"/>
      <c r="E10" s="40"/>
      <c r="F10" s="2" t="s">
        <v>33</v>
      </c>
      <c r="G10" s="2" t="s">
        <v>78</v>
      </c>
      <c r="H10" s="2" t="s">
        <v>32</v>
      </c>
      <c r="I10" s="2" t="s">
        <v>35</v>
      </c>
      <c r="J10" s="2"/>
      <c r="K10" s="2"/>
      <c r="L10" s="204"/>
    </row>
    <row r="11" spans="2:16" ht="14.45" x14ac:dyDescent="0.3">
      <c r="B11" s="203"/>
      <c r="C11" s="40"/>
      <c r="D11" s="2" t="s">
        <v>37</v>
      </c>
      <c r="E11" s="2" t="s">
        <v>32</v>
      </c>
      <c r="F11" s="2" t="s">
        <v>38</v>
      </c>
      <c r="G11" s="2" t="s">
        <v>39</v>
      </c>
      <c r="H11" s="2" t="s">
        <v>38</v>
      </c>
      <c r="I11" s="2" t="s">
        <v>40</v>
      </c>
      <c r="J11" s="2"/>
      <c r="K11" s="2"/>
      <c r="L11" s="200"/>
    </row>
    <row r="12" spans="2:16" x14ac:dyDescent="0.25">
      <c r="B12" s="163" t="s">
        <v>42</v>
      </c>
      <c r="C12" s="2" t="s">
        <v>43</v>
      </c>
      <c r="D12" s="2" t="s">
        <v>43</v>
      </c>
      <c r="E12" s="2" t="s">
        <v>78</v>
      </c>
      <c r="F12" s="2" t="s">
        <v>5</v>
      </c>
      <c r="G12" s="2" t="s">
        <v>44</v>
      </c>
      <c r="H12" s="2" t="s">
        <v>5</v>
      </c>
      <c r="I12" s="2" t="s">
        <v>45</v>
      </c>
      <c r="J12" s="2"/>
      <c r="K12" s="2"/>
      <c r="L12" s="200"/>
      <c r="N12" s="337"/>
      <c r="O12" s="16"/>
      <c r="P12" s="337"/>
    </row>
    <row r="13" spans="2:16" ht="17.25" customHeight="1" x14ac:dyDescent="0.25">
      <c r="B13" s="205" t="s">
        <v>47</v>
      </c>
      <c r="C13" s="41" t="s">
        <v>48</v>
      </c>
      <c r="D13" s="41" t="s">
        <v>49</v>
      </c>
      <c r="E13" s="286" t="s">
        <v>198</v>
      </c>
      <c r="F13" s="41" t="s">
        <v>50</v>
      </c>
      <c r="G13" s="41" t="s">
        <v>51</v>
      </c>
      <c r="H13" s="41" t="s">
        <v>50</v>
      </c>
      <c r="I13" s="41" t="s">
        <v>52</v>
      </c>
      <c r="J13" s="41"/>
      <c r="K13" s="41"/>
      <c r="L13" s="206"/>
      <c r="N13" s="337"/>
      <c r="O13" s="16"/>
      <c r="P13" s="337"/>
    </row>
    <row r="14" spans="2:16" x14ac:dyDescent="0.25">
      <c r="B14" s="203"/>
      <c r="C14" s="40"/>
      <c r="D14" s="40"/>
      <c r="E14" s="40"/>
      <c r="F14" s="42" t="s">
        <v>33</v>
      </c>
      <c r="G14" s="42" t="s">
        <v>53</v>
      </c>
      <c r="H14" s="42" t="s">
        <v>32</v>
      </c>
      <c r="I14" s="40"/>
      <c r="J14" s="40"/>
      <c r="K14" s="40"/>
      <c r="L14" s="204"/>
      <c r="N14" s="337"/>
      <c r="O14" s="337"/>
      <c r="P14" s="337"/>
    </row>
    <row r="15" spans="2:16" ht="15" customHeight="1" x14ac:dyDescent="0.25">
      <c r="B15" s="203"/>
      <c r="C15" s="40"/>
      <c r="D15" s="40"/>
      <c r="E15" s="40"/>
      <c r="F15" s="42" t="s">
        <v>78</v>
      </c>
      <c r="G15" s="42" t="s">
        <v>54</v>
      </c>
      <c r="H15" s="42" t="s">
        <v>78</v>
      </c>
      <c r="I15" s="40"/>
      <c r="J15" s="42"/>
      <c r="K15" s="42"/>
      <c r="L15" s="204"/>
      <c r="N15" s="337"/>
      <c r="O15" s="337"/>
      <c r="P15" s="337"/>
    </row>
    <row r="16" spans="2:16" ht="17.25" x14ac:dyDescent="0.25">
      <c r="B16" s="207"/>
      <c r="C16" s="43"/>
      <c r="D16" s="43"/>
      <c r="E16" s="43"/>
      <c r="F16" s="44" t="s">
        <v>79</v>
      </c>
      <c r="G16" s="44" t="s">
        <v>57</v>
      </c>
      <c r="H16" s="44" t="s">
        <v>79</v>
      </c>
      <c r="I16" s="44" t="s">
        <v>58</v>
      </c>
      <c r="J16" s="44"/>
      <c r="K16" s="44"/>
      <c r="L16" s="206"/>
      <c r="N16" s="337"/>
      <c r="O16" s="337"/>
      <c r="P16" s="337"/>
    </row>
    <row r="17" spans="2:16" ht="9.75" customHeight="1" x14ac:dyDescent="0.3">
      <c r="B17" s="201"/>
      <c r="C17" s="38"/>
      <c r="D17" s="38"/>
      <c r="E17" s="38"/>
      <c r="F17" s="38"/>
      <c r="G17" s="38"/>
      <c r="H17" s="38"/>
      <c r="I17" s="38"/>
      <c r="J17" s="38"/>
      <c r="K17" s="38"/>
      <c r="L17" s="202"/>
    </row>
    <row r="18" spans="2:16" ht="32.25" customHeight="1" x14ac:dyDescent="0.3">
      <c r="B18" s="208">
        <v>1</v>
      </c>
      <c r="C18" s="336" t="s">
        <v>80</v>
      </c>
      <c r="D18" s="336"/>
      <c r="E18" s="35">
        <f>'2016 TU'!E103</f>
        <v>0</v>
      </c>
      <c r="F18" s="40"/>
      <c r="G18" s="40"/>
      <c r="H18" s="40"/>
      <c r="I18" s="40"/>
      <c r="J18" s="40"/>
      <c r="K18" s="40"/>
      <c r="L18" s="204"/>
      <c r="N18" s="16"/>
      <c r="O18" s="33"/>
      <c r="P18" s="16"/>
    </row>
    <row r="19" spans="2:16" ht="6.75" customHeight="1" x14ac:dyDescent="0.3">
      <c r="B19" s="163"/>
      <c r="C19" s="40"/>
      <c r="D19" s="40"/>
      <c r="E19" s="40"/>
      <c r="F19" s="40"/>
      <c r="G19" s="40"/>
      <c r="H19" s="40"/>
      <c r="I19" s="40"/>
      <c r="J19" s="40"/>
      <c r="K19" s="40"/>
      <c r="L19" s="204"/>
      <c r="N19" s="33"/>
      <c r="O19" s="16"/>
      <c r="P19" s="16"/>
    </row>
    <row r="20" spans="2:16" ht="14.45" x14ac:dyDescent="0.3">
      <c r="B20" s="163" t="s">
        <v>63</v>
      </c>
      <c r="C20" s="26" t="s">
        <v>73</v>
      </c>
      <c r="D20" s="244">
        <v>0</v>
      </c>
      <c r="E20" s="46"/>
      <c r="F20" s="246">
        <v>0</v>
      </c>
      <c r="G20" s="46">
        <f t="shared" ref="G20:G28" si="0">IF(F20=0,0,ROUND($E$18*(F20/$F$30),0))</f>
        <v>0</v>
      </c>
      <c r="H20" s="246">
        <v>0</v>
      </c>
      <c r="I20" s="47">
        <f>ROUND(+H20-G20,0)</f>
        <v>0</v>
      </c>
      <c r="J20" s="48"/>
      <c r="K20" s="47"/>
      <c r="L20" s="209"/>
      <c r="N20" s="34"/>
      <c r="O20" s="16"/>
      <c r="P20" s="34"/>
    </row>
    <row r="21" spans="2:16" ht="14.45" x14ac:dyDescent="0.3">
      <c r="B21" s="163" t="s">
        <v>64</v>
      </c>
      <c r="C21" s="26" t="s">
        <v>74</v>
      </c>
      <c r="D21" s="244">
        <v>0</v>
      </c>
      <c r="E21" s="46"/>
      <c r="F21" s="246">
        <v>0</v>
      </c>
      <c r="G21" s="46">
        <f t="shared" si="0"/>
        <v>0</v>
      </c>
      <c r="H21" s="246">
        <v>0</v>
      </c>
      <c r="I21" s="47">
        <f t="shared" ref="I21:I28" si="1">ROUND(+H21-G21,0)</f>
        <v>0</v>
      </c>
      <c r="J21" s="48"/>
      <c r="K21" s="47"/>
      <c r="L21" s="209"/>
      <c r="N21" s="34"/>
      <c r="O21" s="16"/>
      <c r="P21" s="34"/>
    </row>
    <row r="22" spans="2:16" ht="14.45" x14ac:dyDescent="0.3">
      <c r="B22" s="163" t="s">
        <v>65</v>
      </c>
      <c r="C22" s="26" t="s">
        <v>75</v>
      </c>
      <c r="D22" s="244">
        <v>0</v>
      </c>
      <c r="E22" s="46"/>
      <c r="F22" s="246">
        <v>0</v>
      </c>
      <c r="G22" s="46">
        <f t="shared" si="0"/>
        <v>0</v>
      </c>
      <c r="H22" s="246">
        <v>0</v>
      </c>
      <c r="I22" s="47">
        <f t="shared" si="1"/>
        <v>0</v>
      </c>
      <c r="J22" s="48"/>
      <c r="K22" s="47"/>
      <c r="L22" s="209"/>
      <c r="N22" s="34"/>
      <c r="O22" s="16"/>
      <c r="P22" s="34"/>
    </row>
    <row r="23" spans="2:16" ht="14.45" x14ac:dyDescent="0.3">
      <c r="B23" s="163" t="s">
        <v>66</v>
      </c>
      <c r="C23" s="26" t="s">
        <v>76</v>
      </c>
      <c r="D23" s="244">
        <v>0</v>
      </c>
      <c r="E23" s="46"/>
      <c r="F23" s="246">
        <v>0</v>
      </c>
      <c r="G23" s="46">
        <f t="shared" si="0"/>
        <v>0</v>
      </c>
      <c r="H23" s="246">
        <v>0</v>
      </c>
      <c r="I23" s="47">
        <f t="shared" si="1"/>
        <v>0</v>
      </c>
      <c r="J23" s="48"/>
      <c r="K23" s="47"/>
      <c r="L23" s="209"/>
      <c r="N23" s="34"/>
      <c r="O23" s="16"/>
      <c r="P23" s="34"/>
    </row>
    <row r="24" spans="2:16" ht="14.45" x14ac:dyDescent="0.3">
      <c r="B24" s="163" t="s">
        <v>81</v>
      </c>
      <c r="C24" s="26" t="s">
        <v>185</v>
      </c>
      <c r="D24" s="244">
        <v>0</v>
      </c>
      <c r="E24" s="46"/>
      <c r="F24" s="246">
        <v>0</v>
      </c>
      <c r="G24" s="46">
        <f t="shared" si="0"/>
        <v>0</v>
      </c>
      <c r="H24" s="246">
        <v>0</v>
      </c>
      <c r="I24" s="47">
        <f t="shared" si="1"/>
        <v>0</v>
      </c>
      <c r="J24" s="48"/>
      <c r="K24" s="47"/>
      <c r="L24" s="209"/>
      <c r="N24" s="34"/>
      <c r="P24" s="34"/>
    </row>
    <row r="25" spans="2:16" ht="14.45" x14ac:dyDescent="0.3">
      <c r="B25" s="163" t="s">
        <v>82</v>
      </c>
      <c r="C25" s="26" t="s">
        <v>186</v>
      </c>
      <c r="D25" s="244">
        <v>0</v>
      </c>
      <c r="E25" s="40"/>
      <c r="F25" s="246">
        <v>0</v>
      </c>
      <c r="G25" s="46">
        <f t="shared" si="0"/>
        <v>0</v>
      </c>
      <c r="H25" s="246">
        <v>0</v>
      </c>
      <c r="I25" s="47">
        <f t="shared" si="1"/>
        <v>0</v>
      </c>
      <c r="J25" s="48"/>
      <c r="K25" s="47"/>
      <c r="L25" s="209"/>
      <c r="N25" s="34"/>
      <c r="P25" s="34"/>
    </row>
    <row r="26" spans="2:16" ht="14.45" x14ac:dyDescent="0.3">
      <c r="B26" s="163" t="s">
        <v>83</v>
      </c>
      <c r="C26" s="26" t="s">
        <v>187</v>
      </c>
      <c r="D26" s="244">
        <v>0</v>
      </c>
      <c r="E26" s="40"/>
      <c r="F26" s="246">
        <v>0</v>
      </c>
      <c r="G26" s="46">
        <f t="shared" si="0"/>
        <v>0</v>
      </c>
      <c r="H26" s="246">
        <v>0</v>
      </c>
      <c r="I26" s="47">
        <f t="shared" si="1"/>
        <v>0</v>
      </c>
      <c r="J26" s="48"/>
      <c r="K26" s="47"/>
      <c r="L26" s="209"/>
      <c r="N26" s="34"/>
      <c r="P26" s="34"/>
    </row>
    <row r="27" spans="2:16" ht="14.45" x14ac:dyDescent="0.3">
      <c r="B27" s="277" t="s">
        <v>84</v>
      </c>
      <c r="C27" s="26" t="s">
        <v>188</v>
      </c>
      <c r="D27" s="244">
        <v>0</v>
      </c>
      <c r="E27" s="40"/>
      <c r="F27" s="246">
        <v>0</v>
      </c>
      <c r="G27" s="46">
        <f t="shared" si="0"/>
        <v>0</v>
      </c>
      <c r="H27" s="246">
        <v>0</v>
      </c>
      <c r="I27" s="47">
        <f t="shared" si="1"/>
        <v>0</v>
      </c>
      <c r="J27" s="48"/>
      <c r="K27" s="47"/>
      <c r="L27" s="209"/>
      <c r="N27" s="34"/>
      <c r="P27" s="34"/>
    </row>
    <row r="28" spans="2:16" x14ac:dyDescent="0.25">
      <c r="B28" s="277" t="s">
        <v>85</v>
      </c>
      <c r="C28" s="45"/>
      <c r="D28" s="244">
        <v>0</v>
      </c>
      <c r="E28" s="40"/>
      <c r="F28" s="246">
        <v>0</v>
      </c>
      <c r="G28" s="46">
        <f t="shared" si="0"/>
        <v>0</v>
      </c>
      <c r="H28" s="246">
        <v>0</v>
      </c>
      <c r="I28" s="47">
        <f t="shared" si="1"/>
        <v>0</v>
      </c>
      <c r="J28" s="48"/>
      <c r="K28" s="47"/>
      <c r="L28" s="209"/>
      <c r="N28" s="34"/>
      <c r="P28" s="34"/>
    </row>
    <row r="29" spans="2:16" x14ac:dyDescent="0.25">
      <c r="B29" s="205"/>
      <c r="C29" s="43"/>
      <c r="D29" s="43"/>
      <c r="E29" s="43"/>
      <c r="F29" s="43"/>
      <c r="G29" s="43"/>
      <c r="H29" s="43"/>
      <c r="I29" s="43"/>
      <c r="J29" s="43"/>
      <c r="K29" s="43"/>
      <c r="L29" s="210"/>
    </row>
    <row r="30" spans="2:16" x14ac:dyDescent="0.25">
      <c r="B30" s="163">
        <v>3</v>
      </c>
      <c r="C30" s="40" t="s">
        <v>67</v>
      </c>
      <c r="D30" s="40"/>
      <c r="E30" s="211"/>
      <c r="F30" s="211">
        <f>SUM(F20:F29)</f>
        <v>0</v>
      </c>
      <c r="G30" s="211">
        <f>SUM(G20:G29)</f>
        <v>0</v>
      </c>
      <c r="H30" s="211">
        <f>SUM(H20:H29)</f>
        <v>0</v>
      </c>
      <c r="I30" s="211"/>
      <c r="J30" s="40"/>
      <c r="K30" s="40"/>
      <c r="L30" s="204"/>
    </row>
    <row r="31" spans="2:16" x14ac:dyDescent="0.25">
      <c r="B31" s="163">
        <v>4</v>
      </c>
      <c r="C31" s="40" t="s">
        <v>68</v>
      </c>
      <c r="D31" s="40"/>
      <c r="E31" s="40"/>
      <c r="F31" s="40"/>
      <c r="G31" s="40"/>
      <c r="H31" s="40"/>
      <c r="I31" s="211">
        <f>SUM(I20:I29)</f>
        <v>0</v>
      </c>
      <c r="J31" s="40"/>
      <c r="K31" s="211"/>
      <c r="L31" s="212"/>
      <c r="N31" s="49"/>
      <c r="P31" s="49"/>
    </row>
    <row r="32" spans="2:16" ht="15.75" customHeight="1" x14ac:dyDescent="0.25">
      <c r="B32" s="213" t="s">
        <v>70</v>
      </c>
      <c r="C32" s="40" t="s">
        <v>87</v>
      </c>
      <c r="D32" s="40"/>
      <c r="E32" s="40"/>
      <c r="F32" s="40"/>
      <c r="G32" s="40"/>
      <c r="H32" s="40"/>
      <c r="I32" s="40"/>
      <c r="J32" s="40"/>
      <c r="K32" s="40"/>
      <c r="L32" s="204"/>
    </row>
    <row r="33" spans="2:12" ht="15.75" customHeight="1" x14ac:dyDescent="0.25">
      <c r="B33" s="213"/>
      <c r="C33" s="288" t="s">
        <v>195</v>
      </c>
      <c r="D33" s="40"/>
      <c r="E33" s="40"/>
      <c r="F33" s="40"/>
      <c r="G33" s="40"/>
      <c r="H33" s="40"/>
      <c r="I33" s="40"/>
      <c r="J33" s="40"/>
      <c r="K33" s="40"/>
      <c r="L33" s="204"/>
    </row>
    <row r="34" spans="2:12" ht="15.75" customHeight="1" thickBot="1" x14ac:dyDescent="0.3">
      <c r="B34" s="214" t="s">
        <v>71</v>
      </c>
      <c r="C34" s="215" t="s">
        <v>72</v>
      </c>
      <c r="D34" s="215"/>
      <c r="E34" s="215"/>
      <c r="F34" s="215"/>
      <c r="G34" s="215"/>
      <c r="H34" s="215"/>
      <c r="I34" s="215"/>
      <c r="J34" s="215"/>
      <c r="K34" s="215"/>
      <c r="L34" s="216"/>
    </row>
    <row r="35" spans="2:12" ht="15.75" customHeight="1" thickBot="1" x14ac:dyDescent="0.3"/>
    <row r="36" spans="2:12" ht="15.75" customHeight="1" x14ac:dyDescent="0.3">
      <c r="B36" s="217" t="s">
        <v>158</v>
      </c>
      <c r="C36" s="218"/>
      <c r="D36" s="218"/>
      <c r="E36" s="218"/>
      <c r="F36" s="264">
        <f>VLOOKUP(D38,'List of ROE by TO'!$B$8:$E$29,4,FALSE)</f>
        <v>0.1082</v>
      </c>
      <c r="G36" s="218"/>
      <c r="H36" s="218"/>
      <c r="I36" s="218"/>
      <c r="J36" s="218"/>
      <c r="K36" s="218"/>
      <c r="L36" s="219"/>
    </row>
    <row r="37" spans="2:12" ht="15.75" customHeight="1" x14ac:dyDescent="0.25">
      <c r="B37" s="220" t="s">
        <v>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2"/>
    </row>
    <row r="38" spans="2:12" ht="15.75" customHeight="1" x14ac:dyDescent="0.3">
      <c r="B38" s="220"/>
      <c r="C38" s="223" t="s">
        <v>19</v>
      </c>
      <c r="D38" s="235" t="str">
        <f>D7</f>
        <v>SIGECO/Vectren</v>
      </c>
      <c r="E38" s="221"/>
      <c r="F38" s="221"/>
      <c r="G38" s="221"/>
      <c r="H38" s="221"/>
      <c r="I38" s="221"/>
      <c r="J38" s="221"/>
      <c r="K38" s="221"/>
      <c r="L38" s="222"/>
    </row>
    <row r="39" spans="2:12" ht="15.75" customHeight="1" x14ac:dyDescent="0.25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2"/>
    </row>
    <row r="40" spans="2:12" ht="15.75" customHeight="1" x14ac:dyDescent="0.25">
      <c r="B40" s="163" t="s">
        <v>21</v>
      </c>
      <c r="C40" s="2" t="s">
        <v>22</v>
      </c>
      <c r="D40" s="2" t="s">
        <v>23</v>
      </c>
      <c r="E40" s="2" t="s">
        <v>24</v>
      </c>
      <c r="F40" s="2" t="s">
        <v>25</v>
      </c>
      <c r="G40" s="2" t="s">
        <v>26</v>
      </c>
      <c r="H40" s="2" t="s">
        <v>27</v>
      </c>
      <c r="I40" s="2" t="s">
        <v>28</v>
      </c>
      <c r="J40" s="2" t="s">
        <v>29</v>
      </c>
      <c r="K40" s="2" t="s">
        <v>30</v>
      </c>
      <c r="L40" s="200" t="s">
        <v>31</v>
      </c>
    </row>
    <row r="41" spans="2:12" ht="15.75" customHeight="1" x14ac:dyDescent="0.25">
      <c r="B41" s="201"/>
      <c r="C41" s="38"/>
      <c r="D41" s="38"/>
      <c r="E41" s="38"/>
      <c r="F41" s="38"/>
      <c r="G41" s="39" t="s">
        <v>32</v>
      </c>
      <c r="H41" s="38"/>
      <c r="I41" s="38"/>
      <c r="J41" s="38"/>
      <c r="K41" s="38"/>
      <c r="L41" s="202"/>
    </row>
    <row r="42" spans="2:12" ht="15.75" customHeight="1" x14ac:dyDescent="0.25">
      <c r="B42" s="203"/>
      <c r="C42" s="40"/>
      <c r="D42" s="40"/>
      <c r="E42" s="40"/>
      <c r="F42" s="2" t="s">
        <v>33</v>
      </c>
      <c r="G42" s="2" t="s">
        <v>78</v>
      </c>
      <c r="H42" s="2" t="s">
        <v>32</v>
      </c>
      <c r="I42" s="2" t="s">
        <v>35</v>
      </c>
      <c r="J42" s="2"/>
      <c r="K42" s="2"/>
      <c r="L42" s="204"/>
    </row>
    <row r="43" spans="2:12" ht="15.75" customHeight="1" x14ac:dyDescent="0.25">
      <c r="B43" s="203"/>
      <c r="C43" s="40"/>
      <c r="D43" s="2" t="s">
        <v>37</v>
      </c>
      <c r="E43" s="2" t="s">
        <v>32</v>
      </c>
      <c r="F43" s="2" t="s">
        <v>38</v>
      </c>
      <c r="G43" s="2" t="s">
        <v>39</v>
      </c>
      <c r="H43" s="2" t="s">
        <v>38</v>
      </c>
      <c r="I43" s="2" t="s">
        <v>40</v>
      </c>
      <c r="J43" s="2"/>
      <c r="K43" s="2"/>
      <c r="L43" s="200"/>
    </row>
    <row r="44" spans="2:12" x14ac:dyDescent="0.25">
      <c r="B44" s="163" t="s">
        <v>42</v>
      </c>
      <c r="C44" s="2" t="s">
        <v>43</v>
      </c>
      <c r="D44" s="2" t="s">
        <v>43</v>
      </c>
      <c r="E44" s="2" t="s">
        <v>78</v>
      </c>
      <c r="F44" s="2" t="s">
        <v>5</v>
      </c>
      <c r="G44" s="2" t="s">
        <v>44</v>
      </c>
      <c r="H44" s="2" t="s">
        <v>5</v>
      </c>
      <c r="I44" s="2" t="s">
        <v>45</v>
      </c>
      <c r="J44" s="2"/>
      <c r="K44" s="2"/>
      <c r="L44" s="200"/>
    </row>
    <row r="45" spans="2:12" ht="17.25" x14ac:dyDescent="0.25">
      <c r="B45" s="205" t="s">
        <v>47</v>
      </c>
      <c r="C45" s="41" t="s">
        <v>48</v>
      </c>
      <c r="D45" s="41" t="s">
        <v>49</v>
      </c>
      <c r="E45" s="286" t="s">
        <v>196</v>
      </c>
      <c r="F45" s="41" t="s">
        <v>50</v>
      </c>
      <c r="G45" s="41" t="s">
        <v>51</v>
      </c>
      <c r="H45" s="41" t="s">
        <v>50</v>
      </c>
      <c r="I45" s="41" t="s">
        <v>52</v>
      </c>
      <c r="J45" s="41"/>
      <c r="K45" s="41"/>
      <c r="L45" s="206"/>
    </row>
    <row r="46" spans="2:12" x14ac:dyDescent="0.25">
      <c r="B46" s="203"/>
      <c r="C46" s="40"/>
      <c r="D46" s="40"/>
      <c r="E46" s="40"/>
      <c r="F46" s="42" t="s">
        <v>33</v>
      </c>
      <c r="G46" s="42" t="s">
        <v>53</v>
      </c>
      <c r="H46" s="42" t="s">
        <v>32</v>
      </c>
      <c r="I46" s="40"/>
      <c r="J46" s="40"/>
      <c r="K46" s="40"/>
      <c r="L46" s="204"/>
    </row>
    <row r="47" spans="2:12" x14ac:dyDescent="0.25">
      <c r="B47" s="203"/>
      <c r="C47" s="40"/>
      <c r="D47" s="40"/>
      <c r="E47" s="40"/>
      <c r="F47" s="42" t="s">
        <v>78</v>
      </c>
      <c r="G47" s="42" t="s">
        <v>54</v>
      </c>
      <c r="H47" s="42" t="s">
        <v>78</v>
      </c>
      <c r="I47" s="40"/>
      <c r="J47" s="42"/>
      <c r="K47" s="42"/>
      <c r="L47" s="204"/>
    </row>
    <row r="48" spans="2:12" ht="17.25" x14ac:dyDescent="0.25">
      <c r="B48" s="207"/>
      <c r="C48" s="43"/>
      <c r="D48" s="43"/>
      <c r="E48" s="43"/>
      <c r="F48" s="44" t="s">
        <v>79</v>
      </c>
      <c r="G48" s="44" t="s">
        <v>57</v>
      </c>
      <c r="H48" s="44" t="s">
        <v>79</v>
      </c>
      <c r="I48" s="44" t="s">
        <v>58</v>
      </c>
      <c r="J48" s="44"/>
      <c r="K48" s="44"/>
      <c r="L48" s="206"/>
    </row>
    <row r="49" spans="2:12" x14ac:dyDescent="0.25">
      <c r="B49" s="201"/>
      <c r="C49" s="38"/>
      <c r="D49" s="38"/>
      <c r="E49" s="38"/>
      <c r="F49" s="38"/>
      <c r="G49" s="38"/>
      <c r="H49" s="38"/>
      <c r="I49" s="38"/>
      <c r="J49" s="38"/>
      <c r="K49" s="38"/>
      <c r="L49" s="202"/>
    </row>
    <row r="50" spans="2:12" x14ac:dyDescent="0.25">
      <c r="B50" s="208">
        <v>1</v>
      </c>
      <c r="C50" s="336" t="s">
        <v>80</v>
      </c>
      <c r="D50" s="336"/>
      <c r="E50" s="35">
        <f>$E$18</f>
        <v>0</v>
      </c>
      <c r="F50" s="40"/>
      <c r="G50" s="40"/>
      <c r="H50" s="40"/>
      <c r="I50" s="40"/>
      <c r="J50" s="40"/>
      <c r="K50" s="40"/>
      <c r="L50" s="204"/>
    </row>
    <row r="51" spans="2:12" x14ac:dyDescent="0.25">
      <c r="B51" s="163"/>
      <c r="C51" s="40"/>
      <c r="D51" s="40"/>
      <c r="E51" s="40"/>
      <c r="F51" s="40"/>
      <c r="G51" s="40"/>
      <c r="H51" s="40"/>
      <c r="I51" s="40"/>
      <c r="J51" s="40"/>
      <c r="K51" s="40"/>
      <c r="L51" s="204"/>
    </row>
    <row r="52" spans="2:12" x14ac:dyDescent="0.25">
      <c r="B52" s="163" t="s">
        <v>63</v>
      </c>
      <c r="C52" s="26" t="str">
        <f t="shared" ref="C52:D54" si="2">C20</f>
        <v>project 1</v>
      </c>
      <c r="D52" s="247">
        <f t="shared" si="2"/>
        <v>0</v>
      </c>
      <c r="E52" s="46"/>
      <c r="F52" s="246">
        <v>0</v>
      </c>
      <c r="G52" s="46">
        <f t="shared" ref="G52:G60" si="3">IF(F52=0,0,ROUND($E$50*(F52/$F$62),0))</f>
        <v>0</v>
      </c>
      <c r="H52" s="246">
        <v>0</v>
      </c>
      <c r="I52" s="47">
        <f>ROUND(+H52-G52,0)</f>
        <v>0</v>
      </c>
      <c r="J52" s="48"/>
      <c r="K52" s="47"/>
      <c r="L52" s="209"/>
    </row>
    <row r="53" spans="2:12" x14ac:dyDescent="0.25">
      <c r="B53" s="163" t="s">
        <v>64</v>
      </c>
      <c r="C53" s="26" t="str">
        <f t="shared" si="2"/>
        <v>project 2</v>
      </c>
      <c r="D53" s="247">
        <f t="shared" si="2"/>
        <v>0</v>
      </c>
      <c r="E53" s="46"/>
      <c r="F53" s="246">
        <v>0</v>
      </c>
      <c r="G53" s="46">
        <f t="shared" si="3"/>
        <v>0</v>
      </c>
      <c r="H53" s="246">
        <v>0</v>
      </c>
      <c r="I53" s="47">
        <f t="shared" ref="I53:I60" si="4">ROUND(+H53-G53,0)</f>
        <v>0</v>
      </c>
      <c r="J53" s="48"/>
      <c r="K53" s="47"/>
      <c r="L53" s="209"/>
    </row>
    <row r="54" spans="2:12" x14ac:dyDescent="0.25">
      <c r="B54" s="163" t="s">
        <v>65</v>
      </c>
      <c r="C54" s="26" t="str">
        <f t="shared" si="2"/>
        <v>project 3</v>
      </c>
      <c r="D54" s="247">
        <f t="shared" si="2"/>
        <v>0</v>
      </c>
      <c r="E54" s="46"/>
      <c r="F54" s="246">
        <v>0</v>
      </c>
      <c r="G54" s="46">
        <f t="shared" si="3"/>
        <v>0</v>
      </c>
      <c r="H54" s="246">
        <v>0</v>
      </c>
      <c r="I54" s="47">
        <f t="shared" si="4"/>
        <v>0</v>
      </c>
      <c r="J54" s="48"/>
      <c r="K54" s="47"/>
      <c r="L54" s="209"/>
    </row>
    <row r="55" spans="2:12" x14ac:dyDescent="0.25">
      <c r="B55" s="163" t="s">
        <v>66</v>
      </c>
      <c r="C55" s="26" t="str">
        <f>C23</f>
        <v>project 4</v>
      </c>
      <c r="D55" s="247">
        <f t="shared" ref="D55:D60" si="5">D23</f>
        <v>0</v>
      </c>
      <c r="E55" s="46"/>
      <c r="F55" s="246">
        <v>0</v>
      </c>
      <c r="G55" s="46">
        <f t="shared" si="3"/>
        <v>0</v>
      </c>
      <c r="H55" s="246">
        <v>0</v>
      </c>
      <c r="I55" s="47">
        <f t="shared" si="4"/>
        <v>0</v>
      </c>
      <c r="J55" s="48"/>
      <c r="K55" s="47"/>
      <c r="L55" s="209"/>
    </row>
    <row r="56" spans="2:12" x14ac:dyDescent="0.25">
      <c r="B56" s="163" t="s">
        <v>81</v>
      </c>
      <c r="C56" s="26" t="str">
        <f>C24</f>
        <v>project 5</v>
      </c>
      <c r="D56" s="247">
        <f t="shared" si="5"/>
        <v>0</v>
      </c>
      <c r="E56" s="46"/>
      <c r="F56" s="246">
        <v>0</v>
      </c>
      <c r="G56" s="46">
        <f t="shared" si="3"/>
        <v>0</v>
      </c>
      <c r="H56" s="246">
        <v>0</v>
      </c>
      <c r="I56" s="47">
        <f t="shared" si="4"/>
        <v>0</v>
      </c>
      <c r="J56" s="48"/>
      <c r="K56" s="47"/>
      <c r="L56" s="209"/>
    </row>
    <row r="57" spans="2:12" x14ac:dyDescent="0.25">
      <c r="B57" s="163" t="s">
        <v>82</v>
      </c>
      <c r="C57" s="26" t="str">
        <f>C25</f>
        <v>project 6</v>
      </c>
      <c r="D57" s="247">
        <f t="shared" si="5"/>
        <v>0</v>
      </c>
      <c r="E57" s="40"/>
      <c r="F57" s="246">
        <v>0</v>
      </c>
      <c r="G57" s="46">
        <f t="shared" si="3"/>
        <v>0</v>
      </c>
      <c r="H57" s="246">
        <v>0</v>
      </c>
      <c r="I57" s="47">
        <f t="shared" si="4"/>
        <v>0</v>
      </c>
      <c r="J57" s="48"/>
      <c r="K57" s="47"/>
      <c r="L57" s="209"/>
    </row>
    <row r="58" spans="2:12" x14ac:dyDescent="0.25">
      <c r="B58" s="163" t="s">
        <v>83</v>
      </c>
      <c r="C58" s="26" t="str">
        <f>C26</f>
        <v>project 7</v>
      </c>
      <c r="D58" s="247">
        <f t="shared" si="5"/>
        <v>0</v>
      </c>
      <c r="E58" s="40"/>
      <c r="F58" s="246">
        <v>0</v>
      </c>
      <c r="G58" s="46">
        <f t="shared" si="3"/>
        <v>0</v>
      </c>
      <c r="H58" s="246">
        <v>0</v>
      </c>
      <c r="I58" s="47">
        <f t="shared" si="4"/>
        <v>0</v>
      </c>
      <c r="J58" s="48"/>
      <c r="K58" s="47"/>
      <c r="L58" s="209"/>
    </row>
    <row r="59" spans="2:12" x14ac:dyDescent="0.25">
      <c r="B59" s="277" t="s">
        <v>84</v>
      </c>
      <c r="C59" s="26" t="str">
        <f>C27</f>
        <v>project 8</v>
      </c>
      <c r="D59" s="247">
        <f t="shared" si="5"/>
        <v>0</v>
      </c>
      <c r="E59" s="40"/>
      <c r="F59" s="246">
        <v>0</v>
      </c>
      <c r="G59" s="46">
        <f t="shared" si="3"/>
        <v>0</v>
      </c>
      <c r="H59" s="246">
        <v>0</v>
      </c>
      <c r="I59" s="47">
        <f t="shared" si="4"/>
        <v>0</v>
      </c>
      <c r="J59" s="48"/>
      <c r="K59" s="47"/>
      <c r="L59" s="209"/>
    </row>
    <row r="60" spans="2:12" x14ac:dyDescent="0.25">
      <c r="B60" s="277" t="s">
        <v>85</v>
      </c>
      <c r="C60" s="45"/>
      <c r="D60" s="247">
        <f t="shared" si="5"/>
        <v>0</v>
      </c>
      <c r="E60" s="40"/>
      <c r="F60" s="246">
        <v>0</v>
      </c>
      <c r="G60" s="46">
        <f t="shared" si="3"/>
        <v>0</v>
      </c>
      <c r="H60" s="246">
        <v>0</v>
      </c>
      <c r="I60" s="47">
        <f t="shared" si="4"/>
        <v>0</v>
      </c>
      <c r="J60" s="48"/>
      <c r="K60" s="47"/>
      <c r="L60" s="209"/>
    </row>
    <row r="61" spans="2:12" x14ac:dyDescent="0.25">
      <c r="B61" s="205"/>
      <c r="C61" s="43"/>
      <c r="D61" s="43"/>
      <c r="E61" s="43"/>
      <c r="F61" s="43"/>
      <c r="G61" s="43"/>
      <c r="H61" s="43"/>
      <c r="I61" s="43"/>
      <c r="J61" s="43"/>
      <c r="K61" s="43"/>
      <c r="L61" s="210"/>
    </row>
    <row r="62" spans="2:12" x14ac:dyDescent="0.25">
      <c r="B62" s="163">
        <v>3</v>
      </c>
      <c r="C62" s="40" t="s">
        <v>67</v>
      </c>
      <c r="D62" s="40"/>
      <c r="E62" s="211"/>
      <c r="F62" s="211">
        <f>SUM(F52:F61)</f>
        <v>0</v>
      </c>
      <c r="G62" s="211">
        <f>SUM(G52:G61)</f>
        <v>0</v>
      </c>
      <c r="H62" s="211">
        <f>SUM(H52:H61)</f>
        <v>0</v>
      </c>
      <c r="I62" s="211"/>
      <c r="J62" s="40"/>
      <c r="K62" s="40"/>
      <c r="L62" s="204"/>
    </row>
    <row r="63" spans="2:12" ht="15.75" thickBot="1" x14ac:dyDescent="0.3">
      <c r="B63" s="224">
        <v>4</v>
      </c>
      <c r="C63" s="215" t="s">
        <v>68</v>
      </c>
      <c r="D63" s="215"/>
      <c r="E63" s="215"/>
      <c r="F63" s="215"/>
      <c r="G63" s="215"/>
      <c r="H63" s="215"/>
      <c r="I63" s="225">
        <f>SUM(I52:I61)</f>
        <v>0</v>
      </c>
      <c r="J63" s="215"/>
      <c r="K63" s="225"/>
      <c r="L63" s="226"/>
    </row>
    <row r="64" spans="2:12" x14ac:dyDescent="0.25">
      <c r="B64" s="37"/>
    </row>
    <row r="65" spans="2:12" ht="15.75" thickBot="1" x14ac:dyDescent="0.3"/>
    <row r="66" spans="2:12" ht="18.75" x14ac:dyDescent="0.3">
      <c r="B66" s="227" t="s">
        <v>120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9"/>
    </row>
    <row r="67" spans="2:12" x14ac:dyDescent="0.25">
      <c r="B67" s="230" t="s">
        <v>77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2"/>
    </row>
    <row r="68" spans="2:12" x14ac:dyDescent="0.25">
      <c r="B68" s="230"/>
      <c r="C68" s="231"/>
      <c r="D68" s="231"/>
      <c r="E68" s="231"/>
      <c r="F68" s="231"/>
      <c r="G68" s="231"/>
      <c r="H68" s="231"/>
      <c r="I68" s="231"/>
      <c r="J68" s="231"/>
      <c r="K68" s="231"/>
      <c r="L68" s="232"/>
    </row>
    <row r="69" spans="2:12" ht="18.75" x14ac:dyDescent="0.3">
      <c r="B69" s="230"/>
      <c r="C69" s="233" t="s">
        <v>19</v>
      </c>
      <c r="D69" s="236" t="str">
        <f>D7</f>
        <v>SIGECO/Vectren</v>
      </c>
      <c r="E69" s="231"/>
      <c r="F69" s="231">
        <f>VLOOKUP(D69,'List of ROE by TO'!B8:C29,2,FALSE)</f>
        <v>0</v>
      </c>
      <c r="G69" s="231"/>
      <c r="H69" s="231"/>
      <c r="I69" s="231"/>
      <c r="J69" s="231"/>
      <c r="K69" s="231"/>
      <c r="L69" s="232"/>
    </row>
    <row r="70" spans="2:12" x14ac:dyDescent="0.25">
      <c r="B70" s="230"/>
      <c r="C70" s="231"/>
      <c r="D70" s="231"/>
      <c r="E70" s="231"/>
      <c r="F70" s="231"/>
      <c r="G70" s="231"/>
      <c r="H70" s="231"/>
      <c r="I70" s="231"/>
      <c r="J70" s="231"/>
      <c r="K70" s="231"/>
      <c r="L70" s="232"/>
    </row>
    <row r="71" spans="2:12" x14ac:dyDescent="0.25">
      <c r="B71" s="163" t="s">
        <v>21</v>
      </c>
      <c r="C71" s="2" t="s">
        <v>22</v>
      </c>
      <c r="D71" s="2" t="s">
        <v>23</v>
      </c>
      <c r="E71" s="2" t="s">
        <v>24</v>
      </c>
      <c r="F71" s="2" t="s">
        <v>25</v>
      </c>
      <c r="G71" s="2" t="s">
        <v>26</v>
      </c>
      <c r="H71" s="2" t="s">
        <v>27</v>
      </c>
      <c r="I71" s="2" t="s">
        <v>28</v>
      </c>
      <c r="J71" s="2" t="s">
        <v>29</v>
      </c>
      <c r="K71" s="2" t="s">
        <v>30</v>
      </c>
      <c r="L71" s="200" t="s">
        <v>31</v>
      </c>
    </row>
    <row r="72" spans="2:12" x14ac:dyDescent="0.25">
      <c r="B72" s="201"/>
      <c r="C72" s="38"/>
      <c r="D72" s="38"/>
      <c r="E72" s="38"/>
      <c r="F72" s="38"/>
      <c r="G72" s="39" t="s">
        <v>32</v>
      </c>
      <c r="H72" s="38"/>
      <c r="I72" s="38"/>
      <c r="J72" s="38"/>
      <c r="K72" s="38"/>
      <c r="L72" s="202"/>
    </row>
    <row r="73" spans="2:12" x14ac:dyDescent="0.25">
      <c r="B73" s="203"/>
      <c r="C73" s="40"/>
      <c r="D73" s="40"/>
      <c r="E73" s="40"/>
      <c r="F73" s="2" t="s">
        <v>33</v>
      </c>
      <c r="G73" s="2" t="s">
        <v>78</v>
      </c>
      <c r="H73" s="2" t="s">
        <v>32</v>
      </c>
      <c r="I73" s="2" t="s">
        <v>35</v>
      </c>
      <c r="J73" s="2" t="s">
        <v>36</v>
      </c>
      <c r="K73" s="2" t="s">
        <v>35</v>
      </c>
      <c r="L73" s="204"/>
    </row>
    <row r="74" spans="2:12" x14ac:dyDescent="0.25">
      <c r="B74" s="203"/>
      <c r="C74" s="40"/>
      <c r="D74" s="2" t="s">
        <v>37</v>
      </c>
      <c r="E74" s="2" t="s">
        <v>32</v>
      </c>
      <c r="F74" s="2" t="s">
        <v>38</v>
      </c>
      <c r="G74" s="2" t="s">
        <v>39</v>
      </c>
      <c r="H74" s="2" t="s">
        <v>38</v>
      </c>
      <c r="I74" s="2" t="s">
        <v>40</v>
      </c>
      <c r="J74" s="2" t="s">
        <v>41</v>
      </c>
      <c r="K74" s="2" t="s">
        <v>40</v>
      </c>
      <c r="L74" s="200" t="s">
        <v>17</v>
      </c>
    </row>
    <row r="75" spans="2:12" x14ac:dyDescent="0.25">
      <c r="B75" s="163" t="s">
        <v>42</v>
      </c>
      <c r="C75" s="2" t="s">
        <v>43</v>
      </c>
      <c r="D75" s="2" t="s">
        <v>43</v>
      </c>
      <c r="E75" s="2" t="s">
        <v>78</v>
      </c>
      <c r="F75" s="2" t="s">
        <v>5</v>
      </c>
      <c r="G75" s="2" t="s">
        <v>44</v>
      </c>
      <c r="H75" s="2" t="s">
        <v>5</v>
      </c>
      <c r="I75" s="2" t="s">
        <v>45</v>
      </c>
      <c r="J75" s="2" t="s">
        <v>46</v>
      </c>
      <c r="K75" s="2" t="s">
        <v>41</v>
      </c>
      <c r="L75" s="200" t="s">
        <v>35</v>
      </c>
    </row>
    <row r="76" spans="2:12" ht="17.25" x14ac:dyDescent="0.25">
      <c r="B76" s="205" t="s">
        <v>47</v>
      </c>
      <c r="C76" s="41" t="s">
        <v>48</v>
      </c>
      <c r="D76" s="41" t="s">
        <v>49</v>
      </c>
      <c r="E76" s="286" t="s">
        <v>199</v>
      </c>
      <c r="F76" s="41" t="s">
        <v>50</v>
      </c>
      <c r="G76" s="41" t="s">
        <v>51</v>
      </c>
      <c r="H76" s="41" t="s">
        <v>50</v>
      </c>
      <c r="I76" s="41" t="s">
        <v>52</v>
      </c>
      <c r="J76" s="41" t="s">
        <v>52</v>
      </c>
      <c r="K76" s="41" t="s">
        <v>52</v>
      </c>
      <c r="L76" s="206" t="s">
        <v>40</v>
      </c>
    </row>
    <row r="77" spans="2:12" x14ac:dyDescent="0.25">
      <c r="B77" s="203"/>
      <c r="C77" s="40"/>
      <c r="D77" s="40"/>
      <c r="E77" s="40"/>
      <c r="F77" s="42" t="s">
        <v>33</v>
      </c>
      <c r="G77" s="42" t="s">
        <v>53</v>
      </c>
      <c r="H77" s="42" t="s">
        <v>32</v>
      </c>
      <c r="I77" s="40"/>
      <c r="J77" s="40"/>
      <c r="K77" s="40"/>
      <c r="L77" s="204"/>
    </row>
    <row r="78" spans="2:12" x14ac:dyDescent="0.25">
      <c r="B78" s="203"/>
      <c r="C78" s="40"/>
      <c r="D78" s="40"/>
      <c r="E78" s="40"/>
      <c r="F78" s="42" t="s">
        <v>78</v>
      </c>
      <c r="G78" s="42" t="s">
        <v>54</v>
      </c>
      <c r="H78" s="42" t="s">
        <v>78</v>
      </c>
      <c r="I78" s="40"/>
      <c r="J78" s="42"/>
      <c r="K78" s="42" t="s">
        <v>55</v>
      </c>
      <c r="L78" s="204"/>
    </row>
    <row r="79" spans="2:12" ht="17.25" x14ac:dyDescent="0.25">
      <c r="B79" s="207"/>
      <c r="C79" s="43"/>
      <c r="D79" s="43"/>
      <c r="E79" s="43"/>
      <c r="F79" s="44" t="s">
        <v>79</v>
      </c>
      <c r="G79" s="44" t="s">
        <v>57</v>
      </c>
      <c r="H79" s="44" t="s">
        <v>79</v>
      </c>
      <c r="I79" s="44" t="s">
        <v>58</v>
      </c>
      <c r="J79" s="278" t="s">
        <v>184</v>
      </c>
      <c r="K79" s="44" t="s">
        <v>60</v>
      </c>
      <c r="L79" s="206" t="s">
        <v>61</v>
      </c>
    </row>
    <row r="80" spans="2:12" x14ac:dyDescent="0.25">
      <c r="B80" s="201"/>
      <c r="C80" s="38"/>
      <c r="D80" s="38"/>
      <c r="E80" s="38"/>
      <c r="F80" s="38"/>
      <c r="G80" s="38"/>
      <c r="H80" s="38"/>
      <c r="I80" s="38"/>
      <c r="J80" s="38"/>
      <c r="K80" s="38"/>
      <c r="L80" s="202"/>
    </row>
    <row r="81" spans="2:12" x14ac:dyDescent="0.25">
      <c r="B81" s="208">
        <v>1</v>
      </c>
      <c r="C81" s="336" t="s">
        <v>80</v>
      </c>
      <c r="D81" s="336"/>
      <c r="E81" s="35">
        <f>$E$18</f>
        <v>0</v>
      </c>
      <c r="F81" s="40"/>
      <c r="G81" s="40"/>
      <c r="H81" s="40"/>
      <c r="I81" s="40"/>
      <c r="J81" s="40"/>
      <c r="K81" s="40"/>
      <c r="L81" s="204"/>
    </row>
    <row r="82" spans="2:12" x14ac:dyDescent="0.25">
      <c r="B82" s="163"/>
      <c r="C82" s="40"/>
      <c r="D82" s="40"/>
      <c r="E82" s="40"/>
      <c r="F82" s="40"/>
      <c r="G82" s="40"/>
      <c r="H82" s="40"/>
      <c r="I82" s="40"/>
      <c r="J82" s="40"/>
      <c r="K82" s="40"/>
      <c r="L82" s="204"/>
    </row>
    <row r="83" spans="2:12" x14ac:dyDescent="0.25">
      <c r="B83" s="163" t="s">
        <v>63</v>
      </c>
      <c r="C83" s="26" t="str">
        <f t="shared" ref="C83:D85" si="6">C20</f>
        <v>project 1</v>
      </c>
      <c r="D83" s="247">
        <f t="shared" si="6"/>
        <v>0</v>
      </c>
      <c r="E83" s="46"/>
      <c r="F83" s="30">
        <f>ROUND((F20*'2016 TU'!$E$29)+(F52*'2016 TU'!$E$33),0)</f>
        <v>0</v>
      </c>
      <c r="G83" s="46">
        <f t="shared" ref="G83:G91" si="7">IF(F83=0,0,ROUND($E$81*(F83/$F$93),0))</f>
        <v>0</v>
      </c>
      <c r="H83" s="30">
        <f>ROUND((H20*'2016 TU'!$E$29)+(H52*'2016 TU'!$E$33),0)</f>
        <v>0</v>
      </c>
      <c r="I83" s="47">
        <f>ROUND(+H83-G83,0)</f>
        <v>0</v>
      </c>
      <c r="J83" s="36">
        <f>IF($F$69="Individual",IF(I83&gt;0,'2016 TU'!$C$10,'2016 TU'!$C$9),IF($I$94&gt;0,'2016 TU'!$C$10,'2016 TU'!$C$9))</f>
        <v>2.7469999999999999E-3</v>
      </c>
      <c r="K83" s="47">
        <f>ROUND((I83*J83)*24,0)</f>
        <v>0</v>
      </c>
      <c r="L83" s="209">
        <f>ROUND(+I83+K83,0)</f>
        <v>0</v>
      </c>
    </row>
    <row r="84" spans="2:12" x14ac:dyDescent="0.25">
      <c r="B84" s="163" t="s">
        <v>64</v>
      </c>
      <c r="C84" s="26" t="str">
        <f t="shared" si="6"/>
        <v>project 2</v>
      </c>
      <c r="D84" s="247">
        <f t="shared" si="6"/>
        <v>0</v>
      </c>
      <c r="E84" s="46"/>
      <c r="F84" s="30">
        <f>ROUND((F21*'2016 TU'!$E$29)+(F53*'2016 TU'!$E$33),0)</f>
        <v>0</v>
      </c>
      <c r="G84" s="46">
        <f t="shared" si="7"/>
        <v>0</v>
      </c>
      <c r="H84" s="30">
        <f>ROUND((H21*'2016 TU'!$E$29)+(H53*'2016 TU'!$E$33),0)</f>
        <v>0</v>
      </c>
      <c r="I84" s="47">
        <f t="shared" ref="I84:I91" si="8">ROUND(+H84-G84,0)</f>
        <v>0</v>
      </c>
      <c r="J84" s="36">
        <f>IF($F$69="Individual",IF(I84&gt;0,'2016 TU'!$C$10,'2016 TU'!$C$9),IF($I$94&gt;0,'2016 TU'!$C$10,'2016 TU'!$C$9))</f>
        <v>2.7469999999999999E-3</v>
      </c>
      <c r="K84" s="47">
        <f t="shared" ref="K84:K85" si="9">ROUND((I84*J84)*24,0)</f>
        <v>0</v>
      </c>
      <c r="L84" s="209">
        <f t="shared" ref="L84:L91" si="10">ROUND(+I84+K84,0)</f>
        <v>0</v>
      </c>
    </row>
    <row r="85" spans="2:12" x14ac:dyDescent="0.25">
      <c r="B85" s="163" t="s">
        <v>65</v>
      </c>
      <c r="C85" s="26" t="str">
        <f t="shared" si="6"/>
        <v>project 3</v>
      </c>
      <c r="D85" s="247">
        <f t="shared" si="6"/>
        <v>0</v>
      </c>
      <c r="E85" s="46"/>
      <c r="F85" s="30">
        <f>ROUND((F22*'2016 TU'!$E$29)+(F54*'2016 TU'!$E$33),0)</f>
        <v>0</v>
      </c>
      <c r="G85" s="46">
        <f t="shared" si="7"/>
        <v>0</v>
      </c>
      <c r="H85" s="30">
        <f>ROUND((H22*'2016 TU'!$E$29)+(H54*'2016 TU'!$E$33),0)</f>
        <v>0</v>
      </c>
      <c r="I85" s="47">
        <f t="shared" si="8"/>
        <v>0</v>
      </c>
      <c r="J85" s="36">
        <f>IF($F$69="Individual",IF(I85&gt;0,'2016 TU'!$C$10,'2016 TU'!$C$9),IF($I$94&gt;0,'2016 TU'!$C$10,'2016 TU'!$C$9))</f>
        <v>2.7469999999999999E-3</v>
      </c>
      <c r="K85" s="47">
        <f t="shared" si="9"/>
        <v>0</v>
      </c>
      <c r="L85" s="209">
        <f t="shared" si="10"/>
        <v>0</v>
      </c>
    </row>
    <row r="86" spans="2:12" x14ac:dyDescent="0.25">
      <c r="B86" s="163" t="s">
        <v>66</v>
      </c>
      <c r="C86" s="26" t="str">
        <f>C23</f>
        <v>project 4</v>
      </c>
      <c r="D86" s="247">
        <f t="shared" ref="D86:D91" si="11">D23</f>
        <v>0</v>
      </c>
      <c r="E86" s="46"/>
      <c r="F86" s="30">
        <f>ROUND((F23*'2016 TU'!$E$29)+(F55*'2016 TU'!$E$33),0)</f>
        <v>0</v>
      </c>
      <c r="G86" s="46">
        <f t="shared" si="7"/>
        <v>0</v>
      </c>
      <c r="H86" s="30">
        <f>ROUND((H23*'2016 TU'!$E$29)+(H55*'2016 TU'!$E$33),0)</f>
        <v>0</v>
      </c>
      <c r="I86" s="47">
        <f t="shared" si="8"/>
        <v>0</v>
      </c>
      <c r="J86" s="36">
        <f>IF($F$69="Individual",IF(I86&gt;0,'2016 TU'!$C$10,'2016 TU'!$C$9),IF($I$94&gt;0,'2016 TU'!$C$10,'2016 TU'!$C$9))</f>
        <v>2.7469999999999999E-3</v>
      </c>
      <c r="K86" s="47">
        <f>ROUND((I86*J86)*24,0)</f>
        <v>0</v>
      </c>
      <c r="L86" s="209">
        <f t="shared" si="10"/>
        <v>0</v>
      </c>
    </row>
    <row r="87" spans="2:12" x14ac:dyDescent="0.25">
      <c r="B87" s="163" t="s">
        <v>81</v>
      </c>
      <c r="C87" s="26" t="str">
        <f>C24</f>
        <v>project 5</v>
      </c>
      <c r="D87" s="247">
        <f t="shared" si="11"/>
        <v>0</v>
      </c>
      <c r="E87" s="46"/>
      <c r="F87" s="30">
        <f>ROUND((F24*'2016 TU'!$E$29)+(F56*'2016 TU'!$E$33),0)</f>
        <v>0</v>
      </c>
      <c r="G87" s="46">
        <f t="shared" si="7"/>
        <v>0</v>
      </c>
      <c r="H87" s="30">
        <f>ROUND((H24*'2016 TU'!$E$29)+(H56*'2016 TU'!$E$33),0)</f>
        <v>0</v>
      </c>
      <c r="I87" s="47">
        <f t="shared" si="8"/>
        <v>0</v>
      </c>
      <c r="J87" s="36">
        <f>IF($F$69="Individual",IF(I87&gt;0,'2016 TU'!$C$10,'2016 TU'!$C$9),IF($I$94&gt;0,'2016 TU'!$C$10,'2016 TU'!$C$9))</f>
        <v>2.7469999999999999E-3</v>
      </c>
      <c r="K87" s="47">
        <f t="shared" ref="K87:K91" si="12">ROUND((I87*J87)*24,0)</f>
        <v>0</v>
      </c>
      <c r="L87" s="209">
        <f t="shared" si="10"/>
        <v>0</v>
      </c>
    </row>
    <row r="88" spans="2:12" x14ac:dyDescent="0.25">
      <c r="B88" s="163" t="s">
        <v>82</v>
      </c>
      <c r="C88" s="26" t="str">
        <f>C25</f>
        <v>project 6</v>
      </c>
      <c r="D88" s="247">
        <f t="shared" si="11"/>
        <v>0</v>
      </c>
      <c r="E88" s="40"/>
      <c r="F88" s="30">
        <f>ROUND((F25*'2016 TU'!$E$29)+(F57*'2016 TU'!$E$33),0)</f>
        <v>0</v>
      </c>
      <c r="G88" s="46">
        <f t="shared" si="7"/>
        <v>0</v>
      </c>
      <c r="H88" s="30">
        <f>ROUND((H25*'2016 TU'!$E$29)+(H57*'2016 TU'!$E$33),0)</f>
        <v>0</v>
      </c>
      <c r="I88" s="47">
        <f t="shared" si="8"/>
        <v>0</v>
      </c>
      <c r="J88" s="36">
        <f>IF($F$69="Individual",IF(I88&gt;0,'2016 TU'!$C$10,'2016 TU'!$C$9),IF($I$94&gt;0,'2016 TU'!$C$10,'2016 TU'!$C$9))</f>
        <v>2.7469999999999999E-3</v>
      </c>
      <c r="K88" s="47">
        <f t="shared" si="12"/>
        <v>0</v>
      </c>
      <c r="L88" s="209">
        <f t="shared" si="10"/>
        <v>0</v>
      </c>
    </row>
    <row r="89" spans="2:12" x14ac:dyDescent="0.25">
      <c r="B89" s="163" t="s">
        <v>83</v>
      </c>
      <c r="C89" s="26" t="str">
        <f>C26</f>
        <v>project 7</v>
      </c>
      <c r="D89" s="247">
        <f t="shared" si="11"/>
        <v>0</v>
      </c>
      <c r="E89" s="40"/>
      <c r="F89" s="30">
        <f>ROUND((F26*'2016 TU'!$E$29)+(F58*'2016 TU'!$E$33),0)</f>
        <v>0</v>
      </c>
      <c r="G89" s="46">
        <f t="shared" si="7"/>
        <v>0</v>
      </c>
      <c r="H89" s="30">
        <f>ROUND((H26*'2016 TU'!$E$29)+(H58*'2016 TU'!$E$33),0)</f>
        <v>0</v>
      </c>
      <c r="I89" s="47">
        <f t="shared" si="8"/>
        <v>0</v>
      </c>
      <c r="J89" s="36">
        <f>IF($F$69="Individual",IF(I89&gt;0,'2016 TU'!$C$10,'2016 TU'!$C$9),IF($I$94&gt;0,'2016 TU'!$C$10,'2016 TU'!$C$9))</f>
        <v>2.7469999999999999E-3</v>
      </c>
      <c r="K89" s="47">
        <f t="shared" si="12"/>
        <v>0</v>
      </c>
      <c r="L89" s="209">
        <f t="shared" si="10"/>
        <v>0</v>
      </c>
    </row>
    <row r="90" spans="2:12" x14ac:dyDescent="0.25">
      <c r="B90" s="277" t="s">
        <v>84</v>
      </c>
      <c r="C90" s="26" t="str">
        <f>C27</f>
        <v>project 8</v>
      </c>
      <c r="D90" s="247">
        <f t="shared" si="11"/>
        <v>0</v>
      </c>
      <c r="E90" s="40"/>
      <c r="F90" s="30">
        <f>ROUND((F27*'2016 TU'!$E$29)+(F59*'2016 TU'!$E$33),0)</f>
        <v>0</v>
      </c>
      <c r="G90" s="46">
        <f t="shared" si="7"/>
        <v>0</v>
      </c>
      <c r="H90" s="30">
        <f>ROUND((H27*'2016 TU'!$E$29)+(H59*'2016 TU'!$E$33),0)</f>
        <v>0</v>
      </c>
      <c r="I90" s="47">
        <f t="shared" si="8"/>
        <v>0</v>
      </c>
      <c r="J90" s="36">
        <f>IF($F$69="Individual",IF(I90&gt;0,'2016 TU'!$C$10,'2016 TU'!$C$9),IF($I$94&gt;0,'2016 TU'!$C$10,'2016 TU'!$C$9))</f>
        <v>2.7469999999999999E-3</v>
      </c>
      <c r="K90" s="47">
        <f t="shared" ref="K90" si="13">ROUND((I90*J90)*24,0)</f>
        <v>0</v>
      </c>
      <c r="L90" s="209">
        <f t="shared" si="10"/>
        <v>0</v>
      </c>
    </row>
    <row r="91" spans="2:12" x14ac:dyDescent="0.25">
      <c r="B91" s="277" t="s">
        <v>85</v>
      </c>
      <c r="C91" s="45"/>
      <c r="D91" s="247">
        <f t="shared" si="11"/>
        <v>0</v>
      </c>
      <c r="E91" s="40"/>
      <c r="F91" s="30">
        <f>ROUND((F28*'2016 TU'!$E$29)+(F60*'2016 TU'!$E$33),0)</f>
        <v>0</v>
      </c>
      <c r="G91" s="46">
        <f t="shared" si="7"/>
        <v>0</v>
      </c>
      <c r="H91" s="30">
        <f>ROUND((H28*'2016 TU'!$E$29)+(H60*'2016 TU'!$E$33),0)</f>
        <v>0</v>
      </c>
      <c r="I91" s="47">
        <f t="shared" si="8"/>
        <v>0</v>
      </c>
      <c r="J91" s="36">
        <f>IF($F$69="Individual",IF(I91&gt;0,'2016 TU'!$C$10,'2016 TU'!$C$9),IF($I$94&gt;0,'2016 TU'!$C$10,'2016 TU'!$C$9))</f>
        <v>2.7469999999999999E-3</v>
      </c>
      <c r="K91" s="47">
        <f t="shared" si="12"/>
        <v>0</v>
      </c>
      <c r="L91" s="209">
        <f t="shared" si="10"/>
        <v>0</v>
      </c>
    </row>
    <row r="92" spans="2:12" x14ac:dyDescent="0.25">
      <c r="B92" s="205"/>
      <c r="C92" s="43"/>
      <c r="D92" s="43"/>
      <c r="E92" s="43"/>
      <c r="F92" s="43"/>
      <c r="G92" s="43"/>
      <c r="H92" s="43"/>
      <c r="I92" s="43"/>
      <c r="J92" s="43"/>
      <c r="K92" s="43"/>
      <c r="L92" s="210"/>
    </row>
    <row r="93" spans="2:12" x14ac:dyDescent="0.25">
      <c r="B93" s="163">
        <v>3</v>
      </c>
      <c r="C93" s="40" t="s">
        <v>67</v>
      </c>
      <c r="D93" s="40"/>
      <c r="E93" s="211"/>
      <c r="F93" s="211">
        <f>SUM(F83:F92)</f>
        <v>0</v>
      </c>
      <c r="G93" s="211">
        <f>SUM(G83:G92)</f>
        <v>0</v>
      </c>
      <c r="H93" s="211">
        <f>SUM(H83:H92)</f>
        <v>0</v>
      </c>
      <c r="I93" s="211"/>
      <c r="J93" s="40"/>
      <c r="K93" s="40"/>
      <c r="L93" s="204"/>
    </row>
    <row r="94" spans="2:12" ht="18.75" x14ac:dyDescent="0.3">
      <c r="B94" s="163">
        <v>4</v>
      </c>
      <c r="C94" s="40" t="s">
        <v>68</v>
      </c>
      <c r="D94" s="40"/>
      <c r="E94" s="40"/>
      <c r="F94" s="40"/>
      <c r="G94" s="40"/>
      <c r="H94" s="40"/>
      <c r="I94" s="211">
        <f>SUM(I83:I92)</f>
        <v>0</v>
      </c>
      <c r="J94" s="40"/>
      <c r="K94" s="211">
        <f>SUM(K83:K92)</f>
        <v>0</v>
      </c>
      <c r="L94" s="251">
        <f>SUM(L83:L92)</f>
        <v>0</v>
      </c>
    </row>
    <row r="95" spans="2:12" ht="15.75" thickBot="1" x14ac:dyDescent="0.3">
      <c r="B95" s="224">
        <v>5</v>
      </c>
      <c r="C95" s="272" t="s">
        <v>174</v>
      </c>
      <c r="D95" s="215"/>
      <c r="E95" s="215"/>
      <c r="F95" s="215"/>
      <c r="G95" s="184"/>
      <c r="H95" s="215"/>
      <c r="I95" s="215"/>
      <c r="J95" s="125"/>
      <c r="K95" s="215"/>
      <c r="L95" s="216"/>
    </row>
    <row r="97" spans="2:6" x14ac:dyDescent="0.25">
      <c r="B97" s="274" t="s">
        <v>175</v>
      </c>
      <c r="C97" s="273" t="s">
        <v>183</v>
      </c>
    </row>
    <row r="98" spans="2:6" x14ac:dyDescent="0.25">
      <c r="B98" s="273"/>
      <c r="C98" s="275" t="s">
        <v>178</v>
      </c>
    </row>
    <row r="99" spans="2:6" x14ac:dyDescent="0.25">
      <c r="C99" s="276" t="s">
        <v>132</v>
      </c>
      <c r="D99" s="273" t="s">
        <v>133</v>
      </c>
      <c r="E99" s="273" t="s">
        <v>121</v>
      </c>
      <c r="F99" s="273" t="s">
        <v>176</v>
      </c>
    </row>
    <row r="100" spans="2:6" x14ac:dyDescent="0.25">
      <c r="C100" s="276" t="s">
        <v>140</v>
      </c>
      <c r="D100" s="273" t="s">
        <v>138</v>
      </c>
      <c r="E100" s="273" t="s">
        <v>139</v>
      </c>
      <c r="F100" s="273" t="s">
        <v>146</v>
      </c>
    </row>
    <row r="101" spans="2:6" x14ac:dyDescent="0.25">
      <c r="C101" s="276" t="s">
        <v>144</v>
      </c>
      <c r="D101" s="273" t="s">
        <v>147</v>
      </c>
      <c r="E101" s="273" t="s">
        <v>177</v>
      </c>
    </row>
    <row r="103" spans="2:6" x14ac:dyDescent="0.25">
      <c r="C103" s="275" t="s">
        <v>179</v>
      </c>
    </row>
    <row r="104" spans="2:6" x14ac:dyDescent="0.25">
      <c r="C104" s="276" t="s">
        <v>142</v>
      </c>
      <c r="D104" s="273" t="s">
        <v>135</v>
      </c>
      <c r="E104" s="273" t="s">
        <v>136</v>
      </c>
      <c r="F104" s="273"/>
    </row>
    <row r="105" spans="2:6" x14ac:dyDescent="0.25">
      <c r="C105" s="276" t="s">
        <v>173</v>
      </c>
      <c r="D105" s="273" t="s">
        <v>137</v>
      </c>
    </row>
  </sheetData>
  <mergeCells count="6">
    <mergeCell ref="C81:D81"/>
    <mergeCell ref="C18:D18"/>
    <mergeCell ref="N12:N16"/>
    <mergeCell ref="P12:P16"/>
    <mergeCell ref="O14:O16"/>
    <mergeCell ref="C50:D50"/>
  </mergeCells>
  <pageMargins left="0.7" right="0.2" top="0.25" bottom="0.25" header="0.3" footer="0.3"/>
  <pageSetup scale="5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D33" sqref="D33"/>
    </sheetView>
  </sheetViews>
  <sheetFormatPr defaultRowHeight="15" x14ac:dyDescent="0.25"/>
  <cols>
    <col min="2" max="2" width="22" customWidth="1"/>
    <col min="4" max="5" width="11.7109375" customWidth="1"/>
    <col min="6" max="6" width="11.5703125" customWidth="1"/>
    <col min="7" max="7" width="10.140625" customWidth="1"/>
  </cols>
  <sheetData>
    <row r="1" spans="1:9" ht="14.45" x14ac:dyDescent="0.3">
      <c r="A1" s="240" t="s">
        <v>157</v>
      </c>
      <c r="B1" s="16"/>
      <c r="C1" s="16"/>
      <c r="D1" s="16"/>
      <c r="E1" s="16"/>
      <c r="F1" s="16"/>
      <c r="G1" s="16"/>
      <c r="H1" s="16"/>
      <c r="I1" s="16"/>
    </row>
    <row r="2" spans="1:9" ht="14.45" x14ac:dyDescent="0.3">
      <c r="A2" s="325" t="s">
        <v>225</v>
      </c>
      <c r="B2" s="16"/>
      <c r="C2" s="16"/>
      <c r="D2" s="16"/>
      <c r="E2" s="16"/>
      <c r="F2" s="16"/>
      <c r="G2" s="16"/>
      <c r="H2" s="16"/>
      <c r="I2" s="16"/>
    </row>
    <row r="3" spans="1:9" ht="14.45" x14ac:dyDescent="0.3">
      <c r="A3" s="240" t="s">
        <v>200</v>
      </c>
      <c r="B3" s="16"/>
      <c r="C3" s="16"/>
      <c r="D3" s="16"/>
      <c r="E3" s="16"/>
      <c r="F3" s="16"/>
      <c r="G3" s="16"/>
      <c r="H3" s="16"/>
      <c r="I3" s="16"/>
    </row>
    <row r="5" spans="1:9" ht="14.45" x14ac:dyDescent="0.3">
      <c r="A5" s="258" t="s">
        <v>211</v>
      </c>
    </row>
    <row r="6" spans="1:9" ht="14.45" x14ac:dyDescent="0.3">
      <c r="A6" s="295" t="s">
        <v>201</v>
      </c>
    </row>
    <row r="7" spans="1:9" ht="14.45" x14ac:dyDescent="0.3">
      <c r="A7" s="295" t="s">
        <v>216</v>
      </c>
    </row>
    <row r="8" spans="1:9" ht="14.45" x14ac:dyDescent="0.3">
      <c r="A8" s="318" t="s">
        <v>213</v>
      </c>
    </row>
    <row r="9" spans="1:9" ht="14.45" x14ac:dyDescent="0.3">
      <c r="A9" s="296" t="s">
        <v>202</v>
      </c>
    </row>
    <row r="10" spans="1:9" ht="14.45" x14ac:dyDescent="0.3">
      <c r="A10" s="297" t="s">
        <v>206</v>
      </c>
    </row>
    <row r="11" spans="1:9" ht="14.45" x14ac:dyDescent="0.3">
      <c r="A11" s="297"/>
    </row>
    <row r="12" spans="1:9" ht="15.6" x14ac:dyDescent="0.3">
      <c r="A12" s="340" t="str">
        <f>'2016 TU'!A1</f>
        <v>SIGECO/Vectren</v>
      </c>
      <c r="B12" s="340"/>
      <c r="C12" s="340"/>
      <c r="D12" s="340"/>
      <c r="E12" s="340"/>
      <c r="F12" s="340"/>
      <c r="G12" s="340"/>
    </row>
    <row r="13" spans="1:9" ht="14.45" x14ac:dyDescent="0.3">
      <c r="A13" s="298"/>
      <c r="D13" s="303" t="s">
        <v>203</v>
      </c>
      <c r="E13" s="258" t="s">
        <v>204</v>
      </c>
      <c r="G13" s="258" t="s">
        <v>204</v>
      </c>
    </row>
    <row r="14" spans="1:9" ht="16.149999999999999" x14ac:dyDescent="0.3">
      <c r="D14" s="294" t="s">
        <v>208</v>
      </c>
      <c r="E14" s="294" t="s">
        <v>212</v>
      </c>
      <c r="F14" s="294" t="s">
        <v>205</v>
      </c>
      <c r="G14" s="312" t="s">
        <v>205</v>
      </c>
    </row>
    <row r="15" spans="1:9" ht="14.45" x14ac:dyDescent="0.3">
      <c r="A15">
        <v>1</v>
      </c>
      <c r="B15" s="299">
        <v>42370</v>
      </c>
      <c r="D15" s="300">
        <f>0.0071/12</f>
        <v>5.9166666666666666E-4</v>
      </c>
      <c r="E15" s="301"/>
      <c r="F15" s="259">
        <v>2.7000000000000001E-3</v>
      </c>
    </row>
    <row r="16" spans="1:9" ht="14.45" x14ac:dyDescent="0.3">
      <c r="A16">
        <f>A15+1</f>
        <v>2</v>
      </c>
      <c r="B16" s="299">
        <v>42401</v>
      </c>
      <c r="D16" s="300">
        <f>0.0071/12</f>
        <v>5.9166666666666666E-4</v>
      </c>
      <c r="E16" s="301"/>
      <c r="F16" s="259">
        <v>2.7000000000000001E-3</v>
      </c>
    </row>
    <row r="17" spans="1:7" ht="14.45" x14ac:dyDescent="0.3">
      <c r="A17">
        <f t="shared" ref="A17:A33" si="0">A16+1</f>
        <v>3</v>
      </c>
      <c r="B17" s="299">
        <v>42430</v>
      </c>
      <c r="D17" s="300">
        <f t="shared" ref="D17:D33" si="1">0.0071/12</f>
        <v>5.9166666666666666E-4</v>
      </c>
      <c r="E17" s="301"/>
      <c r="F17" s="259">
        <v>2.7000000000000001E-3</v>
      </c>
    </row>
    <row r="18" spans="1:7" ht="14.45" x14ac:dyDescent="0.3">
      <c r="A18">
        <f t="shared" si="0"/>
        <v>4</v>
      </c>
      <c r="B18" s="299">
        <v>42461</v>
      </c>
      <c r="D18" s="300">
        <f t="shared" si="1"/>
        <v>5.9166666666666666E-4</v>
      </c>
      <c r="E18" s="301"/>
      <c r="F18" s="259">
        <v>2.8999999999999998E-3</v>
      </c>
    </row>
    <row r="19" spans="1:7" ht="14.45" x14ac:dyDescent="0.3">
      <c r="A19">
        <f t="shared" si="0"/>
        <v>5</v>
      </c>
      <c r="B19" s="299">
        <v>42491</v>
      </c>
      <c r="D19" s="300">
        <f t="shared" si="1"/>
        <v>5.9166666666666666E-4</v>
      </c>
      <c r="E19" s="301"/>
      <c r="F19" s="259">
        <v>2.8999999999999998E-3</v>
      </c>
    </row>
    <row r="20" spans="1:7" ht="14.45" x14ac:dyDescent="0.3">
      <c r="A20">
        <f t="shared" si="0"/>
        <v>6</v>
      </c>
      <c r="B20" s="299">
        <v>42522</v>
      </c>
      <c r="D20" s="300">
        <f t="shared" si="1"/>
        <v>5.9166666666666666E-4</v>
      </c>
      <c r="E20" s="301"/>
      <c r="F20" s="259">
        <v>2.8999999999999998E-3</v>
      </c>
    </row>
    <row r="21" spans="1:7" ht="14.45" x14ac:dyDescent="0.3">
      <c r="A21">
        <f t="shared" si="0"/>
        <v>7</v>
      </c>
      <c r="B21" s="299">
        <v>42552</v>
      </c>
      <c r="D21" s="300">
        <f t="shared" si="1"/>
        <v>5.9166666666666666E-4</v>
      </c>
      <c r="E21" s="301"/>
      <c r="F21" s="259">
        <v>2.8999999999999998E-3</v>
      </c>
      <c r="G21" s="302"/>
    </row>
    <row r="22" spans="1:7" ht="14.45" x14ac:dyDescent="0.3">
      <c r="A22">
        <f t="shared" si="0"/>
        <v>8</v>
      </c>
      <c r="B22" s="299">
        <v>42583</v>
      </c>
      <c r="D22" s="300">
        <f t="shared" si="1"/>
        <v>5.9166666666666666E-4</v>
      </c>
      <c r="E22" s="301"/>
      <c r="F22" s="259">
        <v>2.8999999999999998E-3</v>
      </c>
      <c r="G22" s="302"/>
    </row>
    <row r="23" spans="1:7" ht="14.45" x14ac:dyDescent="0.3">
      <c r="A23">
        <f t="shared" si="0"/>
        <v>9</v>
      </c>
      <c r="B23" s="299">
        <v>42614</v>
      </c>
      <c r="D23" s="300">
        <f t="shared" si="1"/>
        <v>5.9166666666666666E-4</v>
      </c>
      <c r="E23" s="301"/>
      <c r="F23" s="259">
        <v>2.8999999999999998E-3</v>
      </c>
      <c r="G23" s="302"/>
    </row>
    <row r="24" spans="1:7" ht="14.45" x14ac:dyDescent="0.3">
      <c r="A24">
        <f t="shared" si="0"/>
        <v>10</v>
      </c>
      <c r="B24" s="299">
        <v>42644</v>
      </c>
      <c r="D24" s="300">
        <f t="shared" si="1"/>
        <v>5.9166666666666666E-4</v>
      </c>
      <c r="E24" s="301"/>
      <c r="F24" s="259">
        <v>2.8999999999999998E-3</v>
      </c>
      <c r="G24" s="302"/>
    </row>
    <row r="25" spans="1:7" ht="14.45" x14ac:dyDescent="0.3">
      <c r="A25">
        <f t="shared" si="0"/>
        <v>11</v>
      </c>
      <c r="B25" s="299">
        <v>42675</v>
      </c>
      <c r="D25" s="300">
        <f t="shared" si="1"/>
        <v>5.9166666666666666E-4</v>
      </c>
      <c r="E25" s="301"/>
      <c r="F25" s="259">
        <v>2.8999999999999998E-3</v>
      </c>
      <c r="G25" s="302"/>
    </row>
    <row r="26" spans="1:7" ht="14.45" x14ac:dyDescent="0.3">
      <c r="A26">
        <f t="shared" si="0"/>
        <v>12</v>
      </c>
      <c r="B26" s="299">
        <v>42705</v>
      </c>
      <c r="D26" s="300">
        <f t="shared" si="1"/>
        <v>5.9166666666666666E-4</v>
      </c>
      <c r="E26" s="301"/>
      <c r="F26" s="259">
        <v>2.8999999999999998E-3</v>
      </c>
      <c r="G26" s="302"/>
    </row>
    <row r="27" spans="1:7" ht="14.45" x14ac:dyDescent="0.3">
      <c r="A27">
        <f t="shared" si="0"/>
        <v>13</v>
      </c>
      <c r="B27" s="299">
        <v>42736</v>
      </c>
      <c r="D27" s="300">
        <f t="shared" si="1"/>
        <v>5.9166666666666666E-4</v>
      </c>
      <c r="E27" s="301"/>
      <c r="F27" s="259">
        <v>2.8999999999999998E-3</v>
      </c>
      <c r="G27" s="302"/>
    </row>
    <row r="28" spans="1:7" ht="14.45" x14ac:dyDescent="0.3">
      <c r="A28">
        <f t="shared" si="0"/>
        <v>14</v>
      </c>
      <c r="B28" s="299">
        <v>42767</v>
      </c>
      <c r="D28" s="300">
        <f t="shared" si="1"/>
        <v>5.9166666666666666E-4</v>
      </c>
      <c r="E28" s="301"/>
      <c r="F28" s="259">
        <v>2.8999999999999998E-3</v>
      </c>
      <c r="G28" s="302"/>
    </row>
    <row r="29" spans="1:7" x14ac:dyDescent="0.25">
      <c r="A29">
        <f t="shared" si="0"/>
        <v>15</v>
      </c>
      <c r="B29" s="299">
        <v>42795</v>
      </c>
      <c r="D29" s="300">
        <f t="shared" si="1"/>
        <v>5.9166666666666666E-4</v>
      </c>
      <c r="E29" s="301"/>
      <c r="F29" s="259">
        <v>2.8999999999999998E-3</v>
      </c>
      <c r="G29" s="302"/>
    </row>
    <row r="30" spans="1:7" x14ac:dyDescent="0.25">
      <c r="A30">
        <f t="shared" si="0"/>
        <v>16</v>
      </c>
      <c r="B30" s="299">
        <v>42826</v>
      </c>
      <c r="D30" s="300">
        <f t="shared" si="1"/>
        <v>5.9166666666666666E-4</v>
      </c>
      <c r="E30" s="301"/>
      <c r="F30" s="259">
        <v>3.0999999999999999E-3</v>
      </c>
      <c r="G30" s="302"/>
    </row>
    <row r="31" spans="1:7" x14ac:dyDescent="0.25">
      <c r="A31">
        <f t="shared" si="0"/>
        <v>17</v>
      </c>
      <c r="B31" s="299">
        <v>42856</v>
      </c>
      <c r="D31" s="300">
        <f t="shared" si="1"/>
        <v>5.9166666666666666E-4</v>
      </c>
      <c r="E31" s="301"/>
      <c r="F31" s="259">
        <v>3.0999999999999999E-3</v>
      </c>
      <c r="G31" s="302"/>
    </row>
    <row r="32" spans="1:7" x14ac:dyDescent="0.25">
      <c r="A32">
        <f t="shared" si="0"/>
        <v>18</v>
      </c>
      <c r="B32" s="299">
        <v>42887</v>
      </c>
      <c r="D32" s="300">
        <f t="shared" si="1"/>
        <v>5.9166666666666666E-4</v>
      </c>
      <c r="E32" s="301"/>
      <c r="F32" s="259">
        <v>3.0999999999999999E-3</v>
      </c>
      <c r="G32" s="302"/>
    </row>
    <row r="33" spans="1:7" x14ac:dyDescent="0.25">
      <c r="A33">
        <f t="shared" si="0"/>
        <v>19</v>
      </c>
      <c r="B33" s="299">
        <v>42917</v>
      </c>
      <c r="D33" s="300">
        <f t="shared" si="1"/>
        <v>5.9166666666666666E-4</v>
      </c>
      <c r="E33" s="301"/>
      <c r="F33" s="300">
        <v>0</v>
      </c>
    </row>
    <row r="34" spans="1:7" ht="15.75" thickBot="1" x14ac:dyDescent="0.3">
      <c r="B34" s="299"/>
    </row>
    <row r="35" spans="1:7" ht="15.75" thickBot="1" x14ac:dyDescent="0.3">
      <c r="C35" s="259"/>
      <c r="D35" s="314">
        <f>AVERAGE(D15:D33)</f>
        <v>5.9166666666666688E-4</v>
      </c>
      <c r="E35" s="317">
        <f>IF(D35*12&gt;G35,G35,ROUND(D35*12,6))</f>
        <v>7.1000000000000004E-3</v>
      </c>
      <c r="F35" s="314">
        <f>AVERAGE(F15:F33)</f>
        <v>2.7473684210526312E-3</v>
      </c>
      <c r="G35" s="316">
        <f>ROUND(F35*12,6)</f>
        <v>3.2967999999999997E-2</v>
      </c>
    </row>
    <row r="37" spans="1:7" ht="17.25" x14ac:dyDescent="0.25">
      <c r="B37" t="s">
        <v>207</v>
      </c>
    </row>
    <row r="41" spans="1:7" x14ac:dyDescent="0.25">
      <c r="C41" s="302"/>
    </row>
    <row r="44" spans="1:7" x14ac:dyDescent="0.25">
      <c r="A44" s="55"/>
      <c r="B44" s="57"/>
      <c r="C44" s="305"/>
      <c r="D44" s="57"/>
      <c r="E44" s="57"/>
      <c r="F44" s="55"/>
    </row>
    <row r="45" spans="1:7" x14ac:dyDescent="0.25">
      <c r="A45" s="55"/>
      <c r="B45" s="57"/>
      <c r="C45" s="57"/>
      <c r="D45" s="57"/>
      <c r="E45" s="57"/>
      <c r="F45" s="55"/>
    </row>
    <row r="46" spans="1:7" x14ac:dyDescent="0.25">
      <c r="A46" s="55"/>
      <c r="B46" s="338"/>
      <c r="C46" s="338"/>
      <c r="D46" s="306"/>
      <c r="E46" s="307"/>
      <c r="F46" s="55"/>
    </row>
    <row r="47" spans="1:7" x14ac:dyDescent="0.25">
      <c r="A47" s="55"/>
      <c r="B47" s="338"/>
      <c r="C47" s="338"/>
      <c r="D47" s="306"/>
      <c r="E47" s="307"/>
      <c r="F47" s="55"/>
    </row>
    <row r="48" spans="1:7" x14ac:dyDescent="0.25">
      <c r="A48" s="55"/>
      <c r="B48" s="308"/>
      <c r="C48" s="309"/>
      <c r="D48" s="308"/>
      <c r="E48" s="308"/>
      <c r="F48" s="55"/>
    </row>
    <row r="49" spans="1:6" x14ac:dyDescent="0.25">
      <c r="A49" s="55"/>
      <c r="B49" s="308"/>
      <c r="C49" s="308"/>
      <c r="D49" s="308"/>
      <c r="E49" s="308"/>
      <c r="F49" s="55"/>
    </row>
    <row r="50" spans="1:6" x14ac:dyDescent="0.25">
      <c r="A50" s="55"/>
      <c r="B50" s="308"/>
      <c r="C50" s="308"/>
      <c r="D50" s="308"/>
      <c r="E50" s="308"/>
      <c r="F50" s="55"/>
    </row>
    <row r="51" spans="1:6" x14ac:dyDescent="0.25">
      <c r="A51" s="55"/>
      <c r="B51" s="308"/>
      <c r="C51" s="309"/>
      <c r="D51" s="308"/>
      <c r="E51" s="308"/>
      <c r="F51" s="55"/>
    </row>
    <row r="52" spans="1:6" x14ac:dyDescent="0.25">
      <c r="A52" s="55"/>
      <c r="B52" s="308"/>
      <c r="C52" s="308"/>
      <c r="D52" s="308"/>
      <c r="E52" s="308"/>
      <c r="F52" s="55"/>
    </row>
    <row r="53" spans="1:6" x14ac:dyDescent="0.25">
      <c r="A53" s="55"/>
      <c r="B53" s="308"/>
      <c r="C53" s="308"/>
      <c r="D53" s="308"/>
      <c r="E53" s="308"/>
      <c r="F53" s="55"/>
    </row>
    <row r="54" spans="1:6" x14ac:dyDescent="0.25">
      <c r="A54" s="55"/>
      <c r="B54" s="308"/>
      <c r="C54" s="309"/>
      <c r="D54" s="308"/>
      <c r="E54" s="308"/>
      <c r="F54" s="55"/>
    </row>
    <row r="55" spans="1:6" x14ac:dyDescent="0.25">
      <c r="A55" s="55"/>
      <c r="B55" s="308"/>
      <c r="C55" s="308"/>
      <c r="D55" s="308"/>
      <c r="E55" s="308"/>
      <c r="F55" s="55"/>
    </row>
    <row r="56" spans="1:6" x14ac:dyDescent="0.25">
      <c r="A56" s="55"/>
      <c r="B56" s="308"/>
      <c r="C56" s="308"/>
      <c r="D56" s="308"/>
      <c r="E56" s="308"/>
      <c r="F56" s="55"/>
    </row>
    <row r="57" spans="1:6" x14ac:dyDescent="0.25">
      <c r="A57" s="55"/>
      <c r="B57" s="308"/>
      <c r="C57" s="309"/>
      <c r="D57" s="308"/>
      <c r="E57" s="308"/>
      <c r="F57" s="55"/>
    </row>
    <row r="58" spans="1:6" x14ac:dyDescent="0.25">
      <c r="A58" s="55"/>
      <c r="B58" s="308"/>
      <c r="C58" s="308"/>
      <c r="D58" s="308"/>
      <c r="E58" s="308"/>
      <c r="F58" s="55"/>
    </row>
    <row r="59" spans="1:6" x14ac:dyDescent="0.25">
      <c r="A59" s="55"/>
      <c r="B59" s="308"/>
      <c r="C59" s="308"/>
      <c r="D59" s="308"/>
      <c r="E59" s="308"/>
      <c r="F59" s="55"/>
    </row>
    <row r="60" spans="1:6" x14ac:dyDescent="0.25">
      <c r="A60" s="55"/>
      <c r="B60" s="308"/>
      <c r="C60" s="308"/>
      <c r="D60" s="308"/>
      <c r="E60" s="308"/>
      <c r="F60" s="55"/>
    </row>
    <row r="61" spans="1:6" x14ac:dyDescent="0.25">
      <c r="A61" s="55"/>
      <c r="B61" s="308"/>
      <c r="C61" s="308"/>
      <c r="D61" s="308"/>
      <c r="E61" s="308"/>
      <c r="F61" s="55"/>
    </row>
    <row r="62" spans="1:6" x14ac:dyDescent="0.25">
      <c r="A62" s="55"/>
      <c r="B62" s="308"/>
      <c r="C62" s="308"/>
      <c r="D62" s="308"/>
      <c r="E62" s="308"/>
      <c r="F62" s="55"/>
    </row>
    <row r="63" spans="1:6" x14ac:dyDescent="0.25">
      <c r="A63" s="55"/>
      <c r="B63" s="308"/>
      <c r="C63" s="308"/>
      <c r="D63" s="308"/>
      <c r="E63" s="308"/>
      <c r="F63" s="55"/>
    </row>
    <row r="64" spans="1:6" x14ac:dyDescent="0.25">
      <c r="A64" s="55"/>
      <c r="B64" s="308"/>
      <c r="C64" s="308"/>
      <c r="D64" s="308"/>
      <c r="E64" s="308"/>
      <c r="F64" s="55"/>
    </row>
    <row r="65" spans="1:6" x14ac:dyDescent="0.25">
      <c r="A65" s="55"/>
      <c r="B65" s="308"/>
      <c r="C65" s="308"/>
      <c r="D65" s="308"/>
      <c r="E65" s="308"/>
      <c r="F65" s="55"/>
    </row>
    <row r="66" spans="1:6" x14ac:dyDescent="0.25">
      <c r="A66" s="55"/>
      <c r="B66" s="339"/>
      <c r="C66" s="339"/>
      <c r="D66" s="339"/>
      <c r="E66" s="339"/>
      <c r="F66" s="55"/>
    </row>
  </sheetData>
  <mergeCells count="4">
    <mergeCell ref="B46:B47"/>
    <mergeCell ref="C46:C47"/>
    <mergeCell ref="B66:E66"/>
    <mergeCell ref="A12:G12"/>
  </mergeCells>
  <pageMargins left="0.7" right="0.7" top="0.75" bottom="0.75" header="0.3" footer="0.3"/>
  <pageSetup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defaultRowHeight="15" x14ac:dyDescent="0.25"/>
  <cols>
    <col min="1" max="1" width="5.7109375" customWidth="1"/>
    <col min="2" max="3" width="12.7109375" customWidth="1"/>
    <col min="4" max="4" width="12.42578125" customWidth="1"/>
    <col min="5" max="5" width="12.5703125" customWidth="1"/>
    <col min="6" max="6" width="2.42578125" customWidth="1"/>
    <col min="10" max="10" width="9.42578125" customWidth="1"/>
    <col min="11" max="11" width="14.28515625" customWidth="1"/>
    <col min="12" max="12" width="15.7109375" customWidth="1"/>
    <col min="13" max="13" width="13.28515625" customWidth="1"/>
  </cols>
  <sheetData>
    <row r="1" spans="1:17" ht="18" x14ac:dyDescent="0.35">
      <c r="A1" s="319" t="s">
        <v>217</v>
      </c>
      <c r="B1" s="319"/>
      <c r="C1" s="319"/>
      <c r="D1" s="319"/>
      <c r="E1" s="319"/>
      <c r="F1" s="319"/>
      <c r="G1" s="319"/>
      <c r="H1" s="319"/>
      <c r="I1" s="319"/>
    </row>
    <row r="2" spans="1:17" ht="14.45" x14ac:dyDescent="0.3">
      <c r="A2" s="320" t="s">
        <v>218</v>
      </c>
      <c r="B2" s="321"/>
      <c r="C2" s="319"/>
      <c r="D2" s="319"/>
      <c r="E2" s="319"/>
      <c r="F2" s="319"/>
      <c r="G2" s="319"/>
      <c r="H2" s="319"/>
      <c r="I2" s="319"/>
    </row>
    <row r="3" spans="1:17" ht="14.45" x14ac:dyDescent="0.3">
      <c r="A3" s="320" t="s">
        <v>219</v>
      </c>
      <c r="B3" s="319"/>
      <c r="C3" s="319"/>
      <c r="D3" s="319"/>
      <c r="E3" s="319"/>
      <c r="F3" s="319"/>
      <c r="G3" s="319"/>
      <c r="H3" s="319"/>
      <c r="I3" s="319"/>
    </row>
    <row r="4" spans="1:17" ht="14.45" x14ac:dyDescent="0.3">
      <c r="A4" s="320"/>
      <c r="B4" s="319"/>
      <c r="C4" s="319"/>
      <c r="D4" s="319"/>
      <c r="E4" s="319"/>
      <c r="F4" s="319"/>
      <c r="G4" s="319"/>
      <c r="H4" s="319"/>
      <c r="I4" s="319"/>
    </row>
    <row r="5" spans="1:17" ht="14.45" x14ac:dyDescent="0.3">
      <c r="A5" s="258" t="s">
        <v>152</v>
      </c>
      <c r="B5" s="258"/>
      <c r="C5" s="258"/>
    </row>
    <row r="6" spans="1:17" ht="14.45" x14ac:dyDescent="0.3">
      <c r="B6" s="258"/>
      <c r="C6" s="258"/>
      <c r="J6" s="342"/>
      <c r="K6" s="342"/>
      <c r="L6" s="342"/>
      <c r="M6" s="57"/>
      <c r="N6" s="57"/>
      <c r="O6" s="57"/>
      <c r="P6" s="57"/>
      <c r="Q6" s="57"/>
    </row>
    <row r="7" spans="1:17" ht="14.45" x14ac:dyDescent="0.3">
      <c r="B7" s="131" t="s">
        <v>153</v>
      </c>
      <c r="C7" s="131" t="s">
        <v>182</v>
      </c>
      <c r="D7" s="262" t="s">
        <v>150</v>
      </c>
      <c r="E7" s="262" t="s">
        <v>151</v>
      </c>
      <c r="J7" s="322"/>
      <c r="K7" s="322"/>
      <c r="L7" s="322"/>
      <c r="M7" s="322"/>
      <c r="N7" s="57"/>
      <c r="O7" s="57"/>
      <c r="P7" s="57"/>
      <c r="Q7" s="57"/>
    </row>
    <row r="8" spans="1:17" ht="14.45" x14ac:dyDescent="0.3">
      <c r="A8" s="261">
        <v>1</v>
      </c>
      <c r="B8" t="s">
        <v>131</v>
      </c>
      <c r="C8" t="s">
        <v>180</v>
      </c>
      <c r="D8" s="259">
        <v>0.12379999999999999</v>
      </c>
      <c r="E8" s="259">
        <v>0.1082</v>
      </c>
      <c r="J8" s="57"/>
      <c r="K8" s="57"/>
      <c r="L8" s="57"/>
      <c r="M8" s="57"/>
      <c r="N8" s="57"/>
      <c r="O8" s="57"/>
      <c r="P8" s="57"/>
      <c r="Q8" s="57"/>
    </row>
    <row r="9" spans="1:17" ht="14.45" x14ac:dyDescent="0.3">
      <c r="A9" s="261">
        <v>2</v>
      </c>
      <c r="B9" s="293" t="s">
        <v>132</v>
      </c>
      <c r="C9" t="s">
        <v>180</v>
      </c>
      <c r="D9" s="259">
        <v>0.12379999999999999</v>
      </c>
      <c r="E9" s="259">
        <v>0.1082</v>
      </c>
      <c r="J9" s="323"/>
      <c r="K9" s="323"/>
      <c r="L9" s="323"/>
      <c r="M9" s="323"/>
      <c r="N9" s="57"/>
      <c r="O9" s="323"/>
      <c r="P9" s="57"/>
      <c r="Q9" s="57"/>
    </row>
    <row r="10" spans="1:17" ht="14.45" x14ac:dyDescent="0.3">
      <c r="A10" s="261">
        <v>3</v>
      </c>
      <c r="B10" s="293" t="s">
        <v>133</v>
      </c>
      <c r="C10" t="s">
        <v>180</v>
      </c>
      <c r="D10" s="259">
        <v>0.12379999999999999</v>
      </c>
      <c r="E10" s="259">
        <v>0.1082</v>
      </c>
      <c r="J10" s="323"/>
      <c r="K10" s="323"/>
      <c r="L10" s="323"/>
      <c r="M10" s="323"/>
      <c r="N10" s="57"/>
      <c r="O10" s="323"/>
      <c r="P10" s="57"/>
      <c r="Q10" s="57"/>
    </row>
    <row r="11" spans="1:17" ht="14.45" x14ac:dyDescent="0.3">
      <c r="A11" s="261">
        <v>4</v>
      </c>
      <c r="B11" s="293" t="s">
        <v>134</v>
      </c>
      <c r="C11" t="s">
        <v>180</v>
      </c>
      <c r="D11" s="259">
        <v>0.122</v>
      </c>
      <c r="E11" s="259">
        <v>0.1082</v>
      </c>
      <c r="J11" s="323"/>
      <c r="K11" s="323"/>
      <c r="L11" s="323"/>
      <c r="M11" s="323"/>
      <c r="N11" s="57"/>
      <c r="O11" s="57"/>
      <c r="P11" s="57"/>
      <c r="Q11" s="57"/>
    </row>
    <row r="12" spans="1:17" ht="14.45" x14ac:dyDescent="0.3">
      <c r="A12" s="261"/>
      <c r="B12" s="271" t="s">
        <v>165</v>
      </c>
      <c r="C12" s="271" t="s">
        <v>180</v>
      </c>
      <c r="D12" s="259">
        <v>0.12379999999999999</v>
      </c>
      <c r="E12" s="259">
        <v>0.1082</v>
      </c>
      <c r="J12" s="323"/>
      <c r="K12" s="323"/>
      <c r="L12" s="323"/>
      <c r="M12" s="323"/>
      <c r="N12" s="57"/>
      <c r="O12" s="57"/>
      <c r="P12" s="57"/>
      <c r="Q12" s="57"/>
    </row>
    <row r="13" spans="1:17" ht="14.45" x14ac:dyDescent="0.3">
      <c r="A13" s="261">
        <v>5</v>
      </c>
      <c r="B13" t="s">
        <v>146</v>
      </c>
      <c r="C13" t="s">
        <v>180</v>
      </c>
      <c r="D13" s="259">
        <v>0.12379999999999999</v>
      </c>
      <c r="E13" s="259">
        <v>0.1082</v>
      </c>
      <c r="J13" s="323"/>
      <c r="K13" s="323"/>
      <c r="L13" s="323"/>
      <c r="M13" s="323"/>
      <c r="N13" s="57"/>
      <c r="O13" s="57"/>
      <c r="P13" s="57"/>
      <c r="Q13" s="57"/>
    </row>
    <row r="14" spans="1:17" ht="14.45" x14ac:dyDescent="0.3">
      <c r="A14" s="261">
        <v>6</v>
      </c>
      <c r="B14" t="s">
        <v>144</v>
      </c>
      <c r="C14" t="s">
        <v>180</v>
      </c>
      <c r="D14" s="259">
        <v>0.12379999999999999</v>
      </c>
      <c r="E14" s="260">
        <v>0.1032</v>
      </c>
      <c r="G14" t="s">
        <v>164</v>
      </c>
      <c r="J14" s="323"/>
      <c r="K14" s="323"/>
      <c r="L14" s="323"/>
      <c r="M14" s="323"/>
      <c r="N14" s="57"/>
      <c r="O14" s="323"/>
      <c r="P14" s="57"/>
      <c r="Q14" s="57"/>
    </row>
    <row r="15" spans="1:17" ht="14.45" x14ac:dyDescent="0.3">
      <c r="A15" s="261">
        <v>7</v>
      </c>
      <c r="B15" t="s">
        <v>142</v>
      </c>
      <c r="C15" t="s">
        <v>181</v>
      </c>
      <c r="D15" s="259">
        <v>0.12379999999999999</v>
      </c>
      <c r="E15" s="259">
        <v>0.1082</v>
      </c>
      <c r="J15" s="323"/>
      <c r="K15" s="323"/>
      <c r="L15" s="323"/>
      <c r="M15" s="323"/>
      <c r="N15" s="57"/>
      <c r="O15" s="323"/>
      <c r="P15" s="57"/>
      <c r="Q15" s="57"/>
    </row>
    <row r="16" spans="1:17" ht="14.45" x14ac:dyDescent="0.3">
      <c r="A16" s="261">
        <v>8</v>
      </c>
      <c r="B16" t="s">
        <v>135</v>
      </c>
      <c r="C16" t="s">
        <v>181</v>
      </c>
      <c r="D16" s="259">
        <v>0.13880000000000001</v>
      </c>
      <c r="E16" s="260">
        <v>0.1135</v>
      </c>
      <c r="J16" s="323"/>
      <c r="K16" s="323"/>
      <c r="L16" s="323"/>
      <c r="M16" s="323"/>
      <c r="N16" s="57"/>
      <c r="O16" s="57"/>
      <c r="P16" s="57"/>
      <c r="Q16" s="57"/>
    </row>
    <row r="17" spans="1:17" ht="14.45" x14ac:dyDescent="0.3">
      <c r="A17" s="261">
        <v>9</v>
      </c>
      <c r="B17" s="293" t="s">
        <v>136</v>
      </c>
      <c r="C17" t="s">
        <v>181</v>
      </c>
      <c r="D17" s="259">
        <v>0.12379999999999999</v>
      </c>
      <c r="E17" s="260">
        <v>0.1132</v>
      </c>
      <c r="J17" s="323"/>
      <c r="K17" s="323"/>
      <c r="L17" s="323"/>
      <c r="M17" s="323"/>
      <c r="N17" s="57"/>
      <c r="O17" s="57"/>
      <c r="P17" s="57"/>
      <c r="Q17" s="57"/>
    </row>
    <row r="18" spans="1:17" ht="14.45" x14ac:dyDescent="0.3">
      <c r="A18" s="261">
        <v>10</v>
      </c>
      <c r="B18" t="s">
        <v>143</v>
      </c>
      <c r="D18" s="259">
        <v>0.12379999999999999</v>
      </c>
      <c r="E18" s="259">
        <v>0.1082</v>
      </c>
      <c r="J18" s="323"/>
      <c r="K18" s="323"/>
      <c r="L18" s="323"/>
      <c r="M18" s="323"/>
      <c r="N18" s="57"/>
      <c r="O18" s="57"/>
      <c r="P18" s="57"/>
      <c r="Q18" s="57"/>
    </row>
    <row r="19" spans="1:17" ht="14.45" x14ac:dyDescent="0.3">
      <c r="A19" s="261">
        <v>11</v>
      </c>
      <c r="B19" t="s">
        <v>137</v>
      </c>
      <c r="C19" t="s">
        <v>181</v>
      </c>
      <c r="D19" s="259">
        <v>0.1338</v>
      </c>
      <c r="E19" s="260">
        <v>0.1135</v>
      </c>
      <c r="J19" s="323"/>
      <c r="K19" s="323"/>
      <c r="L19" s="323"/>
      <c r="M19" s="323"/>
      <c r="N19" s="57"/>
      <c r="O19" s="57"/>
      <c r="P19" s="57"/>
      <c r="Q19" s="57"/>
    </row>
    <row r="20" spans="1:17" ht="14.45" x14ac:dyDescent="0.3">
      <c r="A20" s="261">
        <v>12</v>
      </c>
      <c r="B20" t="s">
        <v>138</v>
      </c>
      <c r="C20" t="s">
        <v>180</v>
      </c>
      <c r="D20" s="259">
        <v>0.12379999999999999</v>
      </c>
      <c r="E20" s="259">
        <v>0.1082</v>
      </c>
      <c r="J20" s="323"/>
      <c r="K20" s="323"/>
      <c r="L20" s="323"/>
      <c r="M20" s="323"/>
      <c r="N20" s="57"/>
      <c r="O20" s="57"/>
      <c r="P20" s="57"/>
      <c r="Q20" s="57"/>
    </row>
    <row r="21" spans="1:17" ht="14.45" x14ac:dyDescent="0.3">
      <c r="A21" s="261">
        <v>13</v>
      </c>
      <c r="B21" t="s">
        <v>139</v>
      </c>
      <c r="C21" t="s">
        <v>180</v>
      </c>
      <c r="D21" s="259">
        <v>0.12379999999999999</v>
      </c>
      <c r="E21" s="259">
        <v>0.1082</v>
      </c>
      <c r="J21" s="323"/>
      <c r="K21" s="323"/>
      <c r="L21" s="323"/>
      <c r="M21" s="323"/>
      <c r="N21" s="57"/>
      <c r="O21" s="57"/>
      <c r="P21" s="57"/>
      <c r="Q21" s="57"/>
    </row>
    <row r="22" spans="1:17" ht="14.45" x14ac:dyDescent="0.3">
      <c r="A22" s="261">
        <v>14</v>
      </c>
      <c r="B22" t="s">
        <v>149</v>
      </c>
      <c r="C22" t="s">
        <v>180</v>
      </c>
      <c r="D22" s="259">
        <v>0.12379999999999999</v>
      </c>
      <c r="E22" s="260">
        <v>0.1032</v>
      </c>
      <c r="J22" s="323"/>
      <c r="K22" s="323"/>
      <c r="L22" s="323"/>
      <c r="M22" s="323"/>
      <c r="N22" s="57"/>
      <c r="O22" s="57"/>
      <c r="P22" s="57"/>
      <c r="Q22" s="57"/>
    </row>
    <row r="23" spans="1:17" ht="14.45" x14ac:dyDescent="0.3">
      <c r="A23" s="261">
        <v>15</v>
      </c>
      <c r="B23" t="s">
        <v>121</v>
      </c>
      <c r="C23" t="s">
        <v>180</v>
      </c>
      <c r="D23" s="259">
        <v>0.12379999999999999</v>
      </c>
      <c r="E23" s="259">
        <v>0.1082</v>
      </c>
      <c r="J23" s="323"/>
      <c r="K23" s="323"/>
      <c r="L23" s="323"/>
      <c r="M23" s="323"/>
      <c r="N23" s="57"/>
      <c r="O23" s="57"/>
      <c r="P23" s="57"/>
      <c r="Q23" s="57"/>
    </row>
    <row r="24" spans="1:17" ht="14.45" x14ac:dyDescent="0.3">
      <c r="A24" s="261">
        <v>16</v>
      </c>
      <c r="B24" t="s">
        <v>173</v>
      </c>
      <c r="C24" t="s">
        <v>181</v>
      </c>
      <c r="D24" s="259">
        <v>0.12379999999999999</v>
      </c>
      <c r="E24" s="259">
        <v>0.1082</v>
      </c>
      <c r="J24" s="323"/>
      <c r="K24" s="323"/>
      <c r="L24" s="323"/>
      <c r="M24" s="323"/>
      <c r="N24" s="57"/>
      <c r="O24" s="57"/>
      <c r="P24" s="57"/>
      <c r="Q24" s="57"/>
    </row>
    <row r="25" spans="1:17" ht="14.45" x14ac:dyDescent="0.3">
      <c r="A25" s="261">
        <v>17</v>
      </c>
      <c r="B25" t="s">
        <v>140</v>
      </c>
      <c r="C25" t="s">
        <v>180</v>
      </c>
      <c r="D25" s="259">
        <v>0.12379999999999999</v>
      </c>
      <c r="E25" s="259">
        <v>0.1082</v>
      </c>
      <c r="J25" s="323"/>
      <c r="K25" s="323"/>
      <c r="L25" s="323"/>
      <c r="M25" s="323"/>
      <c r="N25" s="57"/>
      <c r="O25" s="57"/>
      <c r="P25" s="57"/>
      <c r="Q25" s="57"/>
    </row>
    <row r="26" spans="1:17" ht="14.45" x14ac:dyDescent="0.3">
      <c r="A26" s="261">
        <v>18</v>
      </c>
      <c r="B26" s="293" t="s">
        <v>147</v>
      </c>
      <c r="C26" t="s">
        <v>180</v>
      </c>
      <c r="D26" s="259">
        <v>0.12379999999999999</v>
      </c>
      <c r="E26" s="259">
        <v>0.1082</v>
      </c>
      <c r="J26" s="323"/>
      <c r="K26" s="323"/>
      <c r="L26" s="323"/>
      <c r="M26" s="323"/>
      <c r="N26" s="57"/>
      <c r="O26" s="57"/>
      <c r="P26" s="57"/>
      <c r="Q26" s="57"/>
    </row>
    <row r="27" spans="1:17" ht="28.9" customHeight="1" x14ac:dyDescent="0.3">
      <c r="A27" s="261">
        <v>19</v>
      </c>
      <c r="B27" t="s">
        <v>145</v>
      </c>
      <c r="D27" s="259">
        <v>0.12379999999999999</v>
      </c>
      <c r="E27" s="259">
        <v>0.1082</v>
      </c>
      <c r="G27" s="341" t="s">
        <v>154</v>
      </c>
      <c r="H27" s="341"/>
      <c r="I27" s="341"/>
      <c r="J27" s="323"/>
      <c r="K27" s="323"/>
      <c r="L27" s="323"/>
      <c r="M27" s="323"/>
      <c r="N27" s="57"/>
      <c r="O27" s="57"/>
      <c r="P27" s="57"/>
      <c r="Q27" s="57"/>
    </row>
    <row r="28" spans="1:17" x14ac:dyDescent="0.25">
      <c r="A28" s="261">
        <v>20</v>
      </c>
      <c r="B28" t="s">
        <v>141</v>
      </c>
      <c r="D28" s="259">
        <v>0.12379999999999999</v>
      </c>
      <c r="E28" s="259">
        <v>0.1082</v>
      </c>
      <c r="J28" s="323"/>
      <c r="K28" s="323"/>
      <c r="L28" s="323"/>
      <c r="M28" s="323"/>
      <c r="N28" s="57"/>
      <c r="O28" s="57"/>
      <c r="P28" s="57"/>
      <c r="Q28" s="57"/>
    </row>
    <row r="29" spans="1:17" x14ac:dyDescent="0.25">
      <c r="A29" s="261">
        <v>21</v>
      </c>
      <c r="B29" t="s">
        <v>148</v>
      </c>
      <c r="C29" t="s">
        <v>180</v>
      </c>
      <c r="D29" s="259">
        <v>0.12379999999999999</v>
      </c>
      <c r="E29" s="259">
        <v>0.1082</v>
      </c>
      <c r="J29" s="323"/>
      <c r="K29" s="323"/>
      <c r="L29" s="323"/>
      <c r="M29" s="323"/>
      <c r="N29" s="57"/>
      <c r="O29" s="57"/>
      <c r="P29" s="57"/>
      <c r="Q29" s="57"/>
    </row>
    <row r="31" spans="1:17" x14ac:dyDescent="0.25">
      <c r="B31" s="258"/>
      <c r="C31" s="258"/>
    </row>
    <row r="32" spans="1:17" x14ac:dyDescent="0.25">
      <c r="D32" s="259"/>
      <c r="E32" s="259"/>
    </row>
    <row r="33" spans="4:5" x14ac:dyDescent="0.25">
      <c r="D33" s="259"/>
      <c r="E33" s="259"/>
    </row>
    <row r="34" spans="4:5" x14ac:dyDescent="0.25">
      <c r="D34" s="259"/>
      <c r="E34" s="259"/>
    </row>
    <row r="35" spans="4:5" x14ac:dyDescent="0.25">
      <c r="D35" s="259"/>
      <c r="E35" s="259"/>
    </row>
    <row r="36" spans="4:5" x14ac:dyDescent="0.25">
      <c r="D36" s="259"/>
      <c r="E36" s="259"/>
    </row>
    <row r="37" spans="4:5" x14ac:dyDescent="0.25">
      <c r="D37" s="259"/>
      <c r="E37" s="259"/>
    </row>
    <row r="38" spans="4:5" x14ac:dyDescent="0.25">
      <c r="D38" s="259"/>
      <c r="E38" s="259"/>
    </row>
  </sheetData>
  <mergeCells count="2">
    <mergeCell ref="G27:I27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2016 TU</vt:lpstr>
      <vt:lpstr>2016 GG TU Weighted ROE</vt:lpstr>
      <vt:lpstr>2016 MM TU Weighted ROE</vt:lpstr>
      <vt:lpstr>Interest Rates</vt:lpstr>
      <vt:lpstr>List of ROE by TO</vt:lpstr>
      <vt:lpstr>'2016 GG TU Weighted ROE'!Print_Area</vt:lpstr>
      <vt:lpstr>'2016 MM TU Weighted ROE'!Print_Area</vt:lpstr>
      <vt:lpstr>'2016 TU'!Print_Area</vt:lpstr>
      <vt:lpstr>'Interest Rates'!Print_Area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Gudeman, Greg M</dc:creator>
  <cp:lastModifiedBy>mmcdowell</cp:lastModifiedBy>
  <cp:lastPrinted>2017-05-16T20:45:34Z</cp:lastPrinted>
  <dcterms:created xsi:type="dcterms:W3CDTF">2016-12-15T18:01:36Z</dcterms:created>
  <dcterms:modified xsi:type="dcterms:W3CDTF">2017-05-31T16:00:53Z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