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25" windowWidth="9570" windowHeight="8580" tabRatio="937"/>
  </bookViews>
  <sheets>
    <sheet name="SIGE" sheetId="65" r:id="rId1"/>
    <sheet name="Workpapers (Pages 1 to 4)" sheetId="66" r:id="rId2"/>
    <sheet name="Workpaper (Page 5)" sheetId="76" r:id="rId3"/>
    <sheet name="Workpapers (Pages 6 and 7)" sheetId="67" r:id="rId4"/>
    <sheet name="Workpapers (Page 8)" sheetId="68" r:id="rId5"/>
    <sheet name="Workpapers (Page 9)" sheetId="69" r:id="rId6"/>
    <sheet name="Workpapers (Page 10)" sheetId="70" r:id="rId7"/>
    <sheet name="Workpapers (Page 11)" sheetId="71" r:id="rId8"/>
    <sheet name="Workpapers (Page 12)" sheetId="72" r:id="rId9"/>
  </sheets>
  <definedNames>
    <definedName name="CUSTAR">#REF!</definedName>
    <definedName name="CUYAHOGA_FALLS">#REF!</definedName>
    <definedName name="EDGERTON">#REF!</definedName>
    <definedName name="Ellwood_City">#REF!</definedName>
    <definedName name="ELMORE">#REF!</definedName>
    <definedName name="GALION">#REF!</definedName>
    <definedName name="GENOA">#REF!</definedName>
    <definedName name="GENOA_NORTH">#REF!</definedName>
    <definedName name="GENOA_SOUTH">#REF!</definedName>
    <definedName name="GRAFTON">#REF!</definedName>
    <definedName name="Grove_City">#REF!</definedName>
    <definedName name="HASKINS">#REF!</definedName>
    <definedName name="hourending">#REF!</definedName>
    <definedName name="HUBBARD">#REF!</definedName>
    <definedName name="LODI">#REF!</definedName>
    <definedName name="LUCAS">#REF!</definedName>
    <definedName name="MILAN">#REF!</definedName>
    <definedName name="MONROEVILLE">#REF!</definedName>
    <definedName name="NAPOLEON">#REF!</definedName>
    <definedName name="NEASG">#REF!</definedName>
    <definedName name="New_Wilmington">#REF!</definedName>
    <definedName name="NEWTON_FALLS">#REF!</definedName>
    <definedName name="NILES">#REF!</definedName>
    <definedName name="NWASG">#REF!</definedName>
    <definedName name="OAK_HARBOR">#REF!</definedName>
    <definedName name="OBERLIN">#REF!</definedName>
    <definedName name="PEMBERVILLE">#REF!</definedName>
    <definedName name="PIONEER">#REF!</definedName>
    <definedName name="_xlnm.Print_Area" localSheetId="0">SIGE!$A$1:$L$396</definedName>
    <definedName name="_xlnm.Print_Area" localSheetId="2">'Workpaper (Page 5)'!$A$1:$L$92</definedName>
    <definedName name="_xlnm.Print_Area" localSheetId="6">'Workpapers (Page 10)'!$A$1:$G$23</definedName>
    <definedName name="_xlnm.Print_Area" localSheetId="7">'Workpapers (Page 11)'!$A$1:$D$28</definedName>
    <definedName name="_xlnm.Print_Area" localSheetId="8">'Workpapers (Page 12)'!$A$1:$Q$20</definedName>
    <definedName name="_xlnm.Print_Area" localSheetId="5">'Workpapers (Page 9)'!$A$1:$J$24</definedName>
    <definedName name="_xlnm.Print_Area" localSheetId="3">'Workpapers (Pages 6 and 7)'!$A$1:$F$72</definedName>
    <definedName name="_xlnm.Print_Area">#REF!</definedName>
    <definedName name="PROSPECT">#REF!</definedName>
    <definedName name="revreq">#REF!</definedName>
    <definedName name="SEVILLE">#REF!</definedName>
    <definedName name="SOUTH_VIENNA">#REF!</definedName>
    <definedName name="TOTAL_COLUMBIANA">#REF!</definedName>
    <definedName name="Total_Grove_City">#REF!</definedName>
    <definedName name="TOTAL_HUDSON">#REF!</definedName>
    <definedName name="TOTAL_MONTPELIER">#REF!</definedName>
    <definedName name="TOTAL_WOODVILLE">#REF!</definedName>
    <definedName name="WADSWORTH">#REF!</definedName>
  </definedNames>
  <calcPr calcId="145621" iterate="1" iterateCount="1000"/>
</workbook>
</file>

<file path=xl/calcChain.xml><?xml version="1.0" encoding="utf-8"?>
<calcChain xmlns="http://schemas.openxmlformats.org/spreadsheetml/2006/main">
  <c r="H292" i="65" l="1"/>
  <c r="E13" i="69" l="1"/>
  <c r="E9" i="67" l="1"/>
  <c r="D76" i="66" l="1"/>
  <c r="E76" i="66"/>
  <c r="F76" i="66"/>
  <c r="D88" i="66"/>
  <c r="E88" i="66"/>
  <c r="F88" i="66"/>
  <c r="E54" i="67"/>
  <c r="C21" i="66"/>
  <c r="D21" i="66"/>
  <c r="E21" i="66"/>
  <c r="F21" i="66"/>
  <c r="G21" i="66"/>
  <c r="C41" i="66"/>
  <c r="D41" i="66"/>
  <c r="E41" i="66"/>
  <c r="F41" i="66"/>
  <c r="G41" i="66"/>
  <c r="E72" i="67" l="1"/>
  <c r="N19" i="72"/>
  <c r="N18" i="72"/>
  <c r="N17" i="72"/>
  <c r="N16" i="72"/>
  <c r="N15" i="72"/>
  <c r="N14" i="72"/>
  <c r="N13" i="72"/>
  <c r="N12" i="72"/>
  <c r="N11" i="72"/>
  <c r="N10" i="72"/>
  <c r="N9" i="72"/>
  <c r="N20" i="72" s="1"/>
  <c r="N8" i="72"/>
  <c r="N7" i="72"/>
  <c r="P19" i="72"/>
  <c r="P18" i="72"/>
  <c r="P17" i="72"/>
  <c r="P16" i="72"/>
  <c r="P15" i="72"/>
  <c r="P14" i="72"/>
  <c r="P13" i="72"/>
  <c r="P12" i="72"/>
  <c r="P11" i="72"/>
  <c r="P10" i="72"/>
  <c r="P9" i="72"/>
  <c r="P8" i="72"/>
  <c r="P7" i="72"/>
  <c r="E26" i="67" l="1"/>
  <c r="E8" i="69" l="1"/>
  <c r="E16" i="69"/>
  <c r="C43" i="66"/>
  <c r="G43" i="66"/>
  <c r="D43" i="66"/>
  <c r="F43" i="66"/>
  <c r="E43" i="66" l="1"/>
  <c r="E16" i="67"/>
  <c r="E28" i="67" s="1"/>
  <c r="J90" i="76" l="1"/>
  <c r="L90" i="76" s="1"/>
  <c r="E79" i="76"/>
  <c r="E80" i="76" s="1"/>
  <c r="J78" i="76"/>
  <c r="L78" i="76" s="1"/>
  <c r="F90" i="66" s="1"/>
  <c r="H70" i="76"/>
  <c r="H69" i="76"/>
  <c r="H68" i="76"/>
  <c r="H67" i="76"/>
  <c r="H66" i="76"/>
  <c r="H65" i="76"/>
  <c r="H64" i="76"/>
  <c r="H63" i="76"/>
  <c r="H62" i="76"/>
  <c r="H61" i="76"/>
  <c r="H60" i="76"/>
  <c r="H59" i="76"/>
  <c r="E59" i="76"/>
  <c r="E60" i="76" s="1"/>
  <c r="J58" i="76"/>
  <c r="L58" i="76" s="1"/>
  <c r="J50" i="76"/>
  <c r="L50" i="76" s="1"/>
  <c r="E39" i="76"/>
  <c r="J39" i="76" s="1"/>
  <c r="J38" i="76"/>
  <c r="L38" i="76" s="1"/>
  <c r="H30" i="76"/>
  <c r="H29" i="76"/>
  <c r="H28" i="76"/>
  <c r="H27" i="76"/>
  <c r="H26" i="76"/>
  <c r="H25" i="76"/>
  <c r="H24" i="76"/>
  <c r="H23" i="76"/>
  <c r="H22" i="76"/>
  <c r="H21" i="76"/>
  <c r="H20" i="76"/>
  <c r="H19" i="76"/>
  <c r="E19" i="76"/>
  <c r="E20" i="76" s="1"/>
  <c r="J18" i="76"/>
  <c r="L18" i="76" s="1"/>
  <c r="E90" i="66" l="1"/>
  <c r="L91" i="76"/>
  <c r="L92" i="76" s="1"/>
  <c r="L51" i="76"/>
  <c r="L52" i="76" s="1"/>
  <c r="E11" i="76" s="1"/>
  <c r="E61" i="76"/>
  <c r="F60" i="76"/>
  <c r="I60" i="76" s="1"/>
  <c r="E21" i="76"/>
  <c r="F20" i="76"/>
  <c r="I20" i="76" s="1"/>
  <c r="E81" i="76"/>
  <c r="J80" i="76"/>
  <c r="F19" i="76"/>
  <c r="I19" i="76" s="1"/>
  <c r="J19" i="76" s="1"/>
  <c r="F59" i="76"/>
  <c r="I59" i="76" s="1"/>
  <c r="J59" i="76" s="1"/>
  <c r="J79" i="76"/>
  <c r="E40" i="76"/>
  <c r="E41" i="76" l="1"/>
  <c r="J40" i="76"/>
  <c r="E82" i="76"/>
  <c r="J81" i="76"/>
  <c r="E22" i="76"/>
  <c r="F21" i="76"/>
  <c r="I21" i="76" s="1"/>
  <c r="J60" i="76"/>
  <c r="E62" i="76"/>
  <c r="F61" i="76"/>
  <c r="I61" i="76" s="1"/>
  <c r="J20" i="76"/>
  <c r="J21" i="76" l="1"/>
  <c r="J61" i="76"/>
  <c r="E83" i="76"/>
  <c r="J82" i="76"/>
  <c r="E23" i="76"/>
  <c r="F22" i="76"/>
  <c r="I22" i="76" s="1"/>
  <c r="E42" i="76"/>
  <c r="J41" i="76"/>
  <c r="E63" i="76"/>
  <c r="F62" i="76"/>
  <c r="I62" i="76" s="1"/>
  <c r="J62" i="76" s="1"/>
  <c r="J22" i="76" l="1"/>
  <c r="E43" i="76"/>
  <c r="J42" i="76"/>
  <c r="E84" i="76"/>
  <c r="J83" i="76"/>
  <c r="E64" i="76"/>
  <c r="F63" i="76"/>
  <c r="I63" i="76" s="1"/>
  <c r="J63" i="76" s="1"/>
  <c r="E24" i="76"/>
  <c r="F23" i="76"/>
  <c r="I23" i="76" s="1"/>
  <c r="J23" i="76" s="1"/>
  <c r="E65" i="76" l="1"/>
  <c r="F64" i="76"/>
  <c r="I64" i="76" s="1"/>
  <c r="J64" i="76" s="1"/>
  <c r="E44" i="76"/>
  <c r="J43" i="76"/>
  <c r="E25" i="76"/>
  <c r="F24" i="76"/>
  <c r="I24" i="76" s="1"/>
  <c r="J24" i="76" s="1"/>
  <c r="E85" i="76"/>
  <c r="J84" i="76"/>
  <c r="E26" i="76" l="1"/>
  <c r="F25" i="76"/>
  <c r="I25" i="76" s="1"/>
  <c r="J25" i="76" s="1"/>
  <c r="E66" i="76"/>
  <c r="F65" i="76"/>
  <c r="I65" i="76" s="1"/>
  <c r="J65" i="76" s="1"/>
  <c r="E86" i="76"/>
  <c r="J85" i="76"/>
  <c r="J44" i="76"/>
  <c r="E45" i="76"/>
  <c r="E87" i="76" l="1"/>
  <c r="J86" i="76"/>
  <c r="E27" i="76"/>
  <c r="F26" i="76"/>
  <c r="I26" i="76" s="1"/>
  <c r="J26" i="76" s="1"/>
  <c r="J45" i="76"/>
  <c r="E46" i="76"/>
  <c r="E67" i="76"/>
  <c r="F66" i="76"/>
  <c r="I66" i="76" s="1"/>
  <c r="J66" i="76" s="1"/>
  <c r="E47" i="76" l="1"/>
  <c r="J46" i="76"/>
  <c r="E88" i="76"/>
  <c r="J87" i="76"/>
  <c r="F67" i="76"/>
  <c r="I67" i="76" s="1"/>
  <c r="J67" i="76" s="1"/>
  <c r="E68" i="76"/>
  <c r="E28" i="76"/>
  <c r="F27" i="76"/>
  <c r="I27" i="76" s="1"/>
  <c r="J27" i="76" s="1"/>
  <c r="E48" i="76" l="1"/>
  <c r="J47" i="76"/>
  <c r="E29" i="76"/>
  <c r="F28" i="76"/>
  <c r="I28" i="76" s="1"/>
  <c r="J28" i="76" s="1"/>
  <c r="E89" i="76"/>
  <c r="J89" i="76" s="1"/>
  <c r="J88" i="76"/>
  <c r="E69" i="76"/>
  <c r="F68" i="76"/>
  <c r="I68" i="76" s="1"/>
  <c r="J68" i="76" s="1"/>
  <c r="E49" i="76" l="1"/>
  <c r="J49" i="76" s="1"/>
  <c r="J48" i="76"/>
  <c r="F70" i="76"/>
  <c r="I70" i="76" s="1"/>
  <c r="F69" i="76"/>
  <c r="I69" i="76" s="1"/>
  <c r="J69" i="76" s="1"/>
  <c r="F30" i="76"/>
  <c r="I30" i="76" s="1"/>
  <c r="F29" i="76"/>
  <c r="I29" i="76" s="1"/>
  <c r="J29" i="76" s="1"/>
  <c r="J70" i="76" l="1"/>
  <c r="L70" i="76" s="1"/>
  <c r="J30" i="76"/>
  <c r="L30" i="76" s="1"/>
  <c r="D90" i="66" s="1"/>
  <c r="L71" i="76" l="1"/>
  <c r="L72" i="76" s="1"/>
  <c r="E7" i="76" s="1"/>
  <c r="L31" i="76"/>
  <c r="L32" i="76" s="1"/>
  <c r="E10" i="76" s="1"/>
  <c r="E12" i="76" l="1"/>
  <c r="E68" i="67" l="1"/>
  <c r="E70" i="67" s="1"/>
  <c r="E113" i="66" l="1"/>
  <c r="G111" i="66"/>
  <c r="G99" i="66"/>
  <c r="G113" i="66" l="1"/>
  <c r="F113" i="66"/>
  <c r="P20" i="72" l="1"/>
  <c r="O20" i="72"/>
  <c r="M20" i="72"/>
  <c r="L20" i="72"/>
  <c r="K20" i="72"/>
  <c r="J20" i="72"/>
  <c r="I20" i="72"/>
  <c r="G20" i="72"/>
  <c r="E20" i="72"/>
  <c r="D20" i="72"/>
  <c r="B20" i="72"/>
  <c r="R19" i="72"/>
  <c r="H19" i="72"/>
  <c r="F19" i="72"/>
  <c r="R18" i="72"/>
  <c r="F18" i="72"/>
  <c r="H18" i="72" s="1"/>
  <c r="R17" i="72"/>
  <c r="F17" i="72"/>
  <c r="H17" i="72" s="1"/>
  <c r="R16" i="72"/>
  <c r="H16" i="72"/>
  <c r="F16" i="72"/>
  <c r="R15" i="72"/>
  <c r="H15" i="72"/>
  <c r="F15" i="72"/>
  <c r="R14" i="72"/>
  <c r="F14" i="72"/>
  <c r="H14" i="72" s="1"/>
  <c r="R13" i="72"/>
  <c r="F13" i="72"/>
  <c r="H13" i="72" s="1"/>
  <c r="R12" i="72"/>
  <c r="K12" i="72"/>
  <c r="J12" i="72"/>
  <c r="I12" i="72"/>
  <c r="H12" i="72"/>
  <c r="G12" i="72"/>
  <c r="F12" i="72"/>
  <c r="E12" i="72"/>
  <c r="R11" i="72"/>
  <c r="J11" i="72"/>
  <c r="I11" i="72"/>
  <c r="G11" i="72"/>
  <c r="F11" i="72"/>
  <c r="H11" i="72" s="1"/>
  <c r="E11" i="72"/>
  <c r="R10" i="72"/>
  <c r="H10" i="72"/>
  <c r="G10" i="72"/>
  <c r="F10" i="72"/>
  <c r="F20" i="72" s="1"/>
  <c r="E10" i="72"/>
  <c r="R9" i="72"/>
  <c r="H9" i="72"/>
  <c r="R8" i="72"/>
  <c r="H8" i="72"/>
  <c r="R7" i="72"/>
  <c r="H7" i="72"/>
  <c r="C23" i="71"/>
  <c r="C22" i="71"/>
  <c r="J307" i="65" s="1"/>
  <c r="C21" i="71"/>
  <c r="C20" i="71"/>
  <c r="D21" i="70"/>
  <c r="D22" i="70" s="1"/>
  <c r="D23" i="70" s="1"/>
  <c r="H22" i="69"/>
  <c r="E21" i="69"/>
  <c r="E23" i="69"/>
  <c r="G21" i="69"/>
  <c r="E17" i="68"/>
  <c r="F68" i="67"/>
  <c r="F70" i="67" s="1"/>
  <c r="C172" i="66"/>
  <c r="D140" i="66"/>
  <c r="C140" i="66"/>
  <c r="C111" i="66"/>
  <c r="G90" i="66"/>
  <c r="E122" i="65"/>
  <c r="E121" i="65"/>
  <c r="E120" i="65"/>
  <c r="C90" i="66"/>
  <c r="D66" i="66"/>
  <c r="C54" i="66"/>
  <c r="C55" i="66" s="1"/>
  <c r="C56" i="66" s="1"/>
  <c r="C57" i="66" s="1"/>
  <c r="C58" i="66" s="1"/>
  <c r="C59" i="66" s="1"/>
  <c r="C60" i="66" s="1"/>
  <c r="C61" i="66" s="1"/>
  <c r="C53" i="66"/>
  <c r="E100" i="65"/>
  <c r="G386" i="65"/>
  <c r="G388" i="65" s="1"/>
  <c r="E318" i="65"/>
  <c r="J315" i="65"/>
  <c r="J301" i="65"/>
  <c r="H291" i="65"/>
  <c r="E290" i="65"/>
  <c r="J285" i="65"/>
  <c r="J284" i="65"/>
  <c r="J279" i="65"/>
  <c r="E274" i="65"/>
  <c r="E273" i="65"/>
  <c r="J272" i="65"/>
  <c r="E268" i="65"/>
  <c r="H268" i="65" s="1"/>
  <c r="E267" i="65"/>
  <c r="H267" i="65" s="1"/>
  <c r="E266" i="65"/>
  <c r="E265" i="65"/>
  <c r="J256" i="65"/>
  <c r="E241" i="65"/>
  <c r="J238" i="65"/>
  <c r="J222" i="65"/>
  <c r="E205" i="65"/>
  <c r="E200" i="65"/>
  <c r="E204" i="65" s="1"/>
  <c r="G194" i="65"/>
  <c r="D194" i="65"/>
  <c r="E192" i="65"/>
  <c r="G190" i="65"/>
  <c r="D190" i="65"/>
  <c r="E184" i="65"/>
  <c r="C184" i="65"/>
  <c r="E183" i="65"/>
  <c r="J182" i="65"/>
  <c r="E181" i="65"/>
  <c r="C181" i="65"/>
  <c r="J177" i="65"/>
  <c r="D176" i="65"/>
  <c r="G175" i="65"/>
  <c r="E174" i="65"/>
  <c r="G173" i="65"/>
  <c r="G174" i="65" s="1"/>
  <c r="E170" i="65"/>
  <c r="J170" i="65" s="1"/>
  <c r="E162" i="65"/>
  <c r="J159" i="65"/>
  <c r="E132" i="65"/>
  <c r="J124" i="65"/>
  <c r="G122" i="65"/>
  <c r="G103" i="65"/>
  <c r="E103" i="65"/>
  <c r="C103" i="65"/>
  <c r="C111" i="65" s="1"/>
  <c r="G102" i="65"/>
  <c r="E102" i="65"/>
  <c r="C102" i="65"/>
  <c r="C110" i="65" s="1"/>
  <c r="H101" i="65"/>
  <c r="G101" i="65"/>
  <c r="E101" i="65"/>
  <c r="C101" i="65"/>
  <c r="C109" i="65" s="1"/>
  <c r="G100" i="65"/>
  <c r="G127" i="65" s="1"/>
  <c r="C100" i="65"/>
  <c r="C108" i="65" s="1"/>
  <c r="H99" i="65"/>
  <c r="G99" i="65"/>
  <c r="G119" i="65" s="1"/>
  <c r="G193" i="65" s="1"/>
  <c r="E99" i="65"/>
  <c r="C99" i="65"/>
  <c r="C107" i="65" s="1"/>
  <c r="E95" i="65"/>
  <c r="E94" i="65"/>
  <c r="E93" i="65"/>
  <c r="E92" i="65"/>
  <c r="J246" i="65" s="1"/>
  <c r="E91" i="65"/>
  <c r="E84" i="65"/>
  <c r="J81" i="65"/>
  <c r="J50" i="65"/>
  <c r="J49" i="65"/>
  <c r="J22" i="65"/>
  <c r="G15" i="65"/>
  <c r="G16" i="65" s="1"/>
  <c r="G17" i="65" s="1"/>
  <c r="E14" i="65"/>
  <c r="H20" i="72" l="1"/>
  <c r="C66" i="66"/>
  <c r="E114" i="65" s="1"/>
  <c r="C113" i="66"/>
  <c r="E127" i="65" s="1"/>
  <c r="E193" i="65"/>
  <c r="E196" i="65" s="1"/>
  <c r="E111" i="65"/>
  <c r="E96" i="65"/>
  <c r="E109" i="65"/>
  <c r="E104" i="65"/>
  <c r="E110" i="65"/>
  <c r="J249" i="65"/>
  <c r="J251" i="65" s="1"/>
  <c r="E107" i="65"/>
  <c r="E108" i="65"/>
  <c r="E208" i="65"/>
  <c r="J287" i="65"/>
  <c r="E292" i="65" s="1"/>
  <c r="E293" i="65" s="1"/>
  <c r="F291" i="65" s="1"/>
  <c r="J291" i="65" s="1"/>
  <c r="J30" i="65"/>
  <c r="J37" i="65" s="1"/>
  <c r="H290" i="65"/>
  <c r="E24" i="69"/>
  <c r="F21" i="69" s="1"/>
  <c r="E276" i="65"/>
  <c r="H274" i="65" s="1"/>
  <c r="E269" i="65"/>
  <c r="H265" i="65"/>
  <c r="E185" i="65"/>
  <c r="E172" i="65"/>
  <c r="E140" i="66"/>
  <c r="E131" i="65" s="1"/>
  <c r="E125" i="65"/>
  <c r="H92" i="65" l="1"/>
  <c r="F266" i="65"/>
  <c r="H266" i="65" s="1"/>
  <c r="H269" i="65" s="1"/>
  <c r="J269" i="65" s="1"/>
  <c r="J260" i="65"/>
  <c r="H14" i="65"/>
  <c r="E112" i="65"/>
  <c r="F292" i="65"/>
  <c r="J292" i="65" s="1"/>
  <c r="F290" i="65"/>
  <c r="J290" i="65" s="1"/>
  <c r="F23" i="69"/>
  <c r="F24" i="69" s="1"/>
  <c r="H21" i="69"/>
  <c r="E169" i="65"/>
  <c r="J255" i="65" s="1"/>
  <c r="J257" i="65" s="1"/>
  <c r="J293" i="65" l="1"/>
  <c r="H94" i="65"/>
  <c r="H102" i="65" s="1"/>
  <c r="J274" i="65"/>
  <c r="L274" i="65" s="1"/>
  <c r="H95" i="65" s="1"/>
  <c r="J95" i="65" s="1"/>
  <c r="H15" i="65"/>
  <c r="H16" i="65" s="1"/>
  <c r="J14" i="65"/>
  <c r="H100" i="65"/>
  <c r="J92" i="65"/>
  <c r="H23" i="69"/>
  <c r="H24" i="69" s="1"/>
  <c r="J259" i="65"/>
  <c r="J261" i="65" s="1"/>
  <c r="H131" i="65" s="1"/>
  <c r="J131" i="65" s="1"/>
  <c r="E178" i="65"/>
  <c r="E130" i="65" s="1"/>
  <c r="E133" i="65" s="1"/>
  <c r="E135" i="65" s="1"/>
  <c r="E211" i="65" l="1"/>
  <c r="E201" i="65"/>
  <c r="J94" i="65"/>
  <c r="J96" i="65" s="1"/>
  <c r="H96" i="65" s="1"/>
  <c r="H103" i="65"/>
  <c r="H176" i="65" s="1"/>
  <c r="H127" i="65"/>
  <c r="J100" i="65"/>
  <c r="J108" i="65" s="1"/>
  <c r="H169" i="65"/>
  <c r="H175" i="65" s="1"/>
  <c r="J175" i="65" s="1"/>
  <c r="J16" i="65"/>
  <c r="H17" i="65"/>
  <c r="J17" i="65" s="1"/>
  <c r="H172" i="65"/>
  <c r="J102" i="65"/>
  <c r="E207" i="65" l="1"/>
  <c r="E209" i="65" s="1"/>
  <c r="E214" i="65" s="1"/>
  <c r="J103" i="65"/>
  <c r="J111" i="65" s="1"/>
  <c r="H171" i="65"/>
  <c r="J171" i="65" s="1"/>
  <c r="J169" i="65"/>
  <c r="H114" i="65"/>
  <c r="J114" i="65" s="1"/>
  <c r="H181" i="65"/>
  <c r="J181" i="65" s="1"/>
  <c r="J127" i="65"/>
  <c r="H173" i="65"/>
  <c r="H183" i="65"/>
  <c r="J172" i="65"/>
  <c r="J110" i="65"/>
  <c r="J176" i="65"/>
  <c r="H184" i="65"/>
  <c r="J184" i="65" s="1"/>
  <c r="H192" i="65"/>
  <c r="H132" i="65"/>
  <c r="J132" i="65" s="1"/>
  <c r="J112" i="65" l="1"/>
  <c r="H112" i="65" s="1"/>
  <c r="H208" i="65" s="1"/>
  <c r="J208" i="65" s="1"/>
  <c r="J104" i="65"/>
  <c r="H194" i="65"/>
  <c r="J194" i="65" s="1"/>
  <c r="J192" i="65"/>
  <c r="H195" i="65"/>
  <c r="J195" i="65" s="1"/>
  <c r="H189" i="65"/>
  <c r="J183" i="65"/>
  <c r="H174" i="65"/>
  <c r="J174" i="65" s="1"/>
  <c r="J173" i="65"/>
  <c r="H120" i="65" l="1"/>
  <c r="H121" i="65" s="1"/>
  <c r="J178" i="65"/>
  <c r="J185" i="65"/>
  <c r="J189" i="65"/>
  <c r="H190" i="65"/>
  <c r="J190" i="65" s="1"/>
  <c r="J130" i="65" l="1"/>
  <c r="J133" i="65" s="1"/>
  <c r="J120" i="65"/>
  <c r="J196" i="65"/>
  <c r="H122" i="65"/>
  <c r="J122" i="65" s="1"/>
  <c r="H123" i="65"/>
  <c r="J123" i="65" s="1"/>
  <c r="J121" i="65"/>
  <c r="J125" i="65" l="1"/>
  <c r="J135" i="65" l="1"/>
  <c r="J211" i="65" l="1"/>
  <c r="J207" i="65" l="1"/>
  <c r="J209" i="65" s="1"/>
  <c r="J214" i="65" l="1"/>
  <c r="C25" i="71" l="1"/>
  <c r="J308" i="65" s="1"/>
  <c r="C11" i="71"/>
  <c r="J306" i="65" s="1"/>
  <c r="J310" i="65" l="1"/>
  <c r="E15" i="65" s="1"/>
  <c r="J15" i="65" s="1"/>
  <c r="C18" i="71"/>
  <c r="C27" i="71" s="1"/>
  <c r="J18" i="65" l="1"/>
  <c r="J218" i="65" l="1"/>
  <c r="E223" i="65"/>
  <c r="J223" i="65" l="1"/>
  <c r="J10" i="65" s="1"/>
  <c r="J26" i="65" s="1"/>
  <c r="E39" i="65" l="1"/>
  <c r="E40" i="65" l="1"/>
  <c r="E44" i="65"/>
  <c r="E45" i="65" s="1"/>
  <c r="E46" i="65" s="1"/>
  <c r="J44" i="65"/>
  <c r="J45" i="65" s="1"/>
  <c r="J46" i="65" s="1"/>
</calcChain>
</file>

<file path=xl/sharedStrings.xml><?xml version="1.0" encoding="utf-8"?>
<sst xmlns="http://schemas.openxmlformats.org/spreadsheetml/2006/main" count="886" uniqueCount="602">
  <si>
    <t xml:space="preserve">  Revenues from service provided by the ISO at a discount</t>
  </si>
  <si>
    <t>216.b</t>
  </si>
  <si>
    <t xml:space="preserve">                           References to data from FERC Form 1 are indicated as:   #.y.x  (page, line, column)</t>
  </si>
  <si>
    <t>Long Term Interest (117, sum of 62.c through 67.c)</t>
  </si>
  <si>
    <t>Less Account 216.1 (112.12.c)  (enter negative)</t>
  </si>
  <si>
    <t>(3)</t>
  </si>
  <si>
    <t>(4)</t>
  </si>
  <si>
    <t>(5)</t>
  </si>
  <si>
    <t>Transmission</t>
  </si>
  <si>
    <t>Page, Line, Col.</t>
  </si>
  <si>
    <t>Company Total</t>
  </si>
  <si>
    <t xml:space="preserve">                  Allocator</t>
  </si>
  <si>
    <t>(Col 3 times Col 4)</t>
  </si>
  <si>
    <t xml:space="preserve">  Transmission</t>
  </si>
  <si>
    <t>TP</t>
  </si>
  <si>
    <t>TRANSMISSION PLANT INCLUDED IN ISO RATES</t>
  </si>
  <si>
    <t>TP=</t>
  </si>
  <si>
    <t xml:space="preserve">TRANSMISSION EXPENSES </t>
  </si>
  <si>
    <t>Note</t>
  </si>
  <si>
    <t>Letter</t>
  </si>
  <si>
    <t>A</t>
  </si>
  <si>
    <t>B</t>
  </si>
  <si>
    <t xml:space="preserve">  Plus Contract Demand of firm P-T-P over one year</t>
  </si>
  <si>
    <t>Identified in Form 1 as being only transmission related.</t>
  </si>
  <si>
    <t>Line 5 - EPRI Annual Membership Dues listed in Form 1 at 353.f, all Regulatory Commission Expenses itemized at 351.h, and non-safety</t>
  </si>
  <si>
    <t>U</t>
  </si>
  <si>
    <t>TOTAL ADJUSTMENTS  (sum lines 19- 23a)</t>
  </si>
  <si>
    <t>%</t>
  </si>
  <si>
    <t>263.i</t>
  </si>
  <si>
    <t>18a</t>
  </si>
  <si>
    <t xml:space="preserve">                                          Development of Common Stock:</t>
  </si>
  <si>
    <t xml:space="preserve">Less Preferred Stock (line 28) </t>
  </si>
  <si>
    <t>Common Stock</t>
  </si>
  <si>
    <t>(sum lines 23-25)</t>
  </si>
  <si>
    <t xml:space="preserve">  Common Stock  (line 26)</t>
  </si>
  <si>
    <t>Total  (sum lines 27-29)</t>
  </si>
  <si>
    <t>(310-311)</t>
  </si>
  <si>
    <t xml:space="preserve">  a. Bundled Non-RQ Sales for Resale (311.x.h)</t>
  </si>
  <si>
    <t>205.5.g &amp; 207.99.g</t>
  </si>
  <si>
    <t>321.112.b</t>
  </si>
  <si>
    <t>321.96.b</t>
  </si>
  <si>
    <t>323.197.b</t>
  </si>
  <si>
    <t>C</t>
  </si>
  <si>
    <t>D</t>
  </si>
  <si>
    <t>E</t>
  </si>
  <si>
    <t>Proprietary Capital (112.16.c)</t>
  </si>
  <si>
    <t xml:space="preserve">  Prepayments are the electric related prepayments booked to Account No. 165 and reported on Page 111 line 57 in the Form 1.</t>
  </si>
  <si>
    <t>Removes transmission plant determined by Commission order to be state-jurisdictional according to the seven-factor test (until Form 1</t>
  </si>
  <si>
    <t xml:space="preserve">                SUPPORTING CALCULATIONS AND NOTES</t>
  </si>
  <si>
    <t>Includes only FICA, unemployment, highway, property, gross receipts, and other assessments charged in the current year.</t>
  </si>
  <si>
    <t>I</t>
  </si>
  <si>
    <t>J</t>
  </si>
  <si>
    <t xml:space="preserve">  chose to utilize amortization of tax credits against taxable income as discussed in Note K.  Account 281 is not allocated.</t>
  </si>
  <si>
    <t>TOTAL REVENUE CREDITS  (sum lines 2-5)</t>
  </si>
  <si>
    <t xml:space="preserve">     Less EPRI &amp; Reg. Comm. Exp. &amp; Non-safety  Ad. (Note I)</t>
  </si>
  <si>
    <t xml:space="preserve">     Plus Transmission Related Reg. Comm.  Exp. (Note I)</t>
  </si>
  <si>
    <t>336.7.b</t>
  </si>
  <si>
    <t xml:space="preserve">  [ Rate Base (page 2, line 30) * Rate of Return (page 4, line 30)]</t>
  </si>
  <si>
    <t>REV. REQUIREMENT  (sum lines 8, 12, 20, 27, 28)</t>
  </si>
  <si>
    <t>page 4 of 5</t>
  </si>
  <si>
    <t>Included transmission expenses (line 6 less line 7)</t>
  </si>
  <si>
    <t>Form 1 Reference</t>
  </si>
  <si>
    <t>354.20.b</t>
  </si>
  <si>
    <t xml:space="preserve">  Total  (sum lines 12-15)</t>
  </si>
  <si>
    <t>WS</t>
  </si>
  <si>
    <t>200.3.c</t>
  </si>
  <si>
    <t>(line 16 / 12)</t>
  </si>
  <si>
    <t>TOTAL ACCUM. DEPRECIATION (sum lines 7-11)</t>
  </si>
  <si>
    <t xml:space="preserve"> (line 1- line 7)</t>
  </si>
  <si>
    <t xml:space="preserve"> (line 2- line 8)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</si>
  <si>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</si>
  <si>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</si>
  <si>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</si>
  <si>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</si>
  <si>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</si>
  <si>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</si>
  <si>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TOTAL WORKING CAPITAL (sum lines 26 - 28)</t>
  </si>
  <si>
    <t>DEPRECIATION EXPENSE</t>
  </si>
  <si>
    <t>TOTAL DEPRECIATION (Sum lines 9 - 11)</t>
  </si>
  <si>
    <t xml:space="preserve">  balances are adjusted to reflect application of seven-factor test).</t>
  </si>
  <si>
    <t>K</t>
  </si>
  <si>
    <t>L</t>
  </si>
  <si>
    <t>M</t>
  </si>
  <si>
    <t>N</t>
  </si>
  <si>
    <t>Line 33 must equal zero since all short-term power sales must be unbundled and the transmission component reflected in Account</t>
  </si>
  <si>
    <t>O</t>
  </si>
  <si>
    <t>Cash Working Capital assigned to transmission is one-eighth of O&amp;M allocated to transmission at page 3, line 8, column 5.</t>
  </si>
  <si>
    <t>WAGES &amp; SALARY ALLOCATOR   (W&amp;S)</t>
  </si>
  <si>
    <t>COMMON PLANT ALLOCATOR  (CE)   (Note O)</t>
  </si>
  <si>
    <t>(line 17 / line 20)</t>
  </si>
  <si>
    <t>(line 16)</t>
  </si>
  <si>
    <t>RETURN (R)</t>
  </si>
  <si>
    <t>Cost</t>
  </si>
  <si>
    <t>(Note P)</t>
  </si>
  <si>
    <t>Weighted</t>
  </si>
  <si>
    <t>=WCLTD</t>
  </si>
  <si>
    <t>=R</t>
  </si>
  <si>
    <t>ACCOUNT 454 (RENT FROM ELECTRIC PROPERTY)    (Note R)</t>
  </si>
  <si>
    <t xml:space="preserve">  elected to utilize amortization of tax credits against taxable income, rather than book tax credits to Account No. 255 and reduce </t>
  </si>
  <si>
    <t xml:space="preserve">  multiplied by (1/1-T) (page 3, line 26).</t>
  </si>
  <si>
    <t xml:space="preserve">         Inputs Required:</t>
  </si>
  <si>
    <t>FIT =</t>
  </si>
  <si>
    <t>SIT=</t>
  </si>
  <si>
    <t>Percentage of transmission expenses after adjustment (line 8 divided by line 6)</t>
  </si>
  <si>
    <t>Percentage of transmission plant included in ISO Rates (line 5)</t>
  </si>
  <si>
    <t>Percentage of transmission expenses included in ISO Rates (line 9 times line 10)</t>
  </si>
  <si>
    <t>Total transmission expenses    (page 3, line 1, column 3)</t>
  </si>
  <si>
    <t>Less transmission expenses included in OATT Ancillary Services   (Note L)</t>
  </si>
  <si>
    <t>267.8.h</t>
  </si>
  <si>
    <t>23a</t>
  </si>
  <si>
    <t xml:space="preserve">       and FIT, SIT &amp; p are as given in footnote K.</t>
  </si>
  <si>
    <t xml:space="preserve">      1 / (1 - T)  = (from line 21)</t>
  </si>
  <si>
    <t>Amortized Investment Tax Credit (266.8f) (enter negative)</t>
  </si>
  <si>
    <t>Income Tax Calculation = line 22 * line 28</t>
  </si>
  <si>
    <t>ITC adjustment (line 23 * line 24)</t>
  </si>
  <si>
    <t xml:space="preserve">  step-up facilities, which are deemed to included in OATT ancillary services.  For these purposes, generation step-up</t>
  </si>
  <si>
    <t xml:space="preserve">  Other</t>
  </si>
  <si>
    <t>($ / Allocation)</t>
  </si>
  <si>
    <t>=</t>
  </si>
  <si>
    <t>% Electric</t>
  </si>
  <si>
    <t xml:space="preserve">  Electric</t>
  </si>
  <si>
    <t xml:space="preserve">  Gas</t>
  </si>
  <si>
    <t>*</t>
  </si>
  <si>
    <t xml:space="preserve">  Water</t>
  </si>
  <si>
    <t>REVENUE CREDITS</t>
  </si>
  <si>
    <t>Load</t>
  </si>
  <si>
    <t>ACCOUNT 447 (SALES FOR RESALE)</t>
  </si>
  <si>
    <t xml:space="preserve">  Total of (a)-(b)</t>
  </si>
  <si>
    <t xml:space="preserve">  a. Transmission charges for all transmission transactions </t>
  </si>
  <si>
    <t xml:space="preserve">     Less LSE Expenses included in Transmission O&amp;M Accounts (Note V)</t>
  </si>
  <si>
    <t xml:space="preserve">  Average of 12 coincident system peaks for requirements (RQ) service       </t>
  </si>
  <si>
    <t>(Note A)</t>
  </si>
  <si>
    <t>(Note B)</t>
  </si>
  <si>
    <t>(Note C)</t>
  </si>
  <si>
    <t xml:space="preserve">  Less 12 CP of firm P-T-P over one year (enter negative)</t>
  </si>
  <si>
    <t>(Note D)</t>
  </si>
  <si>
    <t>201.3.d</t>
  </si>
  <si>
    <t>201.3.e</t>
  </si>
  <si>
    <t>Annual Cost ($/kW/Yr)</t>
  </si>
  <si>
    <t xml:space="preserve">Network &amp; P-to-P Rate ($/kW/Mo) 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</si>
  <si>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</si>
  <si>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</si>
  <si>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</si>
  <si>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</si>
  <si>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</si>
  <si>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</si>
  <si>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</si>
  <si>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</si>
  <si>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</si>
  <si>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(1)</t>
  </si>
  <si>
    <t>(2)</t>
  </si>
  <si>
    <t>TAXES OTHER THAN INCOME TAXES  (Note J)</t>
  </si>
  <si>
    <t xml:space="preserve">  </t>
  </si>
  <si>
    <t xml:space="preserve">  Preferred Stock  ( 112.3.c)</t>
  </si>
  <si>
    <t>Line 34 should be supported by notes in Form 1 or detailed Schedule</t>
  </si>
  <si>
    <t>Line 35 should be supported by notes in Form 1 or detailed Schedule</t>
  </si>
  <si>
    <t>Line 36 should be supported by notes in Form 1 or detailed Schedule</t>
  </si>
  <si>
    <t>If amts reflected on Line 4 they should be supported by schedules.</t>
  </si>
  <si>
    <t>If amts reflected on Line 5 they should be supported by schedules.</t>
  </si>
  <si>
    <t>Provide SIT work papers if required</t>
  </si>
  <si>
    <t>Total Income Taxes</t>
  </si>
  <si>
    <t>(line 25 plus line 26)</t>
  </si>
  <si>
    <t xml:space="preserve">RETURN </t>
  </si>
  <si>
    <t>Total transmission plant    (page 2, line 2, column 3)</t>
  </si>
  <si>
    <t>Less transmission plant excluded from ISO rates       (Note M)</t>
  </si>
  <si>
    <t>V</t>
  </si>
  <si>
    <t xml:space="preserve">  Plus 12 CP of Network Load not in line 8</t>
  </si>
  <si>
    <t>Divisor (sum lines 8-14)</t>
  </si>
  <si>
    <t>FERC Annual Charge($/MWh)</t>
  </si>
  <si>
    <t xml:space="preserve">          (Note E)</t>
  </si>
  <si>
    <t>Short Term</t>
  </si>
  <si>
    <t>Long Term</t>
  </si>
  <si>
    <t xml:space="preserve">  Transmission </t>
  </si>
  <si>
    <t>TE</t>
  </si>
  <si>
    <t xml:space="preserve">     Less Account 565</t>
  </si>
  <si>
    <t xml:space="preserve">  A&amp;G</t>
  </si>
  <si>
    <t>W/S</t>
  </si>
  <si>
    <t xml:space="preserve">     Less FERC Annual Fees</t>
  </si>
  <si>
    <t>5a</t>
  </si>
  <si>
    <t xml:space="preserve">  Common</t>
  </si>
  <si>
    <t>CE</t>
  </si>
  <si>
    <t xml:space="preserve">  Transmission Lease Payments</t>
  </si>
  <si>
    <t>GP</t>
  </si>
  <si>
    <t xml:space="preserve">  LABOR RELATED</t>
  </si>
  <si>
    <t xml:space="preserve">          Payroll</t>
  </si>
  <si>
    <t>General Note:  References to pages in this formulary rate are indicated as:  (page#, line#, col.#)</t>
  </si>
  <si>
    <t>214.x.d  (Note G)</t>
  </si>
  <si>
    <t>WORKING CAPITAL  (Note H)</t>
  </si>
  <si>
    <t xml:space="preserve">  CWC  </t>
  </si>
  <si>
    <t>calculated</t>
  </si>
  <si>
    <t>page 3 of 5</t>
  </si>
  <si>
    <t>207.58.g</t>
  </si>
  <si>
    <t>207.75.g</t>
  </si>
  <si>
    <t>Less transmission plant included in OATT Ancillary Services    (Note N )</t>
  </si>
  <si>
    <t>Transmission plant included in ISO rates  (line 1 less lines 2 &amp; 3)</t>
  </si>
  <si>
    <t>Percentage of transmission plant included in ISO Rates (line 4 divided by line 1)</t>
  </si>
  <si>
    <t xml:space="preserve">Formula Rate - Non-Levelized </t>
  </si>
  <si>
    <t>(Note T)</t>
  </si>
  <si>
    <t>RATE BASE:</t>
  </si>
  <si>
    <t>Debt cost rate = long-term interest (line 21) / long term debt (line 27).  Preferred cost rate = preferred dividends (line 22) /</t>
  </si>
  <si>
    <t xml:space="preserve">  preferred outstanding (line 28).   ROE will be supported in the original filing and no change in ROE may be made absent</t>
  </si>
  <si>
    <t>page 2 of 5</t>
  </si>
  <si>
    <t>Form No. 1</t>
  </si>
  <si>
    <t>356.1</t>
  </si>
  <si>
    <t>275.2.k</t>
  </si>
  <si>
    <t>277.9.k</t>
  </si>
  <si>
    <t>234.8.c</t>
  </si>
  <si>
    <t>Allocated</t>
  </si>
  <si>
    <t xml:space="preserve">REVENUE CREDITS </t>
  </si>
  <si>
    <t>(Note Q)</t>
  </si>
  <si>
    <t>Total</t>
  </si>
  <si>
    <t>Allocator</t>
  </si>
  <si>
    <t xml:space="preserve">  Account No. 454</t>
  </si>
  <si>
    <t xml:space="preserve">  Revenues from Grandfathered Interzonal Transactions</t>
  </si>
  <si>
    <t xml:space="preserve">  Plus 12 CP of firm bundled sales over one year not in line 8</t>
  </si>
  <si>
    <t>pancaking - the revenues are not included in line 4, page 1 nor are the loads included in line 13, page 1.</t>
  </si>
  <si>
    <t>T</t>
  </si>
  <si>
    <t>page 1 of 5</t>
  </si>
  <si>
    <t xml:space="preserve"> Utilizing FERC Form 1 Data</t>
  </si>
  <si>
    <r>
      <t xml:space="preserve">and the loads are included in line 13, page 1.  Grandfathered agreements whose rates have </t>
    </r>
    <r>
      <rPr>
        <u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</t>
    </r>
  </si>
  <si>
    <t>Account 456.1 entry shall be the annual total of the quarterly values reported at Form 1, 330.x.n.</t>
  </si>
  <si>
    <t>Includes income related only to transmission facilities, such as pole attachments, rentals and special use.</t>
  </si>
  <si>
    <t>P</t>
  </si>
  <si>
    <t>Grandfathered agreements whose rates have been changed to eliminate or mitigate pancaking - the revenues are included in line 4 page 1</t>
  </si>
  <si>
    <t>Q</t>
  </si>
  <si>
    <t>The revenues credited on page 1 lines 2-5 shall include only the amounts received directly (in the case of grandfathered agreements)</t>
  </si>
  <si>
    <t xml:space="preserve">  or from the ISO (for service under this tariff) reflecting the Transmission Owner's integrated transmission facilities.  They do not include</t>
  </si>
  <si>
    <t>219.20-24.c</t>
  </si>
  <si>
    <t xml:space="preserve">  No. 456.1 and all other uses are to be included in the divisor.</t>
  </si>
  <si>
    <t xml:space="preserve">  Less Contract Demands from service over one year provided by ISO at a discount (enter negative)</t>
  </si>
  <si>
    <t xml:space="preserve">The balances in Accounts 190, 281, 282 and 283, as adjusted by any amounts in contra accounts identified as regulatory assets </t>
  </si>
  <si>
    <t xml:space="preserve">  or liabilities related to FASB 106 or 109.  Balance of Account 255 is reduced by prior flow throughs and excluded if the utility </t>
  </si>
  <si>
    <t>111.57.c</t>
  </si>
  <si>
    <t>Preferred Dividends (118.29c) (positive number)</t>
  </si>
  <si>
    <t>205.46.g</t>
  </si>
  <si>
    <t>227.8.c &amp; .16.c</t>
  </si>
  <si>
    <t>336.11.b</t>
  </si>
  <si>
    <t xml:space="preserve">  Taxes related to income are excluded.  Gross receipts taxes are not included in transmission revenue requirement in the Rate Formula Template, </t>
  </si>
  <si>
    <t xml:space="preserve">   since they are recovered elsewhere.</t>
  </si>
  <si>
    <t xml:space="preserve">The FERC's annual charges for the year assessed the Transmission Owner for service under this tariff. </t>
  </si>
  <si>
    <t xml:space="preserve">  (State Income Tax Rate or Composite SIT)</t>
  </si>
  <si>
    <t>p =</t>
  </si>
  <si>
    <t xml:space="preserve">  (percent of federal income tax deductible for state purposes)</t>
  </si>
  <si>
    <t>Enter dollar amounts</t>
  </si>
  <si>
    <t>R</t>
  </si>
  <si>
    <t>S</t>
  </si>
  <si>
    <t xml:space="preserve">  revenues associated with FERC annual charges, gross receipts taxes, ancillary services, facilities not included in this template (e.g., direct</t>
  </si>
  <si>
    <t xml:space="preserve">  assignment facilities and GSUs) which are not recovered under this Rate Formula Template.</t>
  </si>
  <si>
    <t xml:space="preserve">          Highway and vehicle</t>
  </si>
  <si>
    <t xml:space="preserve">  PLANT RELATED</t>
  </si>
  <si>
    <t xml:space="preserve">  Production</t>
  </si>
  <si>
    <t>NA</t>
  </si>
  <si>
    <t xml:space="preserve">  Distribution</t>
  </si>
  <si>
    <t xml:space="preserve">  General &amp; Intangible</t>
  </si>
  <si>
    <t>TOTAL GROSS PLANT (sum lines 1-5)</t>
  </si>
  <si>
    <t>GP=</t>
  </si>
  <si>
    <t>TE=</t>
  </si>
  <si>
    <t>$</t>
  </si>
  <si>
    <t>Allocation</t>
  </si>
  <si>
    <t>W&amp;S Allocator</t>
  </si>
  <si>
    <t>(line 7 / line 15)</t>
  </si>
  <si>
    <t xml:space="preserve">     Rate Formula Template</t>
  </si>
  <si>
    <t xml:space="preserve"> </t>
  </si>
  <si>
    <t>Line</t>
  </si>
  <si>
    <t>No.</t>
  </si>
  <si>
    <t>Amount</t>
  </si>
  <si>
    <t>NET REVENUE REQUIREMENT</t>
  </si>
  <si>
    <t xml:space="preserve">DIVISOR </t>
  </si>
  <si>
    <t>VECTREN</t>
  </si>
  <si>
    <t xml:space="preserve">  Account No. 456.1</t>
  </si>
  <si>
    <t>354.21.b</t>
  </si>
  <si>
    <t>354.23.b</t>
  </si>
  <si>
    <t>354.24,25,26.b</t>
  </si>
  <si>
    <t xml:space="preserve">  Long Term Debt (112, sum of  18.c through 21.c)</t>
  </si>
  <si>
    <t>ACCOUNT 456.1 (OTHER ELECTRIC REVENUES) (Note U)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</si>
  <si>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</si>
  <si>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219.25.c</t>
  </si>
  <si>
    <t>219.26.c</t>
  </si>
  <si>
    <t xml:space="preserve">INCOME TAXES          </t>
  </si>
  <si>
    <t xml:space="preserve"> (Note K)</t>
  </si>
  <si>
    <t xml:space="preserve">     T=1 - {[(1 - SIT) * (1 - FIT)] / (1 - SIT * FIT * p)} =</t>
  </si>
  <si>
    <t xml:space="preserve">     CIT=(T/1-T) * (1-(WCLTD/R)) =</t>
  </si>
  <si>
    <t xml:space="preserve">         Property</t>
  </si>
  <si>
    <t xml:space="preserve">         Gross Receipts</t>
  </si>
  <si>
    <t>zero</t>
  </si>
  <si>
    <t xml:space="preserve">         Other</t>
  </si>
  <si>
    <t xml:space="preserve">         Payments in lieu of taxes</t>
  </si>
  <si>
    <t>TOTAL OTHER TAXES  (sum lines 13 - 19)</t>
  </si>
  <si>
    <t>F</t>
  </si>
  <si>
    <t>G</t>
  </si>
  <si>
    <t>Removes dollar amount of transmission plant included in the development of OATT ancillary services rates and generation</t>
  </si>
  <si>
    <t>revenue requirements.</t>
  </si>
  <si>
    <t>(page 4, line 34)</t>
  </si>
  <si>
    <t>(page 4, line 37)</t>
  </si>
  <si>
    <t xml:space="preserve">  Less Contract Demand from Grandfathered Interzonal Transactions over one year (enter negative) (Note S)</t>
  </si>
  <si>
    <t xml:space="preserve">  facilities are those facilities at a generator substation on which there is no through-flow when the generator is shut down.</t>
  </si>
  <si>
    <t>H</t>
  </si>
  <si>
    <t xml:space="preserve">  b. Bundled Sales for Resale  included in Divisor on page 1</t>
  </si>
  <si>
    <t>(330.x.n)</t>
  </si>
  <si>
    <t xml:space="preserve">  b. Transmission charges for all transmission transactions included in Divisor on Page 1</t>
  </si>
  <si>
    <t>page 5 of 5</t>
  </si>
  <si>
    <t>1a</t>
  </si>
  <si>
    <t xml:space="preserve">  Total  (sum lines 17 - 19)</t>
  </si>
  <si>
    <t>The currently effective income tax rate,  where FIT is the Federal income tax rate; SIT is the State income tax rate, and p =</t>
  </si>
  <si>
    <t xml:space="preserve">  "the percentage of federal income tax deductible for state income taxes".  If the utility is taxed in more than one state it must attach a</t>
  </si>
  <si>
    <t xml:space="preserve">  work paper showing the name of each state and how the blended or composite SIT was developed.  Furthermore, a utility that</t>
  </si>
  <si>
    <t>RATE BASE  (sum lines 18, 18a, 24, 25, &amp; 29)</t>
  </si>
  <si>
    <t>9a</t>
  </si>
  <si>
    <t>W</t>
  </si>
  <si>
    <t xml:space="preserve">   related advertising included in Account 930.1.  Line 5a - Regulatory Commission Expenses directly related to transmission service,  </t>
  </si>
  <si>
    <t xml:space="preserve">   ISO filings, or transmission siting itemized at 351.h. </t>
  </si>
  <si>
    <t xml:space="preserve">  rate base, must reduce its income tax expense by the amount of the Amortized Investment Tax Credit (Form 1, 266.8.f)</t>
  </si>
  <si>
    <t>100% CWIP Recovery for Commission accepted</t>
  </si>
  <si>
    <t>or Approved Order No. 679 Transmission</t>
  </si>
  <si>
    <t xml:space="preserve">  Unamortized Balance of Cancelled or Abandoned Plant (Note W)</t>
  </si>
  <si>
    <t xml:space="preserve">  Abandoned or Cancelled Plant Amortization (Note W)</t>
  </si>
  <si>
    <t>include in the formula rate placeholders for cancelled or abandoned plant for the Project.  Page 2 line 23a includes any unamortized balances related to the recovery of abandoned</t>
  </si>
  <si>
    <t>or cancelled plant costs accepted or approved by FERC. Page 3 line 9a includes the unamortization expense of abandoned or cancelled plant costs accepted or approved by FERC.</t>
  </si>
  <si>
    <t>Vectren would need to make a separate Section 205 filing and obtain Commission acceptance or approval for the specific amounts that Vectren would propose to</t>
  </si>
  <si>
    <t>6a</t>
  </si>
  <si>
    <t>Historic Year Actual ATRR</t>
  </si>
  <si>
    <t>6b</t>
  </si>
  <si>
    <t>6c</t>
  </si>
  <si>
    <t>6d</t>
  </si>
  <si>
    <t>6e</t>
  </si>
  <si>
    <t>Projected ATRR from Historic Year</t>
  </si>
  <si>
    <t>Historic Year ATRR True-Up</t>
  </si>
  <si>
    <t>Historic Year Divisor True-Up</t>
  </si>
  <si>
    <t>Interest on Historic Year True-Up</t>
  </si>
  <si>
    <t>Input from Historic Year</t>
  </si>
  <si>
    <t>(line 6a - line 6b)</t>
  </si>
  <si>
    <t>(Note Z)</t>
  </si>
  <si>
    <t>Incentive Project  (Note X)</t>
  </si>
  <si>
    <t>X</t>
  </si>
  <si>
    <t>Y</t>
  </si>
  <si>
    <t>Z</t>
  </si>
  <si>
    <t>Calculate using 13 month average balance, reconciling to FERC Form No. 1 by page, line and column as shown in Column 2.</t>
  </si>
  <si>
    <t>Calculate using average of beginning of year and end of year balance reconciling to FERC Form 1 by page, line and column as shown in Column 2.</t>
  </si>
  <si>
    <t>Calculation of Historic year Divisor True-Up:</t>
  </si>
  <si>
    <t xml:space="preserve">     Historic Year Actual Divisor</t>
  </si>
  <si>
    <t xml:space="preserve">     Projected Historic Year Divisor</t>
  </si>
  <si>
    <t xml:space="preserve">     Difference between Actual and Projected Historic Year Divisor</t>
  </si>
  <si>
    <t xml:space="preserve">     Historic Year Projected Annual Cost ($ per kw per yr.)</t>
  </si>
  <si>
    <t xml:space="preserve">     Historic Year Divisor True-up (Difference * Historic Year Projected Annual Cost)</t>
  </si>
  <si>
    <t>Pg 1, Line 15</t>
  </si>
  <si>
    <t>Pg 1, Line 16</t>
  </si>
  <si>
    <t>(line 1 minus line 6 + ln 6c through 6e)</t>
  </si>
  <si>
    <t>NET PLANT IN SERVICE (Note X)</t>
  </si>
  <si>
    <t>LAND HELD FOR FUTURE USE (Note Y)</t>
  </si>
  <si>
    <t xml:space="preserve">  Materials &amp; Supplies  (Note G, Note Y)</t>
  </si>
  <si>
    <t xml:space="preserve">  Prepayments (Account 165, Note Y)</t>
  </si>
  <si>
    <t>TOTAL O&amp;M   (sum lines 1, 3, 5a, 6, 7 less lines 1a, 2, 4, 5)</t>
  </si>
  <si>
    <t>(line 16 / 52; line 16 / 52)</t>
  </si>
  <si>
    <t>[Revenue Requirement for facilities included on page 2, line 2 and also</t>
  </si>
  <si>
    <t>included in Attachment GG]</t>
  </si>
  <si>
    <t>REV. REQUIREMENT TO BE COLLECTED UNDER ATTACHMENT O</t>
  </si>
  <si>
    <t>36a</t>
  </si>
  <si>
    <t>AA</t>
  </si>
  <si>
    <t>BB</t>
  </si>
  <si>
    <t>(line 16 / 260; line 16 / 365)</t>
  </si>
  <si>
    <t>(line 16 / 4,160; line 16 / 8,760)</t>
  </si>
  <si>
    <t>GROSS REVENUE REQUIREMENT    (page 3, line 31)</t>
  </si>
  <si>
    <t>LESS ATTACHMENT GG ADJUSTMENT [Attachment GG, page 2, line 3, column 10] (Note AA)</t>
  </si>
  <si>
    <t>Peak as would be reported on page 401, column d of Form 1 at the time of the applicable pricing zone coincident monthly peaks.</t>
  </si>
  <si>
    <t>Labeled LF, LU, IF, IU on pages 310-311 of Form 1at the time of the applicable pricing zone coincident monthly peaks.</t>
  </si>
  <si>
    <t>Labeled LF on page 328 of Form 1 at the time of the applicable pricing zone coincident monthly peaks.</t>
  </si>
  <si>
    <t>30a</t>
  </si>
  <si>
    <t>included in Attachment MM]</t>
  </si>
  <si>
    <t>(line 29 - line 30 - line 30a)</t>
  </si>
  <si>
    <t>36b</t>
  </si>
  <si>
    <t xml:space="preserve">  Total of (a)-(b)-(c)-(d)</t>
  </si>
  <si>
    <t>CC</t>
  </si>
  <si>
    <t>DD</t>
  </si>
  <si>
    <t>Vectren</t>
  </si>
  <si>
    <t>Plant in Service</t>
  </si>
  <si>
    <t>Gross Plant in Service</t>
  </si>
  <si>
    <t>Production</t>
  </si>
  <si>
    <t>Distribution</t>
  </si>
  <si>
    <t>General &amp;Intangible</t>
  </si>
  <si>
    <t>Common</t>
  </si>
  <si>
    <t>13 month Average</t>
  </si>
  <si>
    <t>Accumulated Depreciation &amp; Amortization</t>
  </si>
  <si>
    <t>CWIP</t>
  </si>
  <si>
    <t>Gibson-Brown-Reid 345 kV Project</t>
  </si>
  <si>
    <t>Pre 12/31/2010 to 12/31/2012 Projected Capital Expenditures</t>
  </si>
  <si>
    <t>Adjustments to Rate Base</t>
  </si>
  <si>
    <t>Average of Beginning and End of Year Balance</t>
  </si>
  <si>
    <t>Accumulated Deferred Income Taxes (Balance at beginning of year and end of year)</t>
  </si>
  <si>
    <t>BOY/EOY Average</t>
  </si>
  <si>
    <t>Land Held for Future Use  (Balances at beginning of year and end of year)</t>
  </si>
  <si>
    <t>Account 105*</t>
  </si>
  <si>
    <t>* Only Land Held for Future Use that is Transmission Related</t>
  </si>
  <si>
    <t>Working Capital</t>
  </si>
  <si>
    <t>Source: Footnote to FERC Form 1, 227.8.c &amp; .16.c</t>
  </si>
  <si>
    <t>FERC 154</t>
  </si>
  <si>
    <t>FERC 163</t>
  </si>
  <si>
    <t>Prepayments</t>
  </si>
  <si>
    <t>Working Capital  (Balances at beginning of year and end of year)</t>
  </si>
  <si>
    <t>Source: Footnote to FERC Form 1, 111.57.c</t>
  </si>
  <si>
    <t>Transmission Expenses (Dollars in 000's)</t>
  </si>
  <si>
    <t>Account Number</t>
  </si>
  <si>
    <t>OPERATION</t>
  </si>
  <si>
    <t>Supervision and Engineering</t>
  </si>
  <si>
    <t>Load Dispatching - Reliability</t>
  </si>
  <si>
    <t>Load Dispatching -Monitor &amp; Operate Transmission System</t>
  </si>
  <si>
    <t>Load Dispatching- Transmission Service &amp; Scheduling</t>
  </si>
  <si>
    <t>Scheduling, System Control &amp; Dispatch Service</t>
  </si>
  <si>
    <t>Station Expense</t>
  </si>
  <si>
    <t>Overhead Line Expense</t>
  </si>
  <si>
    <t>Miscellaneous Transmission Expenses</t>
  </si>
  <si>
    <t>Rents</t>
  </si>
  <si>
    <t>Total Operation</t>
  </si>
  <si>
    <t>MAINTENANCE</t>
  </si>
  <si>
    <t>Structures</t>
  </si>
  <si>
    <t>Computer Hardware</t>
  </si>
  <si>
    <t>Computer Software</t>
  </si>
  <si>
    <t>Communication Equipment</t>
  </si>
  <si>
    <t>Station Equipment</t>
  </si>
  <si>
    <t>Overhead Lines</t>
  </si>
  <si>
    <t>Total Maintenance</t>
  </si>
  <si>
    <t>Total Operations and Maintenance</t>
  </si>
  <si>
    <t>REGULATORY COMMISSION EXPENSES</t>
  </si>
  <si>
    <t>As listed in Form 1 on page 351 column h</t>
  </si>
  <si>
    <t>Administrative and General Expenses (dollars in 000's)</t>
  </si>
  <si>
    <t>Depreciation Expenses / Taxes Other than Income</t>
  </si>
  <si>
    <t xml:space="preserve">ADMINISTRATIVE AND GENERAL EXPENSES </t>
  </si>
  <si>
    <t>Administrative and General Salaries</t>
  </si>
  <si>
    <t>Office Supplies and Expenses</t>
  </si>
  <si>
    <t>Less</t>
  </si>
  <si>
    <t>Administrative Expenses Transferred- Credit</t>
  </si>
  <si>
    <t>Outside Services Employed</t>
  </si>
  <si>
    <t>Property Insurance</t>
  </si>
  <si>
    <t>Injuries and Damages</t>
  </si>
  <si>
    <t>Employees Pensions and Benefits</t>
  </si>
  <si>
    <t xml:space="preserve">Regulatory Commission Expenses </t>
  </si>
  <si>
    <t>Miscellaneous General Expenses</t>
  </si>
  <si>
    <t>Maintenances of General Plant</t>
  </si>
  <si>
    <t>Total Administrative and General</t>
  </si>
  <si>
    <t>TAXES OTHER THAN INCOME TAXES</t>
  </si>
  <si>
    <t>Property</t>
  </si>
  <si>
    <t>Gross Receipts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</si>
  <si>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</si>
  <si>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</si>
  <si>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</si>
  <si>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</si>
  <si>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</si>
  <si>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</si>
  <si>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</si>
  <si>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</si>
  <si>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</si>
  <si>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</si>
  <si>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</si>
  <si>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</si>
  <si>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Amortized Investment Tax Credit</t>
  </si>
  <si>
    <t>Wages and Salary / Common Plant Allocator</t>
  </si>
  <si>
    <t>$ in Thousands</t>
  </si>
  <si>
    <t xml:space="preserve">COMMON PLANT ALLOCATOR </t>
  </si>
  <si>
    <t>$ in Hundred Thousands</t>
  </si>
  <si>
    <t>Capital Structure</t>
  </si>
  <si>
    <t>Long-Term Debt</t>
  </si>
  <si>
    <t>Long-Term Debt Balance</t>
  </si>
  <si>
    <t>Annualized Long-Term Debt Interest</t>
  </si>
  <si>
    <t>Cost of Long Term Debt</t>
  </si>
  <si>
    <t>Common Equity</t>
  </si>
  <si>
    <t>Less: Preferred Stock</t>
  </si>
  <si>
    <t>Less: Account 216.1</t>
  </si>
  <si>
    <t>Balance</t>
  </si>
  <si>
    <t>Percentage</t>
  </si>
  <si>
    <t>Preferred Stock</t>
  </si>
  <si>
    <t>TOTAL</t>
  </si>
  <si>
    <t>Monthly Peaks and Output in (Mw)</t>
  </si>
  <si>
    <t>DIVISOR</t>
  </si>
  <si>
    <t>Average (Mw)</t>
  </si>
  <si>
    <t>Average (kWh)</t>
  </si>
  <si>
    <t>Account 456.1 (Other Electric Revenues)</t>
  </si>
  <si>
    <t>Transmission of Electricity for Others (Account 456.1)</t>
  </si>
  <si>
    <t>Transmission Charges for Transmission Transactions</t>
  </si>
  <si>
    <t xml:space="preserve">Midwest ISO (Schedule 7&amp;8) </t>
  </si>
  <si>
    <t xml:space="preserve">Midwest ISO (Schedule 9) </t>
  </si>
  <si>
    <t xml:space="preserve">Midwest ISO (Schedule 26) </t>
  </si>
  <si>
    <t>ALCOA</t>
  </si>
  <si>
    <t>Other Account 456.1 Charges</t>
  </si>
  <si>
    <t xml:space="preserve">Midwest ISO (Schedule 1) </t>
  </si>
  <si>
    <t xml:space="preserve">Midwest ISO (Schedule 2) </t>
  </si>
  <si>
    <t xml:space="preserve">Midwest ISO (Schedule 24) </t>
  </si>
  <si>
    <t>Total Account 456.1 Charges</t>
  </si>
  <si>
    <t>Less: Schedule 1</t>
  </si>
  <si>
    <t>Less: Schedule 2</t>
  </si>
  <si>
    <t>Less: Schedule 9</t>
  </si>
  <si>
    <t>Less: Schedule 24</t>
  </si>
  <si>
    <t>Less: Schedule 26</t>
  </si>
  <si>
    <t>Total Revenue Credit</t>
  </si>
  <si>
    <t>Amortization of Investment Tax Credit</t>
  </si>
  <si>
    <t>POST</t>
  </si>
  <si>
    <t xml:space="preserve">PRE RATE </t>
  </si>
  <si>
    <t>Original</t>
  </si>
  <si>
    <t>RATE CASE</t>
  </si>
  <si>
    <t>BASIS</t>
  </si>
  <si>
    <t>CASE</t>
  </si>
  <si>
    <t>GENERAL</t>
  </si>
  <si>
    <t>POWER &amp; OTHER</t>
  </si>
  <si>
    <t>TRANS</t>
  </si>
  <si>
    <t>DIST</t>
  </si>
  <si>
    <t>amount of ITC</t>
  </si>
  <si>
    <t>AMORTIZATION</t>
  </si>
  <si>
    <t xml:space="preserve">REMAINING </t>
  </si>
  <si>
    <t>AMORT</t>
  </si>
  <si>
    <t xml:space="preserve">AMORT </t>
  </si>
  <si>
    <t xml:space="preserve">REMAINING TO </t>
  </si>
  <si>
    <t>RATES</t>
  </si>
  <si>
    <t>PRODUCTION</t>
  </si>
  <si>
    <t>Taken</t>
  </si>
  <si>
    <t>RATE</t>
  </si>
  <si>
    <t xml:space="preserve">TO BE AMORT </t>
  </si>
  <si>
    <t>BE AMORTIZED</t>
  </si>
  <si>
    <t>1979- 4% BRN #1</t>
  </si>
  <si>
    <t>1979- 10%</t>
  </si>
  <si>
    <t>1980- 10%</t>
  </si>
  <si>
    <t>1982- 10%</t>
  </si>
  <si>
    <t>1983- 10%</t>
  </si>
  <si>
    <t>1984- 10%</t>
  </si>
  <si>
    <t>1985- 10%</t>
  </si>
  <si>
    <t xml:space="preserve">1985- BROWN II </t>
  </si>
  <si>
    <t>1986- 10%(INCL. Z-95 QPE)</t>
  </si>
  <si>
    <t>1986- 20% REN 18 YR</t>
  </si>
  <si>
    <t xml:space="preserve">1986- BROWN II </t>
  </si>
  <si>
    <t>1987-10% TRAN &amp; DIST    *</t>
  </si>
  <si>
    <t>88,89,90,91-10%TRAN&amp;DIST*</t>
  </si>
  <si>
    <t>SUBTOTAL</t>
  </si>
  <si>
    <t>EE</t>
  </si>
  <si>
    <t>Plant in Service, Accumulated Depreciation, and Depreciation Expense amounts exclude Asset Retirement Obligation amounts unless authorized by FERC.</t>
  </si>
  <si>
    <t>FF</t>
  </si>
  <si>
    <t>Schedule 10-FERC charges should not be included in O&amp;M recovered under this Attachment O.</t>
  </si>
  <si>
    <t xml:space="preserve">       where WCLTD=(page 4, line 27) and R= (page 4, line 30)</t>
  </si>
  <si>
    <t>336.10.f &amp; 336.1.f</t>
  </si>
  <si>
    <t>O&amp;M  (Note FF)</t>
  </si>
  <si>
    <t>DEPRECIATION AND AMORTIZATION EXPENSE (Note EE)</t>
  </si>
  <si>
    <t>ACCUMULATED DEPRECIATION (Note X, Note EE)</t>
  </si>
  <si>
    <t>219.28.c &amp; 200.21.c</t>
  </si>
  <si>
    <t>GROSS PLANT IN SERVICE (Note X, Note EE)</t>
  </si>
  <si>
    <t>General / Intangible</t>
  </si>
  <si>
    <t>Non-transmission</t>
  </si>
  <si>
    <t>214.4.d</t>
  </si>
  <si>
    <t>IN Real Estate &amp; Personal Property Tax, Pg 263, Ln 9, Col (i)</t>
  </si>
  <si>
    <t>KY Real Estate &amp; Personal Property Tax, Pg 263, Ln 15, Col (i)</t>
  </si>
  <si>
    <t>Utility Receipts Tax, Pg 263, Ln 2, Col (i)</t>
  </si>
  <si>
    <t>Account Nos. 561.4 and 561.8 consist of RTO expenses billed to load-serving entities and are not included in Transmission Owner</t>
  </si>
  <si>
    <t>Pursuant to Attachment GG of the Midwest ISO Tariff, removes dollar amount of revenue requirement calculated pursuant to Attachment GG.</t>
  </si>
  <si>
    <t xml:space="preserve">Removes from revenue credits revenues that are distributed pursuant to Schedules associated with Attachment GG of the Midwest ISO Tariff, since the </t>
  </si>
  <si>
    <t>Transmission Owner's Attachment O revenue requirements have already been reduced by the Attachment GG revenue requirement.</t>
  </si>
  <si>
    <t>Pursuant to Attachment MM of the Midwest ISO Tariff, removes dollar amount of revenue requirement calculated pursuant to Attachment MM.</t>
  </si>
  <si>
    <t xml:space="preserve">Removes from revenue credits revenues that are distributed pursuant to Schedules associated with Attachment MM of the Midwest ISO Tariff, since the </t>
  </si>
  <si>
    <t>Transmission Owner's Attachment O revenue requirements have already been reduced by the Attachment MM revenue requirement.</t>
  </si>
  <si>
    <t xml:space="preserve">  c.  Transmission charges from Schedules associated with Attachment GG (Note BB)</t>
  </si>
  <si>
    <t xml:space="preserve">  d.  Transmission charges from Schedules associated with Attachment MM (Note DD)</t>
  </si>
  <si>
    <t>LESS ATTACHMENT MM ADJUSTMENT [Attachment MM, page 2, line 3, column 14] (Note CC)</t>
  </si>
  <si>
    <t xml:space="preserve">  a filing with FERC.  A 50 basis point adder for RTO participation may be added to the ROE up to the upper end of the zone </t>
  </si>
  <si>
    <t xml:space="preserve">of reasonableness established by FERC. </t>
  </si>
  <si>
    <t xml:space="preserve">ER15-358 - TEMPLATE LANGUAGE ACCEPTED EFFECTIVE JANUARY 6, 2015 SUBJECT TO REFUND AND OUTCOME OF COMPLAINT PROCEEDINGS </t>
  </si>
  <si>
    <t xml:space="preserve">  Account No. 281 (enter negative) (Note F, Note Y)</t>
  </si>
  <si>
    <t xml:space="preserve">  Account No. 282 (enter negative) (Note F, Note Y)</t>
  </si>
  <si>
    <t xml:space="preserve">  Account No. 283 (enter negative) (Note F, Note Y)</t>
  </si>
  <si>
    <t xml:space="preserve">  Account No. 190 (Note F, Note Y)</t>
  </si>
  <si>
    <t xml:space="preserve">  Account No. 255 (enter negative) (Note F, Note Y)</t>
  </si>
  <si>
    <t>ADJUSTMENTS TO RATE BASE</t>
  </si>
  <si>
    <t>The calculations of ADIT in the annual true-up calculation will use the beginning-of-year and end-of-year balances. The calculation of ADIT in the annual projection</t>
  </si>
  <si>
    <t xml:space="preserve">will be performed in accordance with IRS regulation Section 1.167(l)-1(h)(6). Work papers supporting the ADIT calculations will be posted with each Annual True-Up </t>
  </si>
  <si>
    <t xml:space="preserve">and or projected net revenue requirement and included in the annual Informational Filing submitted to the Commission. The Annual True-Up or projected net revenue requirement </t>
  </si>
  <si>
    <t>ADIT worksheets set forth the calculation pursuant to IRS regulation Section 1.167(l)-1(h)(6).</t>
  </si>
  <si>
    <t>Pro-rated ADIT</t>
  </si>
  <si>
    <t>ADIT</t>
  </si>
  <si>
    <t>Remaining</t>
  </si>
  <si>
    <t>Pro Rata</t>
  </si>
  <si>
    <t>Pro-rated</t>
  </si>
  <si>
    <t>Simple BOY-EOY</t>
  </si>
  <si>
    <t>Year</t>
  </si>
  <si>
    <t>Month</t>
  </si>
  <si>
    <t>Activity</t>
  </si>
  <si>
    <t>Days</t>
  </si>
  <si>
    <t>Ratio</t>
  </si>
  <si>
    <t>Average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</si>
  <si>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</si>
  <si>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</si>
  <si>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</si>
  <si>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</si>
  <si>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</si>
  <si>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</si>
  <si>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</si>
  <si>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</si>
  <si>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</si>
  <si>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</si>
  <si>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</si>
  <si>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Sum</t>
  </si>
  <si>
    <t>Property Related 190 Amounts (Including any NOL on Property)</t>
  </si>
  <si>
    <t>Non-Property Related 190 Amounts</t>
  </si>
  <si>
    <t>Note: only if ADIT is plant related to we normalize it.</t>
  </si>
  <si>
    <t>For the 12 months ended 12/31/18</t>
  </si>
  <si>
    <t>Budgeted for the period ending December 31, 2018</t>
  </si>
  <si>
    <t>Allocation based on projected December 31, 2018 balances</t>
  </si>
  <si>
    <t>Pro Forma 12/31/18 ($ in 000s)</t>
  </si>
  <si>
    <t>Year ended December 31, 2018</t>
  </si>
  <si>
    <t>01/01-06/30 @ 6.00%; 07/01-12/31 @ 5.75%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</si>
</sst>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&quot;$&quot;* #,##0_);_(&quot;$&quot;* \(#,##0\);_(&quot;$&quot;* &quot;-&quot;??_);_(@_)"/>
    <numFmt numFmtId="175" formatCode="[$-409]mmmm\-yy;@"/>
    <numFmt numFmtId="176" formatCode="0.0000%"/>
    <numFmt numFmtId="177" formatCode="_(* #,##0_);_(* \(#,##0\);_(* &quot;-&quot;??_);_(@_)"/>
    <numFmt numFmtId="178" formatCode="_(* #,##0.0_);_(* \(#,##0.0\);_(* &quot;-&quot;??_);_(@_)"/>
    <numFmt numFmtId="179" formatCode="0.00000%"/>
    <numFmt numFmtId="180" formatCode="_(* #,##0.0000_);_(* \(#,##0.0000\);_(* &quot;-&quot;??_);_(@_)"/>
    <numFmt numFmtId="184" formatCode="0.000000"/>
  </numFmts>
  <fonts count="59">
    <font>
      <sz val="12"/>
      <name val="Arial MT"/>
    </font>
    <font>
      <sz val="10"/>
      <name val="Arial"/>
      <family val="2"/>
    </font>
    <font>
      <sz val="12"/>
      <name val="Arial MT"/>
    </font>
    <font>
      <sz val="12"/>
      <name val="Arial"/>
      <family val="2"/>
    </font>
    <font>
      <sz val="12"/>
      <color indexed="17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strike/>
      <sz val="12"/>
      <name val="Times New Roman"/>
      <family val="1"/>
    </font>
    <font>
      <sz val="12"/>
      <color indexed="10"/>
      <name val="Times New Roman"/>
      <family val="1"/>
    </font>
    <font>
      <u/>
      <sz val="12"/>
      <name val="Times New Roman"/>
      <family val="1"/>
    </font>
    <font>
      <u/>
      <sz val="12"/>
      <color indexed="10"/>
      <name val="Times New Roman"/>
      <family val="1"/>
    </font>
    <font>
      <u val="double"/>
      <sz val="12"/>
      <color indexed="10"/>
      <name val="Times New Roman"/>
      <family val="1"/>
    </font>
    <font>
      <sz val="12"/>
      <color indexed="10"/>
      <name val="Arial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i/>
      <sz val="12"/>
      <name val="Century Gothic"/>
      <family val="2"/>
    </font>
    <font>
      <sz val="8"/>
      <name val="Arial MT"/>
    </font>
    <font>
      <b/>
      <sz val="18"/>
      <color indexed="10"/>
      <name val="Century Gothic"/>
      <family val="2"/>
    </font>
    <font>
      <b/>
      <sz val="14"/>
      <color indexed="10"/>
      <name val="Century Gothic"/>
      <family val="2"/>
    </font>
    <font>
      <b/>
      <sz val="18"/>
      <name val="Century Gothic"/>
      <family val="2"/>
    </font>
    <font>
      <b/>
      <sz val="12"/>
      <color indexed="10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2"/>
      <color rgb="FFFF0000"/>
      <name val="Times New Roman"/>
      <family val="1"/>
    </font>
    <font>
      <b/>
      <sz val="12"/>
      <color theme="1"/>
      <name val="Century Gothic"/>
      <family val="2"/>
    </font>
    <font>
      <b/>
      <sz val="10"/>
      <name val="Century Gothic"/>
      <family val="2"/>
    </font>
  </fonts>
  <fills count="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173" fontId="0" fillId="0" borderId="0" applyProtection="0"/>
    <xf numFmtId="173" fontId="11" fillId="0" borderId="0" applyFill="0"/>
    <xf numFmtId="173" fontId="11" fillId="0" borderId="0">
      <alignment horizontal="center"/>
    </xf>
    <xf numFmtId="0" fontId="11" fillId="0" borderId="0" applyFill="0">
      <alignment horizontal="center"/>
    </xf>
    <xf numFmtId="173" fontId="14" fillId="0" borderId="1" applyFill="0"/>
    <xf numFmtId="0" fontId="1" fillId="0" borderId="0" applyFont="0" applyAlignment="0"/>
    <xf numFmtId="0" fontId="15" fillId="0" borderId="0" applyFill="0">
      <alignment vertical="top"/>
    </xf>
    <xf numFmtId="0" fontId="14" fillId="0" borderId="0" applyFill="0">
      <alignment horizontal="left" vertical="top"/>
    </xf>
    <xf numFmtId="173" fontId="6" fillId="0" borderId="2" applyFill="0"/>
    <xf numFmtId="0" fontId="1" fillId="0" borderId="0" applyNumberFormat="0" applyFont="0" applyAlignment="0"/>
    <xf numFmtId="0" fontId="15" fillId="0" borderId="0" applyFill="0">
      <alignment wrapText="1"/>
    </xf>
    <xf numFmtId="0" fontId="14" fillId="0" borderId="0" applyFill="0">
      <alignment horizontal="left" vertical="top" wrapText="1"/>
    </xf>
    <xf numFmtId="173" fontId="16" fillId="0" borderId="0" applyFill="0"/>
    <xf numFmtId="0" fontId="17" fillId="0" borderId="0" applyNumberFormat="0" applyFont="0" applyAlignment="0">
      <alignment horizontal="center"/>
    </xf>
    <xf numFmtId="0" fontId="18" fillId="0" borderId="0" applyFill="0">
      <alignment vertical="top" wrapText="1"/>
    </xf>
    <xf numFmtId="0" fontId="6" fillId="0" borderId="0" applyFill="0">
      <alignment horizontal="left" vertical="top" wrapText="1"/>
    </xf>
    <xf numFmtId="173" fontId="1" fillId="0" borderId="0" applyFill="0"/>
    <xf numFmtId="0" fontId="17" fillId="0" borderId="0" applyNumberFormat="0" applyFont="0" applyAlignment="0">
      <alignment horizontal="center"/>
    </xf>
    <xf numFmtId="0" fontId="19" fillId="0" borderId="0" applyFill="0">
      <alignment vertical="center" wrapText="1"/>
    </xf>
    <xf numFmtId="0" fontId="3" fillId="0" borderId="0">
      <alignment horizontal="left" vertical="center" wrapText="1"/>
    </xf>
    <xf numFmtId="173" fontId="20" fillId="0" borderId="0" applyFill="0"/>
    <xf numFmtId="0" fontId="17" fillId="0" borderId="0" applyNumberFormat="0" applyFont="0" applyAlignment="0">
      <alignment horizontal="center"/>
    </xf>
    <xf numFmtId="0" fontId="21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173" fontId="22" fillId="0" borderId="0" applyFill="0"/>
    <xf numFmtId="0" fontId="17" fillId="0" borderId="0" applyNumberFormat="0" applyFont="0" applyAlignment="0">
      <alignment horizontal="center"/>
    </xf>
    <xf numFmtId="0" fontId="23" fillId="0" borderId="0" applyFill="0">
      <alignment horizontal="center" vertical="center" wrapText="1"/>
    </xf>
    <xf numFmtId="0" fontId="24" fillId="0" borderId="0" applyFill="0">
      <alignment horizontal="center" vertical="center" wrapText="1"/>
    </xf>
    <xf numFmtId="173" fontId="25" fillId="0" borderId="0" applyFill="0"/>
    <xf numFmtId="0" fontId="17" fillId="0" borderId="0" applyNumberFormat="0" applyFont="0" applyAlignment="0">
      <alignment horizontal="center"/>
    </xf>
    <xf numFmtId="0" fontId="26" fillId="0" borderId="0">
      <alignment horizontal="center" wrapText="1"/>
    </xf>
    <xf numFmtId="0" fontId="22" fillId="0" borderId="0" applyFill="0">
      <alignment horizontal="center" wrapText="1"/>
    </xf>
    <xf numFmtId="43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7" fillId="0" borderId="3"/>
    <xf numFmtId="0" fontId="28" fillId="0" borderId="0"/>
    <xf numFmtId="0" fontId="54" fillId="0" borderId="0"/>
    <xf numFmtId="9" fontId="2" fillId="0" borderId="0" applyFont="0" applyFill="0" applyBorder="0" applyAlignment="0" applyProtection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" fillId="0" borderId="0">
      <alignment horizontal="left" vertical="top"/>
    </xf>
    <xf numFmtId="0" fontId="30" fillId="0" borderId="3">
      <alignment horizontal="center"/>
    </xf>
    <xf numFmtId="3" fontId="29" fillId="0" borderId="0" applyFont="0" applyFill="0" applyBorder="0" applyAlignment="0" applyProtection="0"/>
    <xf numFmtId="0" fontId="29" fillId="2" borderId="0" applyNumberFormat="0" applyFont="0" applyBorder="0" applyAlignment="0" applyProtection="0"/>
    <xf numFmtId="3" fontId="1" fillId="0" borderId="0">
      <alignment horizontal="right" vertical="top"/>
    </xf>
    <xf numFmtId="41" fontId="3" fillId="3" borderId="4" applyFill="0"/>
    <xf numFmtId="0" fontId="31" fillId="0" borderId="0">
      <alignment horizontal="left" indent="7"/>
    </xf>
    <xf numFmtId="41" fontId="3" fillId="0" borderId="4" applyFill="0">
      <alignment horizontal="left" indent="2"/>
    </xf>
    <xf numFmtId="173" fontId="32" fillId="0" borderId="5" applyFill="0">
      <alignment horizontal="right"/>
    </xf>
    <xf numFmtId="0" fontId="10" fillId="0" borderId="6" applyNumberFormat="0" applyFont="0" applyBorder="0">
      <alignment horizontal="right"/>
    </xf>
    <xf numFmtId="0" fontId="33" fillId="0" borderId="0" applyFill="0"/>
    <xf numFmtId="0" fontId="6" fillId="0" borderId="0" applyFill="0"/>
    <xf numFmtId="4" fontId="32" fillId="0" borderId="5" applyFill="0"/>
    <xf numFmtId="0" fontId="1" fillId="0" borderId="0" applyNumberFormat="0" applyFont="0" applyBorder="0" applyAlignment="0"/>
    <xf numFmtId="0" fontId="18" fillId="0" borderId="0" applyFill="0">
      <alignment horizontal="left" indent="1"/>
    </xf>
    <xf numFmtId="0" fontId="34" fillId="0" borderId="0" applyFill="0">
      <alignment horizontal="left" indent="1"/>
    </xf>
    <xf numFmtId="4" fontId="20" fillId="0" borderId="0" applyFill="0"/>
    <xf numFmtId="0" fontId="1" fillId="0" borderId="0" applyNumberFormat="0" applyFont="0" applyFill="0" applyBorder="0" applyAlignment="0"/>
    <xf numFmtId="0" fontId="18" fillId="0" borderId="0" applyFill="0">
      <alignment horizontal="left" indent="2"/>
    </xf>
    <xf numFmtId="0" fontId="6" fillId="0" borderId="0" applyFill="0">
      <alignment horizontal="left" indent="2"/>
    </xf>
    <xf numFmtId="4" fontId="20" fillId="0" borderId="0" applyFill="0"/>
    <xf numFmtId="0" fontId="1" fillId="0" borderId="0" applyNumberFormat="0" applyFont="0" applyBorder="0" applyAlignment="0"/>
    <xf numFmtId="0" fontId="35" fillId="0" borderId="0">
      <alignment horizontal="left" indent="3"/>
    </xf>
    <xf numFmtId="0" fontId="7" fillId="0" borderId="0" applyFill="0">
      <alignment horizontal="left" indent="3"/>
    </xf>
    <xf numFmtId="4" fontId="20" fillId="0" borderId="0" applyFill="0"/>
    <xf numFmtId="0" fontId="1" fillId="0" borderId="0" applyNumberFormat="0" applyFont="0" applyBorder="0" applyAlignment="0"/>
    <xf numFmtId="0" fontId="21" fillId="0" borderId="0">
      <alignment horizontal="left" indent="4"/>
    </xf>
    <xf numFmtId="0" fontId="9" fillId="0" borderId="0" applyFill="0">
      <alignment horizontal="left" indent="4"/>
    </xf>
    <xf numFmtId="4" fontId="22" fillId="0" borderId="0" applyFill="0"/>
    <xf numFmtId="0" fontId="1" fillId="0" borderId="0" applyNumberFormat="0" applyFont="0" applyBorder="0" applyAlignment="0"/>
    <xf numFmtId="0" fontId="23" fillId="0" borderId="0">
      <alignment horizontal="left" indent="5"/>
    </xf>
    <xf numFmtId="0" fontId="24" fillId="0" borderId="0" applyFill="0">
      <alignment horizontal="left" indent="5"/>
    </xf>
    <xf numFmtId="4" fontId="25" fillId="0" borderId="0" applyFill="0"/>
    <xf numFmtId="0" fontId="1" fillId="0" borderId="0" applyNumberFormat="0" applyFont="0" applyFill="0" applyBorder="0" applyAlignment="0"/>
    <xf numFmtId="0" fontId="26" fillId="0" borderId="0" applyFill="0">
      <alignment horizontal="left" indent="6"/>
    </xf>
    <xf numFmtId="0" fontId="22" fillId="0" borderId="0" applyFill="0">
      <alignment horizontal="left" indent="6"/>
    </xf>
    <xf numFmtId="0" fontId="1" fillId="0" borderId="0" applyFont="0" applyFill="0" applyBorder="0" applyAlignment="0" applyProtection="0"/>
    <xf numFmtId="173" fontId="2" fillId="0" borderId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2">
    <xf numFmtId="173" fontId="0" fillId="0" borderId="0" xfId="0" applyAlignment="1"/>
    <xf numFmtId="0" fontId="2" fillId="0" borderId="0" xfId="0" applyNumberFormat="1" applyFont="1"/>
    <xf numFmtId="173" fontId="2" fillId="0" borderId="0" xfId="0" applyFont="1" applyAlignment="1"/>
    <xf numFmtId="173" fontId="5" fillId="0" borderId="0" xfId="0" applyFont="1" applyAlignment="1"/>
    <xf numFmtId="0" fontId="5" fillId="0" borderId="0" xfId="0" applyNumberFormat="1" applyFont="1"/>
    <xf numFmtId="3" fontId="2" fillId="0" borderId="0" xfId="0" applyNumberFormat="1" applyFont="1" applyAlignment="1"/>
    <xf numFmtId="0" fontId="2" fillId="0" borderId="0" xfId="0" applyNumberFormat="1" applyFont="1" applyAlignment="1"/>
    <xf numFmtId="0" fontId="8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0" fontId="4" fillId="0" borderId="0" xfId="0" applyNumberFormat="1" applyFont="1" applyFill="1" applyAlignment="1" applyProtection="1">
      <alignment horizontal="left"/>
      <protection locked="0"/>
    </xf>
    <xf numFmtId="173" fontId="8" fillId="0" borderId="0" xfId="0" applyFont="1" applyAlignment="1"/>
    <xf numFmtId="173" fontId="8" fillId="0" borderId="0" xfId="0" applyFont="1" applyBorder="1" applyAlignment="1"/>
    <xf numFmtId="0" fontId="8" fillId="0" borderId="0" xfId="0" applyNumberFormat="1" applyFont="1" applyAlignment="1" applyProtection="1">
      <protection locked="0"/>
    </xf>
    <xf numFmtId="0" fontId="8" fillId="0" borderId="0" xfId="0" applyNumberFormat="1" applyFont="1" applyAlignment="1"/>
    <xf numFmtId="3" fontId="8" fillId="0" borderId="0" xfId="0" applyNumberFormat="1" applyFont="1" applyAlignment="1"/>
    <xf numFmtId="3" fontId="8" fillId="0" borderId="0" xfId="0" applyNumberFormat="1" applyFont="1" applyBorder="1" applyAlignment="1"/>
    <xf numFmtId="164" fontId="8" fillId="0" borderId="0" xfId="0" applyNumberFormat="1" applyFont="1" applyAlignment="1">
      <alignment horizontal="center"/>
    </xf>
    <xf numFmtId="3" fontId="8" fillId="0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0" fontId="8" fillId="0" borderId="0" xfId="0" applyNumberFormat="1" applyFont="1" applyFill="1" applyAlignment="1"/>
    <xf numFmtId="173" fontId="8" fillId="0" borderId="0" xfId="0" applyFont="1" applyFill="1" applyAlignment="1"/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/>
    <xf numFmtId="0" fontId="8" fillId="0" borderId="0" xfId="0" applyNumberFormat="1" applyFont="1" applyFill="1" applyAlignment="1">
      <alignment horizontal="right"/>
    </xf>
    <xf numFmtId="0" fontId="8" fillId="0" borderId="0" xfId="0" applyNumberFormat="1" applyFont="1" applyFill="1"/>
    <xf numFmtId="0" fontId="8" fillId="4" borderId="0" xfId="0" applyNumberFormat="1" applyFont="1" applyFill="1" applyProtection="1">
      <protection locked="0"/>
    </xf>
    <xf numFmtId="0" fontId="8" fillId="4" borderId="0" xfId="0" applyNumberFormat="1" applyFont="1" applyFill="1"/>
    <xf numFmtId="49" fontId="8" fillId="0" borderId="0" xfId="0" applyNumberFormat="1" applyFont="1"/>
    <xf numFmtId="0" fontId="8" fillId="0" borderId="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/>
    <xf numFmtId="42" fontId="8" fillId="0" borderId="0" xfId="0" applyNumberFormat="1" applyFont="1"/>
    <xf numFmtId="0" fontId="8" fillId="0" borderId="3" xfId="0" applyNumberFormat="1" applyFont="1" applyBorder="1" applyAlignment="1" applyProtection="1">
      <alignment horizontal="centerContinuous"/>
      <protection locked="0"/>
    </xf>
    <xf numFmtId="166" fontId="8" fillId="0" borderId="0" xfId="0" applyNumberFormat="1" applyFont="1" applyAlignment="1"/>
    <xf numFmtId="3" fontId="8" fillId="0" borderId="0" xfId="0" applyNumberFormat="1" applyFont="1" applyFill="1" applyBorder="1"/>
    <xf numFmtId="3" fontId="8" fillId="4" borderId="0" xfId="0" applyNumberFormat="1" applyFont="1" applyFill="1" applyAlignment="1"/>
    <xf numFmtId="3" fontId="8" fillId="0" borderId="3" xfId="0" applyNumberFormat="1" applyFont="1" applyBorder="1" applyAlignment="1"/>
    <xf numFmtId="3" fontId="8" fillId="0" borderId="0" xfId="0" applyNumberFormat="1" applyFont="1" applyAlignment="1">
      <alignment horizontal="fill"/>
    </xf>
    <xf numFmtId="42" fontId="8" fillId="0" borderId="11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Protection="1">
      <protection locked="0"/>
    </xf>
    <xf numFmtId="3" fontId="8" fillId="4" borderId="0" xfId="0" applyNumberFormat="1" applyFont="1" applyFill="1"/>
    <xf numFmtId="3" fontId="8" fillId="4" borderId="0" xfId="0" applyNumberFormat="1" applyFont="1" applyFill="1" applyBorder="1"/>
    <xf numFmtId="3" fontId="8" fillId="4" borderId="3" xfId="0" applyNumberFormat="1" applyFont="1" applyFill="1" applyBorder="1"/>
    <xf numFmtId="168" fontId="8" fillId="0" borderId="0" xfId="0" applyNumberFormat="1" applyFont="1"/>
    <xf numFmtId="168" fontId="8" fillId="0" borderId="0" xfId="0" applyNumberFormat="1" applyFont="1" applyAlignment="1">
      <alignment horizontal="center"/>
    </xf>
    <xf numFmtId="173" fontId="8" fillId="0" borderId="0" xfId="0" applyFont="1" applyAlignment="1">
      <alignment horizontal="center"/>
    </xf>
    <xf numFmtId="172" fontId="8" fillId="0" borderId="0" xfId="0" applyNumberFormat="1" applyFont="1" applyAlignment="1"/>
    <xf numFmtId="172" fontId="8" fillId="4" borderId="0" xfId="0" applyNumberFormat="1" applyFont="1" applyFill="1" applyProtection="1">
      <protection locked="0"/>
    </xf>
    <xf numFmtId="172" fontId="8" fillId="0" borderId="0" xfId="0" applyNumberFormat="1" applyFont="1" applyProtection="1">
      <protection locked="0"/>
    </xf>
    <xf numFmtId="172" fontId="8" fillId="0" borderId="0" xfId="0" applyNumberFormat="1" applyFont="1" applyFill="1" applyProtection="1">
      <protection locked="0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>
      <alignment horizontal="center"/>
    </xf>
    <xf numFmtId="3" fontId="36" fillId="0" borderId="0" xfId="0" applyNumberFormat="1" applyFont="1" applyAlignment="1">
      <alignment horizontal="center"/>
    </xf>
    <xf numFmtId="0" fontId="36" fillId="0" borderId="0" xfId="0" applyNumberFormat="1" applyFont="1" applyAlignment="1" applyProtection="1">
      <alignment horizontal="center"/>
      <protection locked="0"/>
    </xf>
    <xf numFmtId="173" fontId="36" fillId="0" borderId="0" xfId="0" applyFont="1" applyAlignment="1">
      <alignment horizontal="center"/>
    </xf>
    <xf numFmtId="3" fontId="36" fillId="0" borderId="0" xfId="0" applyNumberFormat="1" applyFont="1" applyAlignment="1"/>
    <xf numFmtId="0" fontId="36" fillId="0" borderId="0" xfId="0" applyNumberFormat="1" applyFont="1" applyAlignment="1"/>
    <xf numFmtId="165" fontId="8" fillId="0" borderId="0" xfId="0" applyNumberFormat="1" applyFont="1" applyAlignment="1"/>
    <xf numFmtId="3" fontId="8" fillId="4" borderId="3" xfId="0" applyNumberFormat="1" applyFont="1" applyFill="1" applyBorder="1" applyAlignment="1"/>
    <xf numFmtId="164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 applyAlignment="1">
      <alignment horizontal="right"/>
    </xf>
    <xf numFmtId="173" fontId="8" fillId="0" borderId="3" xfId="0" applyFont="1" applyBorder="1" applyAlignment="1"/>
    <xf numFmtId="0" fontId="36" fillId="0" borderId="0" xfId="0" applyNumberFormat="1" applyFont="1" applyFill="1" applyAlignment="1" applyProtection="1">
      <alignment horizontal="center"/>
      <protection locked="0"/>
    </xf>
    <xf numFmtId="0" fontId="37" fillId="0" borderId="0" xfId="0" applyNumberFormat="1" applyFont="1" applyAlignment="1">
      <alignment horizontal="center"/>
    </xf>
    <xf numFmtId="3" fontId="37" fillId="0" borderId="0" xfId="0" applyNumberFormat="1" applyFont="1" applyAlignment="1"/>
    <xf numFmtId="0" fontId="36" fillId="0" borderId="0" xfId="0" applyNumberFormat="1" applyFont="1" applyAlignment="1">
      <alignment horizontal="center"/>
    </xf>
    <xf numFmtId="3" fontId="38" fillId="0" borderId="0" xfId="0" applyNumberFormat="1" applyFont="1" applyAlignment="1"/>
    <xf numFmtId="171" fontId="8" fillId="0" borderId="0" xfId="0" applyNumberFormat="1" applyFont="1" applyFill="1" applyAlignment="1">
      <alignment horizontal="left"/>
    </xf>
    <xf numFmtId="165" fontId="8" fillId="0" borderId="0" xfId="0" applyNumberFormat="1" applyFont="1" applyFill="1" applyAlignment="1"/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left"/>
    </xf>
    <xf numFmtId="10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Alignment="1">
      <alignment horizontal="right"/>
    </xf>
    <xf numFmtId="10" fontId="8" fillId="0" borderId="0" xfId="0" applyNumberFormat="1" applyFont="1" applyAlignment="1">
      <alignment horizontal="left"/>
    </xf>
    <xf numFmtId="3" fontId="8" fillId="0" borderId="0" xfId="0" applyNumberFormat="1" applyFont="1" applyFill="1" applyAlignment="1">
      <alignment horizontal="left"/>
    </xf>
    <xf numFmtId="164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/>
    <xf numFmtId="0" fontId="8" fillId="0" borderId="0" xfId="0" applyNumberFormat="1" applyFont="1" applyFill="1" applyAlignment="1" applyProtection="1">
      <protection locked="0"/>
    </xf>
    <xf numFmtId="0" fontId="8" fillId="0" borderId="3" xfId="0" applyNumberFormat="1" applyFont="1" applyFill="1" applyBorder="1" applyProtection="1">
      <protection locked="0"/>
    </xf>
    <xf numFmtId="0" fontId="8" fillId="0" borderId="3" xfId="0" applyNumberFormat="1" applyFont="1" applyFill="1" applyBorder="1"/>
    <xf numFmtId="3" fontId="8" fillId="0" borderId="3" xfId="0" applyNumberFormat="1" applyFont="1" applyFill="1" applyBorder="1" applyAlignment="1"/>
    <xf numFmtId="3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/>
    <xf numFmtId="49" fontId="8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166" fontId="8" fillId="0" borderId="0" xfId="0" applyNumberFormat="1" applyFont="1" applyFill="1"/>
    <xf numFmtId="3" fontId="8" fillId="0" borderId="0" xfId="0" applyNumberFormat="1" applyFont="1" applyAlignment="1">
      <alignment horizontal="center"/>
    </xf>
    <xf numFmtId="3" fontId="8" fillId="0" borderId="3" xfId="0" applyNumberFormat="1" applyFont="1" applyBorder="1" applyAlignment="1">
      <alignment horizontal="center"/>
    </xf>
    <xf numFmtId="4" fontId="8" fillId="0" borderId="0" xfId="0" applyNumberFormat="1" applyFont="1" applyAlignment="1"/>
    <xf numFmtId="3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 applyProtection="1">
      <alignment horizontal="center"/>
      <protection locked="0"/>
    </xf>
    <xf numFmtId="166" fontId="8" fillId="0" borderId="0" xfId="0" applyNumberFormat="1" applyFont="1" applyFill="1" applyAlignment="1"/>
    <xf numFmtId="0" fontId="8" fillId="0" borderId="3" xfId="0" applyNumberFormat="1" applyFont="1" applyBorder="1" applyAlignment="1"/>
    <xf numFmtId="170" fontId="8" fillId="4" borderId="0" xfId="0" applyNumberFormat="1" applyFont="1" applyFill="1" applyAlignment="1"/>
    <xf numFmtId="42" fontId="8" fillId="4" borderId="0" xfId="0" applyNumberFormat="1" applyFont="1" applyFill="1" applyAlignment="1"/>
    <xf numFmtId="3" fontId="8" fillId="0" borderId="0" xfId="0" applyNumberFormat="1" applyFont="1" applyFill="1" applyAlignment="1" applyProtection="1">
      <protection locked="0"/>
    </xf>
    <xf numFmtId="9" fontId="8" fillId="0" borderId="0" xfId="0" applyNumberFormat="1" applyFont="1" applyAlignment="1"/>
    <xf numFmtId="169" fontId="8" fillId="0" borderId="0" xfId="0" applyNumberFormat="1" applyFont="1" applyAlignment="1"/>
    <xf numFmtId="3" fontId="8" fillId="0" borderId="0" xfId="0" quotePrefix="1" applyNumberFormat="1" applyFont="1" applyAlignment="1"/>
    <xf numFmtId="169" fontId="8" fillId="4" borderId="0" xfId="0" applyNumberFormat="1" applyFont="1" applyFill="1" applyAlignment="1"/>
    <xf numFmtId="169" fontId="8" fillId="0" borderId="3" xfId="0" applyNumberFormat="1" applyFont="1" applyBorder="1" applyAlignment="1"/>
    <xf numFmtId="0" fontId="8" fillId="0" borderId="0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Protection="1">
      <protection locked="0"/>
    </xf>
    <xf numFmtId="173" fontId="39" fillId="0" borderId="0" xfId="0" applyFont="1" applyAlignment="1"/>
    <xf numFmtId="173" fontId="8" fillId="0" borderId="0" xfId="0" applyFont="1" applyFill="1" applyAlignment="1" applyProtection="1"/>
    <xf numFmtId="38" fontId="8" fillId="4" borderId="0" xfId="0" applyNumberFormat="1" applyFont="1" applyFill="1" applyBorder="1" applyProtection="1">
      <protection locked="0"/>
    </xf>
    <xf numFmtId="38" fontId="8" fillId="0" borderId="0" xfId="0" applyNumberFormat="1" applyFont="1" applyAlignment="1" applyProtection="1"/>
    <xf numFmtId="0" fontId="8" fillId="0" borderId="3" xfId="0" applyNumberFormat="1" applyFont="1" applyBorder="1"/>
    <xf numFmtId="0" fontId="8" fillId="0" borderId="3" xfId="0" applyNumberFormat="1" applyFont="1" applyBorder="1" applyProtection="1">
      <protection locked="0"/>
    </xf>
    <xf numFmtId="38" fontId="8" fillId="4" borderId="3" xfId="0" applyNumberFormat="1" applyFont="1" applyFill="1" applyBorder="1" applyProtection="1">
      <protection locked="0"/>
    </xf>
    <xf numFmtId="38" fontId="8" fillId="0" borderId="0" xfId="0" applyNumberFormat="1" applyFont="1" applyAlignment="1"/>
    <xf numFmtId="38" fontId="8" fillId="0" borderId="0" xfId="0" applyNumberFormat="1" applyFont="1" applyFill="1" applyBorder="1" applyProtection="1"/>
    <xf numFmtId="170" fontId="8" fillId="0" borderId="0" xfId="0" applyNumberFormat="1" applyFont="1" applyFill="1" applyBorder="1" applyProtection="1"/>
    <xf numFmtId="1" fontId="8" fillId="0" borderId="0" xfId="0" applyNumberFormat="1" applyFont="1" applyFill="1" applyProtection="1"/>
    <xf numFmtId="168" fontId="8" fillId="0" borderId="0" xfId="0" applyNumberFormat="1" applyFont="1" applyProtection="1">
      <protection locked="0"/>
    </xf>
    <xf numFmtId="170" fontId="8" fillId="4" borderId="0" xfId="0" applyNumberFormat="1" applyFont="1" applyFill="1" applyBorder="1" applyProtection="1"/>
    <xf numFmtId="1" fontId="8" fillId="0" borderId="0" xfId="0" applyNumberFormat="1" applyFont="1" applyFill="1" applyAlignment="1" applyProtection="1"/>
    <xf numFmtId="170" fontId="8" fillId="4" borderId="0" xfId="0" applyNumberFormat="1" applyFont="1" applyFill="1" applyBorder="1" applyAlignment="1" applyProtection="1">
      <protection locked="0"/>
    </xf>
    <xf numFmtId="3" fontId="8" fillId="0" borderId="0" xfId="0" applyNumberFormat="1" applyFont="1" applyAlignment="1" applyProtection="1"/>
    <xf numFmtId="3" fontId="8" fillId="0" borderId="0" xfId="0" applyNumberFormat="1" applyFont="1" applyFill="1" applyAlignment="1" applyProtection="1">
      <alignment horizontal="right"/>
      <protection locked="0"/>
    </xf>
    <xf numFmtId="173" fontId="8" fillId="0" borderId="0" xfId="0" applyNumberFormat="1" applyFont="1" applyAlignment="1" applyProtection="1">
      <protection locked="0"/>
    </xf>
    <xf numFmtId="170" fontId="8" fillId="0" borderId="0" xfId="0" applyNumberFormat="1" applyFont="1" applyFill="1" applyBorder="1" applyAlignment="1" applyProtection="1"/>
    <xf numFmtId="3" fontId="8" fillId="0" borderId="0" xfId="0" applyNumberFormat="1" applyFont="1" applyFill="1" applyAlignment="1" applyProtection="1"/>
    <xf numFmtId="170" fontId="8" fillId="0" borderId="0" xfId="0" applyNumberFormat="1" applyFont="1" applyProtection="1">
      <protection locked="0"/>
    </xf>
    <xf numFmtId="10" fontId="8" fillId="4" borderId="0" xfId="0" applyNumberFormat="1" applyFont="1" applyFill="1" applyProtection="1">
      <protection locked="0"/>
    </xf>
    <xf numFmtId="0" fontId="40" fillId="0" borderId="0" xfId="0" applyNumberFormat="1" applyFont="1" applyFill="1" applyProtection="1">
      <protection locked="0"/>
    </xf>
    <xf numFmtId="10" fontId="8" fillId="0" borderId="0" xfId="0" applyNumberFormat="1" applyFont="1" applyFill="1"/>
    <xf numFmtId="173" fontId="8" fillId="0" borderId="0" xfId="0" applyFont="1" applyFill="1" applyAlignment="1">
      <alignment horizontal="center"/>
    </xf>
    <xf numFmtId="49" fontId="36" fillId="4" borderId="0" xfId="0" applyNumberFormat="1" applyFont="1" applyFill="1"/>
    <xf numFmtId="3" fontId="36" fillId="4" borderId="0" xfId="0" applyNumberFormat="1" applyFont="1" applyFill="1" applyAlignment="1"/>
    <xf numFmtId="173" fontId="36" fillId="4" borderId="0" xfId="0" applyFont="1" applyFill="1" applyAlignment="1"/>
    <xf numFmtId="37" fontId="8" fillId="0" borderId="3" xfId="0" applyNumberFormat="1" applyFont="1" applyBorder="1" applyAlignment="1"/>
    <xf numFmtId="37" fontId="8" fillId="0" borderId="0" xfId="0" applyNumberFormat="1" applyFont="1" applyFill="1" applyAlignment="1"/>
    <xf numFmtId="3" fontId="8" fillId="0" borderId="11" xfId="0" applyNumberFormat="1" applyFont="1" applyFill="1" applyBorder="1" applyAlignment="1"/>
    <xf numFmtId="0" fontId="8" fillId="0" borderId="0" xfId="0" applyNumberFormat="1" applyFont="1" applyFill="1" applyAlignment="1">
      <alignment horizontal="left"/>
    </xf>
    <xf numFmtId="173" fontId="42" fillId="0" borderId="0" xfId="0" applyFont="1" applyAlignment="1"/>
    <xf numFmtId="0" fontId="8" fillId="0" borderId="0" xfId="0" applyNumberFormat="1" applyFont="1" applyBorder="1" applyAlignment="1" applyProtection="1">
      <protection locked="0"/>
    </xf>
    <xf numFmtId="0" fontId="8" fillId="0" borderId="0" xfId="0" applyNumberFormat="1" applyFont="1" applyBorder="1" applyProtection="1">
      <protection locked="0"/>
    </xf>
    <xf numFmtId="3" fontId="39" fillId="0" borderId="0" xfId="0" applyNumberFormat="1" applyFont="1" applyFill="1" applyAlignment="1" applyProtection="1">
      <alignment horizontal="right"/>
      <protection locked="0"/>
    </xf>
    <xf numFmtId="3" fontId="43" fillId="0" borderId="0" xfId="0" applyNumberFormat="1" applyFont="1" applyAlignment="1">
      <alignment horizontal="left"/>
    </xf>
    <xf numFmtId="173" fontId="39" fillId="0" borderId="0" xfId="0" applyFont="1" applyBorder="1" applyAlignment="1"/>
    <xf numFmtId="0" fontId="42" fillId="0" borderId="0" xfId="0" applyNumberFormat="1" applyFont="1" applyFill="1"/>
    <xf numFmtId="0" fontId="41" fillId="0" borderId="0" xfId="0" applyNumberFormat="1" applyFont="1" applyFill="1"/>
    <xf numFmtId="0" fontId="8" fillId="0" borderId="5" xfId="0" applyNumberFormat="1" applyFont="1" applyFill="1" applyBorder="1"/>
    <xf numFmtId="0" fontId="8" fillId="0" borderId="0" xfId="0" applyNumberFormat="1" applyFont="1" applyFill="1" applyBorder="1"/>
    <xf numFmtId="173" fontId="39" fillId="0" borderId="0" xfId="0" applyFont="1" applyFill="1" applyAlignment="1"/>
    <xf numFmtId="3" fontId="41" fillId="0" borderId="0" xfId="0" applyNumberFormat="1" applyFont="1" applyFill="1" applyAlignment="1"/>
    <xf numFmtId="0" fontId="41" fillId="0" borderId="0" xfId="0" applyNumberFormat="1" applyFont="1" applyFill="1" applyAlignment="1" applyProtection="1">
      <alignment horizontal="center"/>
      <protection locked="0"/>
    </xf>
    <xf numFmtId="173" fontId="41" fillId="0" borderId="0" xfId="0" applyFont="1" applyFill="1" applyAlignment="1"/>
    <xf numFmtId="173" fontId="8" fillId="0" borderId="0" xfId="0" quotePrefix="1" applyFont="1" applyFill="1" applyAlignment="1"/>
    <xf numFmtId="164" fontId="41" fillId="0" borderId="0" xfId="0" applyNumberFormat="1" applyFont="1" applyFill="1" applyAlignment="1">
      <alignment horizontal="center"/>
    </xf>
    <xf numFmtId="37" fontId="8" fillId="0" borderId="0" xfId="0" applyNumberFormat="1" applyFont="1" applyFill="1" applyBorder="1" applyAlignment="1"/>
    <xf numFmtId="37" fontId="8" fillId="0" borderId="3" xfId="0" applyNumberFormat="1" applyFont="1" applyFill="1" applyBorder="1" applyAlignment="1"/>
    <xf numFmtId="173" fontId="8" fillId="0" borderId="3" xfId="0" applyFont="1" applyFill="1" applyBorder="1" applyAlignment="1"/>
    <xf numFmtId="0" fontId="8" fillId="0" borderId="5" xfId="0" applyNumberFormat="1" applyFont="1" applyBorder="1" applyAlignment="1" applyProtection="1">
      <protection locked="0"/>
    </xf>
    <xf numFmtId="0" fontId="8" fillId="0" borderId="5" xfId="0" applyNumberFormat="1" applyFont="1" applyBorder="1" applyProtection="1">
      <protection locked="0"/>
    </xf>
    <xf numFmtId="170" fontId="8" fillId="4" borderId="3" xfId="0" applyNumberFormat="1" applyFont="1" applyFill="1" applyBorder="1" applyAlignment="1" applyProtection="1">
      <protection locked="0"/>
    </xf>
    <xf numFmtId="37" fontId="8" fillId="4" borderId="0" xfId="0" applyNumberFormat="1" applyFont="1" applyFill="1" applyAlignment="1"/>
    <xf numFmtId="37" fontId="8" fillId="4" borderId="0" xfId="0" applyNumberFormat="1" applyFont="1" applyFill="1" applyBorder="1" applyAlignment="1"/>
    <xf numFmtId="37" fontId="8" fillId="4" borderId="3" xfId="0" applyNumberFormat="1" applyFont="1" applyFill="1" applyBorder="1" applyAlignment="1"/>
    <xf numFmtId="3" fontId="8" fillId="4" borderId="5" xfId="0" applyNumberFormat="1" applyFont="1" applyFill="1" applyBorder="1" applyAlignment="1"/>
    <xf numFmtId="3" fontId="8" fillId="0" borderId="12" xfId="0" applyNumberFormat="1" applyFont="1" applyBorder="1" applyAlignment="1"/>
    <xf numFmtId="3" fontId="8" fillId="4" borderId="0" xfId="0" applyNumberFormat="1" applyFont="1" applyFill="1" applyBorder="1" applyAlignment="1"/>
    <xf numFmtId="173" fontId="44" fillId="0" borderId="0" xfId="0" applyNumberFormat="1" applyFont="1" applyFill="1" applyAlignment="1"/>
    <xf numFmtId="173" fontId="45" fillId="0" borderId="0" xfId="0" applyNumberFormat="1" applyFont="1" applyFill="1" applyAlignment="1"/>
    <xf numFmtId="173" fontId="45" fillId="0" borderId="0" xfId="0" applyNumberFormat="1" applyFont="1" applyFill="1" applyBorder="1" applyAlignment="1"/>
    <xf numFmtId="174" fontId="45" fillId="0" borderId="2" xfId="34" applyNumberFormat="1" applyFont="1" applyFill="1" applyBorder="1" applyAlignment="1"/>
    <xf numFmtId="174" fontId="45" fillId="0" borderId="0" xfId="34" applyNumberFormat="1" applyFont="1" applyFill="1" applyAlignment="1"/>
    <xf numFmtId="0" fontId="45" fillId="0" borderId="0" xfId="0" applyNumberFormat="1" applyFont="1" applyFill="1"/>
    <xf numFmtId="177" fontId="45" fillId="0" borderId="0" xfId="32" applyNumberFormat="1" applyFont="1" applyFill="1" applyBorder="1" applyAlignment="1"/>
    <xf numFmtId="177" fontId="45" fillId="0" borderId="0" xfId="32" applyNumberFormat="1" applyFont="1" applyFill="1" applyAlignment="1"/>
    <xf numFmtId="170" fontId="45" fillId="0" borderId="0" xfId="0" applyNumberFormat="1" applyFont="1" applyFill="1" applyAlignment="1"/>
    <xf numFmtId="177" fontId="45" fillId="0" borderId="5" xfId="32" applyNumberFormat="1" applyFont="1" applyFill="1" applyBorder="1" applyAlignment="1"/>
    <xf numFmtId="173" fontId="45" fillId="0" borderId="0" xfId="0" quotePrefix="1" applyNumberFormat="1" applyFont="1" applyFill="1" applyAlignment="1"/>
    <xf numFmtId="170" fontId="45" fillId="0" borderId="0" xfId="0" applyNumberFormat="1" applyFont="1" applyFill="1" applyBorder="1" applyAlignment="1"/>
    <xf numFmtId="173" fontId="45" fillId="0" borderId="0" xfId="0" applyFont="1" applyAlignment="1"/>
    <xf numFmtId="173" fontId="45" fillId="0" borderId="0" xfId="0" applyFont="1" applyFill="1" applyAlignment="1"/>
    <xf numFmtId="173" fontId="47" fillId="0" borderId="0" xfId="0" applyFont="1" applyAlignment="1"/>
    <xf numFmtId="178" fontId="45" fillId="0" borderId="0" xfId="32" applyNumberFormat="1" applyFont="1" applyFill="1" applyAlignment="1"/>
    <xf numFmtId="173" fontId="45" fillId="0" borderId="5" xfId="0" applyFont="1" applyFill="1" applyBorder="1" applyAlignment="1"/>
    <xf numFmtId="173" fontId="45" fillId="0" borderId="0" xfId="0" applyFont="1" applyFill="1" applyAlignment="1">
      <alignment wrapText="1"/>
    </xf>
    <xf numFmtId="173" fontId="47" fillId="0" borderId="0" xfId="0" applyFont="1" applyFill="1" applyAlignment="1"/>
    <xf numFmtId="177" fontId="45" fillId="0" borderId="0" xfId="32" applyNumberFormat="1" applyFont="1" applyAlignment="1"/>
    <xf numFmtId="0" fontId="47" fillId="0" borderId="0" xfId="0" applyNumberFormat="1" applyFont="1" applyFill="1" applyAlignment="1"/>
    <xf numFmtId="0" fontId="45" fillId="0" borderId="5" xfId="0" applyNumberFormat="1" applyFont="1" applyFill="1" applyBorder="1" applyAlignment="1">
      <alignment horizontal="left"/>
    </xf>
    <xf numFmtId="170" fontId="45" fillId="0" borderId="2" xfId="0" applyNumberFormat="1" applyFont="1" applyFill="1" applyBorder="1" applyAlignment="1"/>
    <xf numFmtId="0" fontId="45" fillId="0" borderId="0" xfId="0" applyNumberFormat="1" applyFont="1" applyAlignment="1"/>
    <xf numFmtId="0" fontId="47" fillId="0" borderId="0" xfId="0" applyNumberFormat="1" applyFont="1" applyAlignment="1"/>
    <xf numFmtId="3" fontId="45" fillId="0" borderId="0" xfId="0" applyNumberFormat="1" applyFont="1" applyAlignment="1">
      <alignment horizontal="right"/>
    </xf>
    <xf numFmtId="173" fontId="45" fillId="0" borderId="0" xfId="0" applyNumberFormat="1" applyFont="1" applyAlignment="1"/>
    <xf numFmtId="3" fontId="45" fillId="0" borderId="0" xfId="0" applyNumberFormat="1" applyFont="1" applyAlignment="1"/>
    <xf numFmtId="3" fontId="45" fillId="0" borderId="0" xfId="0" applyNumberFormat="1" applyFont="1" applyBorder="1" applyAlignment="1"/>
    <xf numFmtId="0" fontId="45" fillId="0" borderId="5" xfId="0" applyNumberFormat="1" applyFont="1" applyBorder="1" applyAlignment="1"/>
    <xf numFmtId="0" fontId="45" fillId="0" borderId="0" xfId="0" applyNumberFormat="1" applyFont="1"/>
    <xf numFmtId="0" fontId="45" fillId="0" borderId="5" xfId="0" applyNumberFormat="1" applyFont="1" applyBorder="1"/>
    <xf numFmtId="0" fontId="45" fillId="0" borderId="0" xfId="0" applyNumberFormat="1" applyFont="1" applyBorder="1" applyAlignment="1">
      <alignment horizontal="right"/>
    </xf>
    <xf numFmtId="177" fontId="45" fillId="0" borderId="0" xfId="32" applyNumberFormat="1" applyFont="1" applyFill="1"/>
    <xf numFmtId="0" fontId="45" fillId="0" borderId="0" xfId="0" applyNumberFormat="1" applyFont="1" applyAlignment="1">
      <alignment horizontal="right"/>
    </xf>
    <xf numFmtId="10" fontId="45" fillId="0" borderId="0" xfId="43" applyNumberFormat="1" applyFont="1" applyFill="1"/>
    <xf numFmtId="43" fontId="45" fillId="0" borderId="0" xfId="0" applyNumberFormat="1" applyFont="1" applyFill="1"/>
    <xf numFmtId="177" fontId="45" fillId="0" borderId="5" xfId="32" applyNumberFormat="1" applyFont="1" applyFill="1" applyBorder="1"/>
    <xf numFmtId="174" fontId="45" fillId="0" borderId="12" xfId="0" applyNumberFormat="1" applyFont="1" applyFill="1" applyBorder="1"/>
    <xf numFmtId="174" fontId="45" fillId="0" borderId="0" xfId="0" applyNumberFormat="1" applyFont="1" applyFill="1"/>
    <xf numFmtId="10" fontId="45" fillId="0" borderId="0" xfId="0" applyNumberFormat="1" applyFont="1" applyFill="1"/>
    <xf numFmtId="10" fontId="45" fillId="0" borderId="0" xfId="43" applyNumberFormat="1" applyFont="1"/>
    <xf numFmtId="43" fontId="45" fillId="0" borderId="0" xfId="32" applyFont="1" applyFill="1"/>
    <xf numFmtId="9" fontId="45" fillId="0" borderId="0" xfId="43" applyFont="1" applyFill="1"/>
    <xf numFmtId="9" fontId="45" fillId="0" borderId="0" xfId="0" applyNumberFormat="1" applyFont="1"/>
    <xf numFmtId="174" fontId="45" fillId="0" borderId="5" xfId="0" applyNumberFormat="1" applyFont="1" applyFill="1" applyBorder="1"/>
    <xf numFmtId="10" fontId="45" fillId="0" borderId="5" xfId="43" applyNumberFormat="1" applyFont="1" applyFill="1" applyBorder="1"/>
    <xf numFmtId="10" fontId="45" fillId="0" borderId="5" xfId="43" applyNumberFormat="1" applyFont="1" applyBorder="1"/>
    <xf numFmtId="10" fontId="45" fillId="0" borderId="0" xfId="0" applyNumberFormat="1" applyFont="1"/>
    <xf numFmtId="0" fontId="45" fillId="0" borderId="0" xfId="0" quotePrefix="1" applyNumberFormat="1" applyFont="1"/>
    <xf numFmtId="173" fontId="46" fillId="0" borderId="0" xfId="0" applyFont="1" applyAlignment="1"/>
    <xf numFmtId="173" fontId="49" fillId="0" borderId="0" xfId="0" quotePrefix="1" applyFont="1" applyAlignment="1"/>
    <xf numFmtId="177" fontId="45" fillId="0" borderId="11" xfId="0" applyNumberFormat="1" applyFont="1" applyFill="1" applyBorder="1"/>
    <xf numFmtId="173" fontId="50" fillId="0" borderId="0" xfId="0" applyFont="1" applyAlignment="1"/>
    <xf numFmtId="173" fontId="51" fillId="0" borderId="0" xfId="0" applyFont="1" applyAlignment="1"/>
    <xf numFmtId="173" fontId="0" fillId="0" borderId="0" xfId="0" applyFill="1" applyAlignment="1"/>
    <xf numFmtId="173" fontId="52" fillId="0" borderId="0" xfId="0" applyFont="1" applyFill="1" applyAlignment="1"/>
    <xf numFmtId="173" fontId="45" fillId="0" borderId="0" xfId="0" applyFont="1" applyFill="1" applyAlignment="1">
      <alignment horizontal="right"/>
    </xf>
    <xf numFmtId="177" fontId="45" fillId="0" borderId="11" xfId="32" applyNumberFormat="1" applyFont="1" applyFill="1" applyBorder="1" applyAlignment="1"/>
    <xf numFmtId="173" fontId="53" fillId="0" borderId="0" xfId="0" applyFont="1" applyFill="1" applyAlignment="1"/>
    <xf numFmtId="0" fontId="54" fillId="0" borderId="0" xfId="42" applyFill="1"/>
    <xf numFmtId="0" fontId="10" fillId="0" borderId="0" xfId="42" applyFont="1" applyFill="1" applyAlignment="1">
      <alignment horizontal="center"/>
    </xf>
    <xf numFmtId="14" fontId="10" fillId="0" borderId="0" xfId="42" applyNumberFormat="1" applyFont="1" applyFill="1" applyAlignment="1">
      <alignment horizontal="center"/>
    </xf>
    <xf numFmtId="14" fontId="54" fillId="0" borderId="0" xfId="42" applyNumberFormat="1" applyFill="1"/>
    <xf numFmtId="0" fontId="55" fillId="0" borderId="0" xfId="42" applyFont="1" applyFill="1" applyAlignment="1">
      <alignment horizontal="center"/>
    </xf>
    <xf numFmtId="37" fontId="54" fillId="0" borderId="0" xfId="42" applyNumberFormat="1" applyFill="1"/>
    <xf numFmtId="39" fontId="54" fillId="0" borderId="0" xfId="42" applyNumberFormat="1" applyFill="1" applyProtection="1"/>
    <xf numFmtId="164" fontId="54" fillId="0" borderId="0" xfId="42" applyNumberFormat="1" applyFill="1"/>
    <xf numFmtId="177" fontId="54" fillId="0" borderId="0" xfId="32" applyNumberFormat="1" applyFont="1" applyFill="1"/>
    <xf numFmtId="176" fontId="54" fillId="0" borderId="0" xfId="42" applyNumberFormat="1" applyFill="1"/>
    <xf numFmtId="179" fontId="54" fillId="0" borderId="0" xfId="42" applyNumberFormat="1" applyFill="1" applyProtection="1"/>
    <xf numFmtId="37" fontId="10" fillId="0" borderId="0" xfId="42" applyNumberFormat="1" applyFont="1" applyFill="1"/>
    <xf numFmtId="0" fontId="10" fillId="0" borderId="0" xfId="42" applyFont="1" applyFill="1"/>
    <xf numFmtId="39" fontId="54" fillId="0" borderId="0" xfId="42" applyNumberFormat="1" applyFill="1"/>
    <xf numFmtId="164" fontId="54" fillId="0" borderId="0" xfId="43" applyNumberFormat="1" applyFont="1" applyFill="1"/>
    <xf numFmtId="177" fontId="8" fillId="0" borderId="0" xfId="32" applyNumberFormat="1" applyFont="1" applyFill="1"/>
    <xf numFmtId="173" fontId="8" fillId="0" borderId="0" xfId="84" applyFont="1" applyAlignment="1">
      <alignment horizontal="center"/>
    </xf>
    <xf numFmtId="0" fontId="8" fillId="0" borderId="0" xfId="84" applyNumberFormat="1" applyFont="1" applyFill="1"/>
    <xf numFmtId="173" fontId="8" fillId="0" borderId="0" xfId="84" applyFont="1" applyAlignment="1"/>
    <xf numFmtId="0" fontId="8" fillId="0" borderId="0" xfId="84" applyNumberFormat="1" applyFont="1"/>
    <xf numFmtId="43" fontId="2" fillId="0" borderId="0" xfId="32" applyFont="1"/>
    <xf numFmtId="0" fontId="0" fillId="0" borderId="0" xfId="0" applyNumberFormat="1"/>
    <xf numFmtId="173" fontId="0" fillId="0" borderId="0" xfId="0" applyFill="1" applyBorder="1" applyAlignment="1"/>
    <xf numFmtId="177" fontId="0" fillId="0" borderId="0" xfId="0" applyNumberFormat="1"/>
    <xf numFmtId="177" fontId="8" fillId="0" borderId="0" xfId="32" applyNumberFormat="1" applyFont="1" applyFill="1" applyAlignment="1"/>
    <xf numFmtId="43" fontId="45" fillId="0" borderId="0" xfId="32" applyFont="1" applyFill="1" applyAlignment="1"/>
    <xf numFmtId="10" fontId="45" fillId="0" borderId="0" xfId="43" applyNumberFormat="1" applyFont="1" applyFill="1" applyAlignment="1"/>
    <xf numFmtId="174" fontId="45" fillId="0" borderId="0" xfId="34" applyNumberFormat="1" applyFont="1" applyFill="1"/>
    <xf numFmtId="164" fontId="8" fillId="4" borderId="0" xfId="0" applyNumberFormat="1" applyFont="1" applyFill="1" applyProtection="1">
      <protection locked="0"/>
    </xf>
    <xf numFmtId="0" fontId="45" fillId="0" borderId="0" xfId="0" applyNumberFormat="1" applyFont="1" applyFill="1" applyAlignment="1"/>
    <xf numFmtId="173" fontId="45" fillId="0" borderId="0" xfId="0" applyFont="1"/>
    <xf numFmtId="173" fontId="57" fillId="0" borderId="0" xfId="0" applyFont="1"/>
    <xf numFmtId="0" fontId="45" fillId="0" borderId="0" xfId="0" applyNumberFormat="1" applyFont="1" applyAlignment="1">
      <alignment horizontal="center"/>
    </xf>
    <xf numFmtId="174" fontId="45" fillId="0" borderId="0" xfId="0" applyNumberFormat="1" applyFont="1"/>
    <xf numFmtId="174" fontId="45" fillId="0" borderId="12" xfId="0" applyNumberFormat="1" applyFont="1" applyBorder="1"/>
    <xf numFmtId="0" fontId="57" fillId="0" borderId="0" xfId="0" applyNumberFormat="1" applyFont="1" applyBorder="1" applyAlignment="1">
      <alignment horizontal="center"/>
    </xf>
    <xf numFmtId="173" fontId="57" fillId="0" borderId="0" xfId="0" applyFont="1" applyBorder="1" applyAlignment="1">
      <alignment horizontal="center"/>
    </xf>
    <xf numFmtId="0" fontId="45" fillId="0" borderId="0" xfId="0" applyNumberFormat="1" applyFont="1" applyBorder="1" applyAlignment="1">
      <alignment horizontal="center"/>
    </xf>
    <xf numFmtId="173" fontId="45" fillId="0" borderId="0" xfId="0" applyFont="1" applyBorder="1" applyAlignment="1">
      <alignment horizontal="center"/>
    </xf>
    <xf numFmtId="0" fontId="45" fillId="0" borderId="3" xfId="0" applyNumberFormat="1" applyFont="1" applyBorder="1" applyAlignment="1">
      <alignment horizontal="center"/>
    </xf>
    <xf numFmtId="173" fontId="45" fillId="0" borderId="3" xfId="0" applyFont="1" applyBorder="1" applyAlignment="1">
      <alignment horizontal="center"/>
    </xf>
    <xf numFmtId="173" fontId="45" fillId="0" borderId="0" xfId="0" applyFont="1" applyAlignment="1">
      <alignment horizontal="center"/>
    </xf>
    <xf numFmtId="174" fontId="45" fillId="0" borderId="0" xfId="32" applyNumberFormat="1" applyFont="1" applyFill="1"/>
    <xf numFmtId="184" fontId="45" fillId="0" borderId="0" xfId="0" applyNumberFormat="1" applyFont="1"/>
    <xf numFmtId="173" fontId="45" fillId="0" borderId="0" xfId="0" applyFont="1" applyFill="1"/>
    <xf numFmtId="43" fontId="46" fillId="0" borderId="0" xfId="0" applyNumberFormat="1" applyFont="1" applyAlignment="1">
      <alignment horizontal="right"/>
    </xf>
    <xf numFmtId="174" fontId="46" fillId="0" borderId="0" xfId="0" applyNumberFormat="1" applyFont="1"/>
    <xf numFmtId="173" fontId="46" fillId="0" borderId="0" xfId="0" applyFont="1" applyAlignment="1">
      <alignment horizontal="right"/>
    </xf>
    <xf numFmtId="174" fontId="46" fillId="0" borderId="2" xfId="0" applyNumberFormat="1" applyFont="1" applyBorder="1"/>
    <xf numFmtId="0" fontId="57" fillId="0" borderId="0" xfId="0" applyNumberFormat="1" applyFont="1" applyFill="1" applyBorder="1" applyAlignment="1">
      <alignment horizontal="center"/>
    </xf>
    <xf numFmtId="173" fontId="45" fillId="0" borderId="3" xfId="0" applyFont="1" applyFill="1" applyBorder="1" applyAlignment="1">
      <alignment horizontal="center"/>
    </xf>
    <xf numFmtId="174" fontId="45" fillId="5" borderId="0" xfId="0" applyNumberFormat="1" applyFont="1" applyFill="1"/>
    <xf numFmtId="0" fontId="45" fillId="5" borderId="0" xfId="0" applyNumberFormat="1" applyFont="1" applyFill="1"/>
    <xf numFmtId="173" fontId="45" fillId="5" borderId="0" xfId="0" applyFont="1" applyFill="1"/>
    <xf numFmtId="184" fontId="45" fillId="5" borderId="0" xfId="0" applyNumberFormat="1" applyFont="1" applyFill="1"/>
    <xf numFmtId="0" fontId="58" fillId="0" borderId="0" xfId="0" applyNumberFormat="1" applyFont="1"/>
    <xf numFmtId="174" fontId="46" fillId="0" borderId="0" xfId="0" applyNumberFormat="1" applyFont="1" applyBorder="1"/>
    <xf numFmtId="174" fontId="45" fillId="6" borderId="2" xfId="34" applyNumberFormat="1" applyFont="1" applyFill="1" applyBorder="1" applyAlignment="1"/>
    <xf numFmtId="177" fontId="45" fillId="6" borderId="0" xfId="32" applyNumberFormat="1" applyFont="1" applyFill="1" applyAlignment="1"/>
    <xf numFmtId="174" fontId="45" fillId="6" borderId="0" xfId="34" applyNumberFormat="1" applyFont="1" applyFill="1" applyAlignment="1"/>
    <xf numFmtId="173" fontId="45" fillId="6" borderId="0" xfId="0" applyNumberFormat="1" applyFont="1" applyFill="1" applyAlignment="1"/>
    <xf numFmtId="173" fontId="45" fillId="6" borderId="5" xfId="0" applyNumberFormat="1" applyFont="1" applyFill="1" applyBorder="1" applyAlignment="1"/>
    <xf numFmtId="173" fontId="45" fillId="6" borderId="5" xfId="0" applyNumberFormat="1" applyFont="1" applyFill="1" applyBorder="1" applyAlignment="1">
      <alignment wrapText="1"/>
    </xf>
    <xf numFmtId="177" fontId="8" fillId="7" borderId="0" xfId="32" applyNumberFormat="1" applyFont="1" applyFill="1"/>
    <xf numFmtId="177" fontId="8" fillId="7" borderId="5" xfId="32" applyNumberFormat="1" applyFont="1" applyFill="1" applyBorder="1"/>
    <xf numFmtId="177" fontId="8" fillId="7" borderId="0" xfId="32" applyNumberFormat="1" applyFont="1" applyFill="1" applyBorder="1"/>
    <xf numFmtId="180" fontId="8" fillId="7" borderId="0" xfId="32" applyNumberFormat="1" applyFont="1" applyFill="1"/>
    <xf numFmtId="175" fontId="45" fillId="6" borderId="0" xfId="0" applyNumberFormat="1" applyFont="1" applyFill="1" applyAlignment="1"/>
    <xf numFmtId="173" fontId="45" fillId="6" borderId="0" xfId="0" applyNumberFormat="1" applyFont="1" applyFill="1" applyAlignment="1">
      <alignment horizontal="right"/>
    </xf>
    <xf numFmtId="170" fontId="45" fillId="6" borderId="0" xfId="32" applyNumberFormat="1" applyFont="1" applyFill="1" applyAlignment="1"/>
    <xf numFmtId="173" fontId="45" fillId="6" borderId="0" xfId="0" applyNumberFormat="1" applyFont="1" applyFill="1" applyBorder="1" applyAlignment="1"/>
    <xf numFmtId="0" fontId="45" fillId="6" borderId="0" xfId="0" applyNumberFormat="1" applyFont="1" applyFill="1"/>
    <xf numFmtId="177" fontId="45" fillId="6" borderId="0" xfId="32" applyNumberFormat="1" applyFont="1" applyFill="1" applyBorder="1" applyAlignment="1"/>
    <xf numFmtId="177" fontId="45" fillId="6" borderId="0" xfId="32" applyNumberFormat="1" applyFont="1" applyFill="1" applyBorder="1"/>
    <xf numFmtId="15" fontId="45" fillId="6" borderId="0" xfId="0" applyNumberFormat="1" applyFont="1" applyFill="1"/>
    <xf numFmtId="15" fontId="45" fillId="6" borderId="0" xfId="0" applyNumberFormat="1" applyFont="1" applyFill="1" applyBorder="1"/>
    <xf numFmtId="0" fontId="45" fillId="6" borderId="0" xfId="0" applyNumberFormat="1" applyFont="1" applyFill="1" applyBorder="1"/>
    <xf numFmtId="177" fontId="45" fillId="6" borderId="13" xfId="0" applyNumberFormat="1" applyFont="1" applyFill="1" applyBorder="1"/>
    <xf numFmtId="173" fontId="45" fillId="6" borderId="0" xfId="0" applyNumberFormat="1" applyFont="1" applyFill="1" applyBorder="1" applyAlignment="1">
      <alignment horizontal="right"/>
    </xf>
    <xf numFmtId="177" fontId="45" fillId="6" borderId="0" xfId="0" applyNumberFormat="1" applyFont="1" applyFill="1" applyBorder="1"/>
    <xf numFmtId="0" fontId="46" fillId="6" borderId="0" xfId="32" applyNumberFormat="1" applyFont="1" applyFill="1" applyAlignment="1"/>
    <xf numFmtId="42" fontId="45" fillId="6" borderId="0" xfId="0" applyNumberFormat="1" applyFont="1" applyFill="1" applyAlignment="1"/>
    <xf numFmtId="42" fontId="45" fillId="6" borderId="0" xfId="0" applyNumberFormat="1" applyFont="1" applyFill="1" applyBorder="1" applyAlignment="1"/>
    <xf numFmtId="42" fontId="45" fillId="6" borderId="0" xfId="32" applyNumberFormat="1" applyFont="1" applyFill="1" applyAlignment="1"/>
    <xf numFmtId="41" fontId="45" fillId="6" borderId="0" xfId="32" applyNumberFormat="1" applyFont="1" applyFill="1" applyAlignment="1"/>
    <xf numFmtId="42" fontId="45" fillId="6" borderId="0" xfId="32" applyNumberFormat="1" applyFont="1" applyFill="1" applyBorder="1" applyAlignment="1"/>
    <xf numFmtId="173" fontId="45" fillId="6" borderId="2" xfId="0" applyNumberFormat="1" applyFont="1" applyFill="1" applyBorder="1" applyAlignment="1"/>
    <xf numFmtId="44" fontId="45" fillId="6" borderId="0" xfId="34" applyFont="1" applyFill="1" applyAlignment="1"/>
    <xf numFmtId="173" fontId="45" fillId="6" borderId="0" xfId="0" applyNumberFormat="1" applyFont="1" applyFill="1" applyAlignment="1">
      <alignment horizontal="center"/>
    </xf>
    <xf numFmtId="173" fontId="45" fillId="6" borderId="5" xfId="0" applyNumberFormat="1" applyFont="1" applyFill="1" applyBorder="1" applyAlignment="1">
      <alignment horizontal="right" wrapText="1"/>
    </xf>
    <xf numFmtId="173" fontId="45" fillId="6" borderId="5" xfId="0" applyNumberFormat="1" applyFont="1" applyFill="1" applyBorder="1" applyAlignment="1">
      <alignment horizontal="center" wrapText="1"/>
    </xf>
    <xf numFmtId="170" fontId="45" fillId="6" borderId="0" xfId="0" applyNumberFormat="1" applyFont="1" applyFill="1" applyAlignment="1"/>
    <xf numFmtId="177" fontId="45" fillId="6" borderId="5" xfId="32" applyNumberFormat="1" applyFont="1" applyFill="1" applyBorder="1" applyAlignment="1"/>
    <xf numFmtId="173" fontId="45" fillId="6" borderId="0" xfId="0" quotePrefix="1" applyNumberFormat="1" applyFont="1" applyFill="1" applyAlignment="1"/>
    <xf numFmtId="173" fontId="47" fillId="6" borderId="0" xfId="0" applyNumberFormat="1" applyFont="1" applyFill="1" applyAlignment="1"/>
    <xf numFmtId="173" fontId="45" fillId="6" borderId="0" xfId="0" applyNumberFormat="1" applyFont="1" applyFill="1" applyBorder="1" applyAlignment="1">
      <alignment horizontal="center" wrapText="1"/>
    </xf>
    <xf numFmtId="173" fontId="45" fillId="6" borderId="0" xfId="32" applyNumberFormat="1" applyFont="1" applyFill="1" applyBorder="1" applyAlignment="1"/>
    <xf numFmtId="170" fontId="45" fillId="6" borderId="0" xfId="32" applyNumberFormat="1" applyFont="1" applyFill="1" applyBorder="1" applyAlignment="1"/>
    <xf numFmtId="10" fontId="45" fillId="6" borderId="0" xfId="32" applyNumberFormat="1" applyFont="1" applyFill="1" applyBorder="1" applyAlignment="1"/>
    <xf numFmtId="173" fontId="45" fillId="6" borderId="0" xfId="0" quotePrefix="1" applyNumberFormat="1" applyFont="1" applyFill="1" applyBorder="1" applyAlignment="1"/>
    <xf numFmtId="173" fontId="45" fillId="6" borderId="0" xfId="0" applyNumberFormat="1" applyFont="1" applyFill="1" applyBorder="1" applyAlignment="1">
      <alignment horizontal="right" wrapText="1"/>
    </xf>
    <xf numFmtId="170" fontId="45" fillId="6" borderId="0" xfId="0" applyNumberFormat="1" applyFont="1" applyFill="1" applyBorder="1" applyAlignment="1"/>
    <xf numFmtId="173" fontId="45" fillId="6" borderId="0" xfId="0" applyFont="1" applyFill="1" applyAlignment="1"/>
    <xf numFmtId="174" fontId="45" fillId="0" borderId="0" xfId="43" applyNumberFormat="1" applyFont="1" applyFill="1" applyAlignment="1"/>
    <xf numFmtId="173" fontId="56" fillId="0" borderId="14" xfId="0" applyFont="1" applyBorder="1" applyAlignment="1">
      <alignment horizontal="center" vertical="center" wrapText="1"/>
    </xf>
    <xf numFmtId="173" fontId="56" fillId="0" borderId="2" xfId="0" applyFont="1" applyBorder="1" applyAlignment="1">
      <alignment horizontal="center" vertical="center" wrapText="1"/>
    </xf>
    <xf numFmtId="173" fontId="56" fillId="0" borderId="15" xfId="0" applyFont="1" applyBorder="1" applyAlignment="1">
      <alignment horizontal="center" vertical="center" wrapText="1"/>
    </xf>
    <xf numFmtId="173" fontId="56" fillId="0" borderId="7" xfId="0" applyFont="1" applyBorder="1" applyAlignment="1">
      <alignment horizontal="center" vertical="center" wrapText="1"/>
    </xf>
    <xf numFmtId="173" fontId="56" fillId="0" borderId="0" xfId="0" applyFont="1" applyBorder="1" applyAlignment="1">
      <alignment horizontal="center" vertical="center" wrapText="1"/>
    </xf>
    <xf numFmtId="173" fontId="56" fillId="0" borderId="8" xfId="0" applyFont="1" applyBorder="1" applyAlignment="1">
      <alignment horizontal="center" vertical="center" wrapText="1"/>
    </xf>
    <xf numFmtId="173" fontId="56" fillId="0" borderId="9" xfId="0" applyFont="1" applyBorder="1" applyAlignment="1">
      <alignment horizontal="center" vertical="center" wrapText="1"/>
    </xf>
    <xf numFmtId="173" fontId="56" fillId="0" borderId="5" xfId="0" applyFont="1" applyBorder="1" applyAlignment="1">
      <alignment horizontal="center" vertical="center" wrapText="1"/>
    </xf>
    <xf numFmtId="173" fontId="56" fillId="0" borderId="10" xfId="0" applyFont="1" applyBorder="1" applyAlignment="1">
      <alignment horizontal="center" vertical="center" wrapText="1"/>
    </xf>
  </cellXfs>
  <cellStyles count="90">
    <cellStyle name="C00A" xfId="1"/>
    <cellStyle name="C00B" xfId="2"/>
    <cellStyle name="C00L" xfId="3"/>
    <cellStyle name="C01A" xfId="4"/>
    <cellStyle name="C01B" xfId="5"/>
    <cellStyle name="C01H" xfId="6"/>
    <cellStyle name="C01L" xfId="7"/>
    <cellStyle name="C02A" xfId="8"/>
    <cellStyle name="C02B" xfId="9"/>
    <cellStyle name="C02H" xfId="10"/>
    <cellStyle name="C02L" xfId="11"/>
    <cellStyle name="C03A" xfId="12"/>
    <cellStyle name="C03B" xfId="13"/>
    <cellStyle name="C03H" xfId="14"/>
    <cellStyle name="C03L" xfId="15"/>
    <cellStyle name="C04A" xfId="16"/>
    <cellStyle name="C04B" xfId="17"/>
    <cellStyle name="C04H" xfId="18"/>
    <cellStyle name="C04L" xfId="19"/>
    <cellStyle name="C05A" xfId="20"/>
    <cellStyle name="C05B" xfId="21"/>
    <cellStyle name="C05H" xfId="22"/>
    <cellStyle name="C05L" xfId="23"/>
    <cellStyle name="C06A" xfId="24"/>
    <cellStyle name="C06B" xfId="25"/>
    <cellStyle name="C06H" xfId="26"/>
    <cellStyle name="C06L" xfId="27"/>
    <cellStyle name="C07A" xfId="28"/>
    <cellStyle name="C07B" xfId="29"/>
    <cellStyle name="C07H" xfId="30"/>
    <cellStyle name="C07L" xfId="31"/>
    <cellStyle name="Comma" xfId="32" builtinId="3"/>
    <cellStyle name="Comma 2" xfId="86"/>
    <cellStyle name="Comma0" xfId="33"/>
    <cellStyle name="Currency" xfId="34" builtinId="4"/>
    <cellStyle name="Currency 2" xfId="87"/>
    <cellStyle name="Currency0" xfId="35"/>
    <cellStyle name="Date" xfId="36"/>
    <cellStyle name="Fixed" xfId="37"/>
    <cellStyle name="Heading 1" xfId="38" builtinId="16" customBuiltin="1"/>
    <cellStyle name="Heading 2" xfId="39" builtinId="17" customBuiltin="1"/>
    <cellStyle name="Heading1" xfId="40"/>
    <cellStyle name="Heading2" xfId="41"/>
    <cellStyle name="Normal" xfId="0" builtinId="0"/>
    <cellStyle name="Normal 100" xfId="89"/>
    <cellStyle name="Normal 3" xfId="85"/>
    <cellStyle name="Normal_Attachment O &amp; GG Final 11_11_09" xfId="84"/>
    <cellStyle name="Normal_ITC SUM for attachment O (2)" xfId="42"/>
    <cellStyle name="Percent" xfId="43" builtinId="5"/>
    <cellStyle name="Percent 3" xfId="88"/>
    <cellStyle name="PSChar" xfId="44"/>
    <cellStyle name="PSDate" xfId="45"/>
    <cellStyle name="PSDec" xfId="46"/>
    <cellStyle name="PSdesc" xfId="47"/>
    <cellStyle name="PSHeading" xfId="48"/>
    <cellStyle name="PSInt" xfId="49"/>
    <cellStyle name="PSSpacer" xfId="50"/>
    <cellStyle name="PStest" xfId="51"/>
    <cellStyle name="R00A" xfId="52"/>
    <cellStyle name="R00B" xfId="53"/>
    <cellStyle name="R00L" xfId="54"/>
    <cellStyle name="R01A" xfId="55"/>
    <cellStyle name="R01B" xfId="56"/>
    <cellStyle name="R01H" xfId="57"/>
    <cellStyle name="R01L" xfId="58"/>
    <cellStyle name="R02A" xfId="59"/>
    <cellStyle name="R02B" xfId="60"/>
    <cellStyle name="R02H" xfId="61"/>
    <cellStyle name="R02L" xfId="62"/>
    <cellStyle name="R03A" xfId="63"/>
    <cellStyle name="R03B" xfId="64"/>
    <cellStyle name="R03H" xfId="65"/>
    <cellStyle name="R03L" xfId="66"/>
    <cellStyle name="R04A" xfId="67"/>
    <cellStyle name="R04B" xfId="68"/>
    <cellStyle name="R04H" xfId="69"/>
    <cellStyle name="R04L" xfId="70"/>
    <cellStyle name="R05A" xfId="71"/>
    <cellStyle name="R05B" xfId="72"/>
    <cellStyle name="R05H" xfId="73"/>
    <cellStyle name="R05L" xfId="74"/>
    <cellStyle name="R06A" xfId="75"/>
    <cellStyle name="R06B" xfId="76"/>
    <cellStyle name="R06H" xfId="77"/>
    <cellStyle name="R06L" xfId="78"/>
    <cellStyle name="R07A" xfId="79"/>
    <cellStyle name="R07B" xfId="80"/>
    <cellStyle name="R07H" xfId="81"/>
    <cellStyle name="R07L" xfId="82"/>
    <cellStyle name="Total" xfId="8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66FF33"/>
      <color rgb="FF99FF66"/>
      <color rgb="FF99FF99"/>
      <color rgb="FFFFFF99"/>
      <color rgb="FFCCFF66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97"/>
  <sheetViews>
    <sheetView tabSelected="1" zoomScale="80" zoomScaleNormal="80" zoomScaleSheetLayoutView="75" workbookViewId="0"/>
  </sheetViews>
  <sheetFormatPr defaultRowHeight="15.75"/>
  <cols>
    <col min="1" max="1" width="5.77734375" style="12" customWidth="1"/>
    <col min="2" max="2" width="1.77734375" style="12" customWidth="1"/>
    <col min="3" max="3" width="38.77734375" style="12" customWidth="1"/>
    <col min="4" max="4" width="30.77734375" style="12" customWidth="1"/>
    <col min="5" max="5" width="15.77734375" style="12" customWidth="1"/>
    <col min="6" max="6" width="6.77734375" style="12" customWidth="1"/>
    <col min="7" max="7" width="9.77734375" style="12" customWidth="1"/>
    <col min="8" max="8" width="10.77734375" style="12" customWidth="1"/>
    <col min="9" max="9" width="5.77734375" style="12" customWidth="1"/>
    <col min="10" max="10" width="15.77734375" style="12" customWidth="1"/>
    <col min="11" max="11" width="3.44140625" style="12" customWidth="1"/>
    <col min="12" max="12" width="7.21875" style="22" customWidth="1"/>
    <col min="13" max="13" width="8.88671875" style="12" customWidth="1"/>
    <col min="14" max="14" width="12.77734375" style="12" customWidth="1"/>
    <col min="15" max="15" width="18.77734375" style="12" customWidth="1"/>
    <col min="16" max="16384" width="8.88671875" style="12"/>
  </cols>
  <sheetData>
    <row r="1" spans="1:16">
      <c r="C1" s="14"/>
      <c r="D1" s="14"/>
      <c r="E1" s="23"/>
      <c r="F1" s="14"/>
      <c r="G1" s="14"/>
      <c r="H1" s="14"/>
      <c r="I1" s="24"/>
      <c r="J1" s="24"/>
      <c r="K1" s="25"/>
      <c r="L1" s="26" t="s">
        <v>217</v>
      </c>
      <c r="N1" s="333" t="s">
        <v>558</v>
      </c>
      <c r="O1" s="334"/>
      <c r="P1" s="335"/>
    </row>
    <row r="2" spans="1:16">
      <c r="C2" s="14"/>
      <c r="D2" s="14"/>
      <c r="E2" s="23"/>
      <c r="F2" s="14"/>
      <c r="G2" s="14"/>
      <c r="H2" s="14"/>
      <c r="I2" s="24"/>
      <c r="J2" s="24"/>
      <c r="K2" s="25"/>
      <c r="L2" s="27"/>
      <c r="N2" s="336"/>
      <c r="O2" s="337"/>
      <c r="P2" s="338"/>
    </row>
    <row r="3" spans="1:16">
      <c r="C3" s="14" t="s">
        <v>196</v>
      </c>
      <c r="D3" s="14"/>
      <c r="E3" s="23" t="s">
        <v>261</v>
      </c>
      <c r="F3" s="14"/>
      <c r="G3" s="14"/>
      <c r="H3" s="14"/>
      <c r="I3" s="24"/>
      <c r="J3" s="28" t="s">
        <v>596</v>
      </c>
      <c r="K3" s="29"/>
      <c r="L3" s="29"/>
      <c r="N3" s="336"/>
      <c r="O3" s="337"/>
      <c r="P3" s="338"/>
    </row>
    <row r="4" spans="1:16">
      <c r="C4" s="14"/>
      <c r="D4" s="16" t="s">
        <v>262</v>
      </c>
      <c r="E4" s="16" t="s">
        <v>218</v>
      </c>
      <c r="F4" s="16"/>
      <c r="G4" s="16"/>
      <c r="H4" s="16"/>
      <c r="I4" s="24"/>
      <c r="J4" s="24"/>
      <c r="K4" s="25"/>
      <c r="L4" s="27"/>
      <c r="N4" s="339"/>
      <c r="O4" s="340"/>
      <c r="P4" s="341"/>
    </row>
    <row r="5" spans="1:16">
      <c r="C5" s="25"/>
      <c r="D5" s="25"/>
      <c r="E5" s="25"/>
      <c r="F5" s="25"/>
      <c r="G5" s="25"/>
      <c r="H5" s="25"/>
      <c r="I5" s="25"/>
      <c r="J5" s="25"/>
      <c r="K5" s="25"/>
      <c r="L5" s="27"/>
    </row>
    <row r="6" spans="1:16">
      <c r="A6" s="7"/>
      <c r="C6" s="25"/>
      <c r="D6" s="25"/>
      <c r="E6" s="134" t="s">
        <v>268</v>
      </c>
      <c r="F6" s="25"/>
      <c r="G6" s="25"/>
      <c r="H6" s="25"/>
      <c r="I6" s="25"/>
      <c r="J6" s="25"/>
      <c r="K6" s="25"/>
      <c r="L6" s="27"/>
    </row>
    <row r="7" spans="1:16">
      <c r="A7" s="7"/>
      <c r="C7" s="25"/>
      <c r="D7" s="25"/>
      <c r="E7" s="30"/>
      <c r="F7" s="25"/>
      <c r="G7" s="25"/>
      <c r="H7" s="25"/>
      <c r="I7" s="25"/>
      <c r="J7" s="25"/>
      <c r="K7" s="25"/>
      <c r="L7" s="27"/>
    </row>
    <row r="8" spans="1:16">
      <c r="A8" s="7" t="s">
        <v>263</v>
      </c>
      <c r="C8" s="25"/>
      <c r="D8" s="25"/>
      <c r="E8" s="30"/>
      <c r="F8" s="25"/>
      <c r="G8" s="25"/>
      <c r="H8" s="25"/>
      <c r="I8" s="25"/>
      <c r="J8" s="7" t="s">
        <v>207</v>
      </c>
      <c r="K8" s="25"/>
      <c r="L8" s="27"/>
    </row>
    <row r="9" spans="1:16" ht="16.5" thickBot="1">
      <c r="A9" s="31" t="s">
        <v>264</v>
      </c>
      <c r="C9" s="25"/>
      <c r="D9" s="25"/>
      <c r="E9" s="25"/>
      <c r="F9" s="25"/>
      <c r="G9" s="25"/>
      <c r="H9" s="25"/>
      <c r="I9" s="25"/>
      <c r="J9" s="31" t="s">
        <v>265</v>
      </c>
      <c r="K9" s="25"/>
      <c r="L9" s="27"/>
    </row>
    <row r="10" spans="1:16">
      <c r="A10" s="7">
        <v>1</v>
      </c>
      <c r="C10" s="25" t="s">
        <v>361</v>
      </c>
      <c r="D10" s="25"/>
      <c r="E10" s="32"/>
      <c r="F10" s="25"/>
      <c r="G10" s="25"/>
      <c r="H10" s="25"/>
      <c r="I10" s="25"/>
      <c r="J10" s="33">
        <f>+J223</f>
        <v>34788076.773622856</v>
      </c>
      <c r="K10" s="25"/>
      <c r="L10" s="27"/>
    </row>
    <row r="11" spans="1:16">
      <c r="A11" s="7"/>
      <c r="C11" s="25"/>
      <c r="D11" s="25"/>
      <c r="E11" s="25"/>
      <c r="F11" s="25"/>
      <c r="G11" s="25"/>
      <c r="H11" s="25"/>
      <c r="I11" s="25"/>
      <c r="J11" s="32"/>
      <c r="K11" s="25"/>
      <c r="L11" s="27"/>
    </row>
    <row r="12" spans="1:16">
      <c r="A12" s="7"/>
      <c r="C12" s="25"/>
      <c r="D12" s="25"/>
      <c r="E12" s="25"/>
      <c r="F12" s="25"/>
      <c r="G12" s="25"/>
      <c r="H12" s="25"/>
      <c r="I12" s="25"/>
      <c r="J12" s="32"/>
      <c r="K12" s="25"/>
      <c r="L12" s="27"/>
    </row>
    <row r="13" spans="1:16" ht="16.5" thickBot="1">
      <c r="A13" s="7" t="s">
        <v>262</v>
      </c>
      <c r="C13" s="15" t="s">
        <v>208</v>
      </c>
      <c r="D13" s="19" t="s">
        <v>197</v>
      </c>
      <c r="E13" s="31" t="s">
        <v>210</v>
      </c>
      <c r="F13" s="16"/>
      <c r="G13" s="34" t="s">
        <v>211</v>
      </c>
      <c r="H13" s="34"/>
      <c r="I13" s="25"/>
      <c r="J13" s="32"/>
      <c r="K13" s="25"/>
      <c r="L13" s="27"/>
    </row>
    <row r="14" spans="1:16">
      <c r="A14" s="7">
        <v>2</v>
      </c>
      <c r="C14" s="15" t="s">
        <v>212</v>
      </c>
      <c r="D14" s="16" t="s">
        <v>292</v>
      </c>
      <c r="E14" s="16">
        <f>J303</f>
        <v>0</v>
      </c>
      <c r="F14" s="16"/>
      <c r="G14" s="16" t="s">
        <v>14</v>
      </c>
      <c r="H14" s="35">
        <f>J251</f>
        <v>1</v>
      </c>
      <c r="I14" s="16"/>
      <c r="J14" s="16">
        <f>+H14*E14</f>
        <v>0</v>
      </c>
      <c r="K14" s="25"/>
      <c r="L14" s="27"/>
    </row>
    <row r="15" spans="1:16">
      <c r="A15" s="7">
        <v>3</v>
      </c>
      <c r="C15" s="15" t="s">
        <v>269</v>
      </c>
      <c r="D15" s="16" t="s">
        <v>293</v>
      </c>
      <c r="E15" s="16">
        <f>J310</f>
        <v>1048933.0000000019</v>
      </c>
      <c r="F15" s="16"/>
      <c r="G15" s="16" t="str">
        <f t="shared" ref="G15:H17" si="0">+G14</f>
        <v>TP</v>
      </c>
      <c r="H15" s="35">
        <f t="shared" si="0"/>
        <v>1</v>
      </c>
      <c r="I15" s="16"/>
      <c r="J15" s="16">
        <f>+H15*E15</f>
        <v>1048933.0000000019</v>
      </c>
      <c r="K15" s="25"/>
      <c r="L15" s="27"/>
    </row>
    <row r="16" spans="1:16">
      <c r="A16" s="7">
        <v>4</v>
      </c>
      <c r="C16" s="36" t="s">
        <v>213</v>
      </c>
      <c r="D16" s="16"/>
      <c r="E16" s="37">
        <v>0</v>
      </c>
      <c r="F16" s="16"/>
      <c r="G16" s="16" t="str">
        <f t="shared" si="0"/>
        <v>TP</v>
      </c>
      <c r="H16" s="35">
        <f t="shared" si="0"/>
        <v>1</v>
      </c>
      <c r="I16" s="16"/>
      <c r="J16" s="16">
        <f>+H16*E16</f>
        <v>0</v>
      </c>
      <c r="K16" s="25"/>
      <c r="L16" s="27"/>
      <c r="M16" s="4"/>
      <c r="N16" s="4" t="s">
        <v>157</v>
      </c>
      <c r="O16" s="2"/>
      <c r="P16" s="2"/>
    </row>
    <row r="17" spans="1:16" ht="16.5" thickBot="1">
      <c r="A17" s="7">
        <v>5</v>
      </c>
      <c r="C17" s="36" t="s">
        <v>0</v>
      </c>
      <c r="D17" s="16"/>
      <c r="E17" s="37">
        <v>0</v>
      </c>
      <c r="F17" s="16"/>
      <c r="G17" s="16" t="str">
        <f t="shared" si="0"/>
        <v>TP</v>
      </c>
      <c r="H17" s="35">
        <f t="shared" si="0"/>
        <v>1</v>
      </c>
      <c r="I17" s="16"/>
      <c r="J17" s="38">
        <f>+H17*E17</f>
        <v>0</v>
      </c>
      <c r="K17" s="25"/>
      <c r="L17" s="27"/>
      <c r="M17" s="4"/>
      <c r="N17" s="4" t="s">
        <v>158</v>
      </c>
      <c r="O17" s="2"/>
      <c r="P17" s="2"/>
    </row>
    <row r="18" spans="1:16">
      <c r="A18" s="7">
        <v>6</v>
      </c>
      <c r="C18" s="15" t="s">
        <v>53</v>
      </c>
      <c r="D18" s="25"/>
      <c r="E18" s="39" t="s">
        <v>262</v>
      </c>
      <c r="F18" s="16"/>
      <c r="G18" s="16"/>
      <c r="H18" s="35"/>
      <c r="I18" s="16"/>
      <c r="J18" s="16">
        <f>SUM(J14:J17)</f>
        <v>1048933.0000000019</v>
      </c>
      <c r="K18" s="25"/>
      <c r="L18" s="27"/>
      <c r="M18" s="249"/>
      <c r="N18" s="2"/>
      <c r="O18" s="2"/>
      <c r="P18" s="2"/>
    </row>
    <row r="19" spans="1:16">
      <c r="A19" s="7"/>
      <c r="D19" s="25"/>
      <c r="E19" s="16" t="s">
        <v>262</v>
      </c>
      <c r="F19" s="25"/>
      <c r="G19" s="25"/>
      <c r="H19" s="35"/>
      <c r="I19" s="25"/>
      <c r="K19" s="25"/>
      <c r="L19" s="27"/>
      <c r="M19" s="1"/>
      <c r="N19" s="2"/>
      <c r="O19" s="2"/>
      <c r="P19" s="2"/>
    </row>
    <row r="20" spans="1:16">
      <c r="A20" s="8" t="s">
        <v>319</v>
      </c>
      <c r="B20" s="22"/>
      <c r="C20" s="22" t="s">
        <v>320</v>
      </c>
      <c r="D20" s="27"/>
      <c r="E20" s="16"/>
      <c r="F20" s="25"/>
      <c r="G20" s="25"/>
      <c r="H20" s="35"/>
      <c r="I20" s="25"/>
      <c r="J20" s="253">
        <v>33267677.000000004</v>
      </c>
      <c r="K20" s="25"/>
      <c r="L20" s="27"/>
      <c r="M20" s="249"/>
      <c r="N20" s="250"/>
      <c r="O20" s="2"/>
      <c r="P20" s="2"/>
    </row>
    <row r="21" spans="1:16">
      <c r="A21" s="8" t="s">
        <v>321</v>
      </c>
      <c r="B21" s="22"/>
      <c r="C21" s="22" t="s">
        <v>325</v>
      </c>
      <c r="D21" s="27" t="s">
        <v>329</v>
      </c>
      <c r="E21" s="16"/>
      <c r="F21" s="25"/>
      <c r="G21" s="25"/>
      <c r="H21" s="35"/>
      <c r="I21" s="25"/>
      <c r="J21" s="253">
        <v>31388516</v>
      </c>
      <c r="K21" s="25"/>
      <c r="L21" s="27"/>
      <c r="M21" s="251"/>
      <c r="N21" s="2"/>
      <c r="O21" s="2"/>
      <c r="P21" s="2"/>
    </row>
    <row r="22" spans="1:16">
      <c r="A22" s="8" t="s">
        <v>322</v>
      </c>
      <c r="B22" s="22"/>
      <c r="C22" s="22" t="s">
        <v>326</v>
      </c>
      <c r="D22" s="27" t="s">
        <v>330</v>
      </c>
      <c r="E22" s="16"/>
      <c r="F22" s="25"/>
      <c r="G22" s="25"/>
      <c r="H22" s="35"/>
      <c r="I22" s="25"/>
      <c r="J22" s="253">
        <f>+J20-J21</f>
        <v>1879161.0000000037</v>
      </c>
      <c r="K22" s="25"/>
      <c r="L22" s="27"/>
      <c r="M22" s="252"/>
      <c r="N22" s="250"/>
      <c r="O22" s="2"/>
      <c r="P22" s="2"/>
    </row>
    <row r="23" spans="1:16">
      <c r="A23" s="8" t="s">
        <v>323</v>
      </c>
      <c r="B23" s="22"/>
      <c r="C23" s="22" t="s">
        <v>327</v>
      </c>
      <c r="D23" s="27" t="s">
        <v>331</v>
      </c>
      <c r="E23" s="16"/>
      <c r="F23" s="25"/>
      <c r="G23" s="25"/>
      <c r="H23" s="35"/>
      <c r="I23" s="25"/>
      <c r="J23" s="253">
        <v>119753.03262043394</v>
      </c>
      <c r="K23" s="25"/>
      <c r="L23" s="27"/>
      <c r="M23" s="250"/>
      <c r="N23" s="250"/>
      <c r="O23" s="2"/>
      <c r="P23" s="2"/>
    </row>
    <row r="24" spans="1:16">
      <c r="A24" s="8" t="s">
        <v>324</v>
      </c>
      <c r="B24" s="22"/>
      <c r="C24" s="22" t="s">
        <v>328</v>
      </c>
      <c r="D24" s="27"/>
      <c r="E24" s="16"/>
      <c r="F24" s="25"/>
      <c r="G24" s="25"/>
      <c r="H24" s="35"/>
      <c r="I24" s="25"/>
      <c r="J24" s="253">
        <v>28400.570575471174</v>
      </c>
      <c r="K24" s="25"/>
      <c r="L24" s="27"/>
      <c r="M24" s="1"/>
      <c r="N24" s="2"/>
      <c r="O24" s="2"/>
      <c r="P24" s="2"/>
    </row>
    <row r="25" spans="1:16">
      <c r="A25" s="8"/>
      <c r="B25" s="22"/>
      <c r="C25" s="21"/>
      <c r="D25" s="27"/>
      <c r="J25" s="16"/>
      <c r="K25" s="25"/>
      <c r="L25" s="27"/>
      <c r="M25" s="1"/>
      <c r="N25" s="2"/>
      <c r="O25" s="2"/>
      <c r="P25" s="2"/>
    </row>
    <row r="26" spans="1:16" ht="16.5" thickBot="1">
      <c r="A26" s="8">
        <v>7</v>
      </c>
      <c r="B26" s="22"/>
      <c r="C26" s="21" t="s">
        <v>266</v>
      </c>
      <c r="D26" s="27" t="s">
        <v>346</v>
      </c>
      <c r="E26" s="39" t="s">
        <v>262</v>
      </c>
      <c r="F26" s="16"/>
      <c r="G26" s="16"/>
      <c r="H26" s="16"/>
      <c r="I26" s="16"/>
      <c r="J26" s="40">
        <f>+ROUND(J10-J18+J22+J23+J24,0)</f>
        <v>35766458</v>
      </c>
      <c r="K26" s="25"/>
      <c r="L26" s="27"/>
      <c r="M26" s="249"/>
      <c r="N26" s="2"/>
      <c r="O26" s="2"/>
      <c r="P26" s="2"/>
    </row>
    <row r="27" spans="1:16" ht="16.5" thickTop="1">
      <c r="A27" s="7"/>
      <c r="D27" s="25"/>
      <c r="E27" s="39"/>
      <c r="F27" s="16"/>
      <c r="G27" s="16"/>
      <c r="H27" s="16"/>
      <c r="I27" s="16"/>
      <c r="K27" s="25"/>
      <c r="L27" s="27"/>
      <c r="M27" s="1"/>
      <c r="N27" s="2"/>
      <c r="O27" s="2"/>
      <c r="P27" s="2"/>
    </row>
    <row r="28" spans="1:16">
      <c r="A28" s="7"/>
      <c r="D28" s="16"/>
      <c r="J28" s="16"/>
      <c r="K28" s="25"/>
      <c r="L28" s="27"/>
      <c r="M28" s="1"/>
      <c r="N28" s="2"/>
      <c r="O28" s="2"/>
      <c r="P28" s="2"/>
    </row>
    <row r="29" spans="1:16">
      <c r="A29" s="7"/>
      <c r="C29" s="15" t="s">
        <v>267</v>
      </c>
      <c r="D29" s="25"/>
      <c r="E29" s="32"/>
      <c r="F29" s="25"/>
      <c r="G29" s="25"/>
      <c r="H29" s="25"/>
      <c r="I29" s="25"/>
      <c r="J29" s="32"/>
      <c r="K29" s="25"/>
      <c r="L29" s="27"/>
      <c r="M29" s="1"/>
      <c r="N29" s="2"/>
      <c r="O29" s="2"/>
      <c r="P29" s="2"/>
    </row>
    <row r="30" spans="1:16">
      <c r="A30" s="7">
        <v>8</v>
      </c>
      <c r="C30" s="15" t="s">
        <v>130</v>
      </c>
      <c r="E30" s="32"/>
      <c r="F30" s="25"/>
      <c r="G30" s="25"/>
      <c r="H30" s="41" t="s">
        <v>131</v>
      </c>
      <c r="I30" s="25"/>
      <c r="J30" s="42">
        <f>'Workpapers (Page 10)'!D23</f>
        <v>937784.61085653689</v>
      </c>
      <c r="K30" s="25"/>
      <c r="L30" s="27"/>
      <c r="M30" s="3"/>
      <c r="N30" s="2"/>
      <c r="O30" s="2"/>
      <c r="P30" s="2"/>
    </row>
    <row r="31" spans="1:16">
      <c r="A31" s="7">
        <v>9</v>
      </c>
      <c r="C31" s="15" t="s">
        <v>214</v>
      </c>
      <c r="D31" s="16"/>
      <c r="E31" s="16"/>
      <c r="F31" s="16"/>
      <c r="G31" s="16"/>
      <c r="H31" s="19" t="s">
        <v>132</v>
      </c>
      <c r="I31" s="16"/>
      <c r="J31" s="42">
        <v>0</v>
      </c>
      <c r="K31" s="25"/>
      <c r="L31" s="27"/>
    </row>
    <row r="32" spans="1:16">
      <c r="A32" s="7">
        <v>10</v>
      </c>
      <c r="C32" s="36" t="s">
        <v>166</v>
      </c>
      <c r="D32" s="25"/>
      <c r="E32" s="25"/>
      <c r="F32" s="25"/>
      <c r="H32" s="41" t="s">
        <v>133</v>
      </c>
      <c r="I32" s="25"/>
      <c r="J32" s="42">
        <v>0</v>
      </c>
      <c r="K32" s="25"/>
      <c r="L32" s="27"/>
    </row>
    <row r="33" spans="1:12">
      <c r="A33" s="7">
        <v>11</v>
      </c>
      <c r="C33" s="15" t="s">
        <v>134</v>
      </c>
      <c r="D33" s="25"/>
      <c r="E33" s="25"/>
      <c r="F33" s="25"/>
      <c r="H33" s="41" t="s">
        <v>135</v>
      </c>
      <c r="I33" s="25"/>
      <c r="J33" s="43">
        <v>0</v>
      </c>
      <c r="K33" s="25"/>
      <c r="L33" s="27"/>
    </row>
    <row r="34" spans="1:12">
      <c r="A34" s="7">
        <v>12</v>
      </c>
      <c r="C34" s="36" t="s">
        <v>22</v>
      </c>
      <c r="D34" s="25"/>
      <c r="E34" s="25"/>
      <c r="F34" s="25"/>
      <c r="G34" s="25"/>
      <c r="H34" s="24"/>
      <c r="I34" s="25"/>
      <c r="J34" s="43">
        <v>0</v>
      </c>
      <c r="K34" s="25"/>
      <c r="L34" s="27"/>
    </row>
    <row r="35" spans="1:12">
      <c r="A35" s="7">
        <v>13</v>
      </c>
      <c r="C35" s="36" t="s">
        <v>294</v>
      </c>
      <c r="D35" s="25"/>
      <c r="E35" s="25"/>
      <c r="F35" s="25"/>
      <c r="G35" s="25"/>
      <c r="H35" s="41"/>
      <c r="I35" s="25"/>
      <c r="J35" s="43">
        <v>0</v>
      </c>
      <c r="K35" s="25"/>
      <c r="L35" s="27"/>
    </row>
    <row r="36" spans="1:12" ht="16.5" thickBot="1">
      <c r="A36" s="7">
        <v>14</v>
      </c>
      <c r="C36" s="36" t="s">
        <v>229</v>
      </c>
      <c r="D36" s="25"/>
      <c r="E36" s="25"/>
      <c r="F36" s="25"/>
      <c r="G36" s="25"/>
      <c r="H36" s="24"/>
      <c r="I36" s="25"/>
      <c r="J36" s="44">
        <v>0</v>
      </c>
      <c r="K36" s="25"/>
      <c r="L36" s="27"/>
    </row>
    <row r="37" spans="1:12">
      <c r="A37" s="7">
        <v>15</v>
      </c>
      <c r="C37" s="14" t="s">
        <v>167</v>
      </c>
      <c r="D37" s="25"/>
      <c r="E37" s="25"/>
      <c r="F37" s="25"/>
      <c r="G37" s="25"/>
      <c r="H37" s="25"/>
      <c r="I37" s="25"/>
      <c r="J37" s="32">
        <f>SUM(J30:J36)</f>
        <v>937784.61085653689</v>
      </c>
      <c r="K37" s="25"/>
      <c r="L37" s="27"/>
    </row>
    <row r="38" spans="1:12">
      <c r="A38" s="7"/>
      <c r="C38" s="15"/>
      <c r="D38" s="25"/>
      <c r="E38" s="25"/>
      <c r="F38" s="25"/>
      <c r="G38" s="25"/>
      <c r="H38" s="25"/>
      <c r="I38" s="25"/>
      <c r="J38" s="32"/>
      <c r="K38" s="25"/>
      <c r="L38" s="27"/>
    </row>
    <row r="39" spans="1:12">
      <c r="A39" s="7">
        <v>16</v>
      </c>
      <c r="C39" s="15" t="s">
        <v>138</v>
      </c>
      <c r="D39" s="25" t="s">
        <v>260</v>
      </c>
      <c r="E39" s="45">
        <f>IF(J37&gt;0,J26/J37,0)</f>
        <v>38.139310014196411</v>
      </c>
      <c r="F39" s="25"/>
      <c r="G39" s="25"/>
      <c r="H39" s="25"/>
      <c r="I39" s="25"/>
      <c r="K39" s="25"/>
      <c r="L39" s="27"/>
    </row>
    <row r="40" spans="1:12">
      <c r="A40" s="7">
        <v>17</v>
      </c>
      <c r="C40" s="15" t="s">
        <v>139</v>
      </c>
      <c r="D40" s="25" t="s">
        <v>66</v>
      </c>
      <c r="E40" s="45">
        <f>+E39/12</f>
        <v>3.1782758345163677</v>
      </c>
      <c r="F40" s="25"/>
      <c r="G40" s="25"/>
      <c r="H40" s="25"/>
      <c r="I40" s="25"/>
      <c r="K40" s="25"/>
      <c r="L40" s="27"/>
    </row>
    <row r="41" spans="1:12">
      <c r="A41" s="7"/>
      <c r="C41" s="15"/>
      <c r="D41" s="25"/>
      <c r="E41" s="45"/>
      <c r="F41" s="25"/>
      <c r="G41" s="25"/>
      <c r="H41" s="25"/>
      <c r="I41" s="25"/>
      <c r="K41" s="25"/>
      <c r="L41" s="27"/>
    </row>
    <row r="42" spans="1:12">
      <c r="A42" s="7"/>
      <c r="C42" s="15"/>
      <c r="D42" s="25"/>
      <c r="E42" s="46" t="s">
        <v>140</v>
      </c>
      <c r="F42" s="25"/>
      <c r="G42" s="25"/>
      <c r="H42" s="25"/>
      <c r="I42" s="25"/>
      <c r="J42" s="47" t="s">
        <v>141</v>
      </c>
      <c r="K42" s="25"/>
      <c r="L42" s="27"/>
    </row>
    <row r="43" spans="1:12">
      <c r="A43" s="7"/>
      <c r="C43" s="15"/>
      <c r="D43" s="25"/>
      <c r="E43" s="45"/>
      <c r="F43" s="25"/>
      <c r="G43" s="25"/>
      <c r="H43" s="25"/>
      <c r="I43" s="25"/>
      <c r="K43" s="25"/>
      <c r="L43" s="27"/>
    </row>
    <row r="44" spans="1:12">
      <c r="A44" s="7">
        <v>18</v>
      </c>
      <c r="C44" s="15" t="s">
        <v>142</v>
      </c>
      <c r="D44" s="140" t="s">
        <v>352</v>
      </c>
      <c r="E44" s="45">
        <f>+E39/52</f>
        <v>0.73344826950377717</v>
      </c>
      <c r="F44" s="25"/>
      <c r="G44" s="25"/>
      <c r="H44" s="25"/>
      <c r="I44" s="25"/>
      <c r="J44" s="48">
        <f>+E39/52</f>
        <v>0.73344826950377717</v>
      </c>
      <c r="K44" s="25"/>
      <c r="L44" s="27"/>
    </row>
    <row r="45" spans="1:12">
      <c r="A45" s="7">
        <v>19</v>
      </c>
      <c r="C45" s="15" t="s">
        <v>143</v>
      </c>
      <c r="D45" s="140" t="s">
        <v>359</v>
      </c>
      <c r="E45" s="45">
        <f>+E44/5</f>
        <v>0.14668965390075545</v>
      </c>
      <c r="F45" s="25" t="s">
        <v>144</v>
      </c>
      <c r="H45" s="25"/>
      <c r="I45" s="25"/>
      <c r="J45" s="48">
        <f>+J44/7</f>
        <v>0.10477832421482532</v>
      </c>
      <c r="K45" s="25"/>
      <c r="L45" s="27"/>
    </row>
    <row r="46" spans="1:12">
      <c r="A46" s="7">
        <v>20</v>
      </c>
      <c r="C46" s="15" t="s">
        <v>145</v>
      </c>
      <c r="D46" s="140" t="s">
        <v>360</v>
      </c>
      <c r="E46" s="45">
        <f>+E45/16*1000</f>
        <v>9.1681033687972153</v>
      </c>
      <c r="F46" s="25" t="s">
        <v>146</v>
      </c>
      <c r="H46" s="25"/>
      <c r="I46" s="25"/>
      <c r="J46" s="48">
        <f>+J45/24*1000</f>
        <v>4.3657635089510549</v>
      </c>
      <c r="K46" s="25"/>
      <c r="L46" s="27" t="s">
        <v>262</v>
      </c>
    </row>
    <row r="47" spans="1:12">
      <c r="A47" s="7"/>
      <c r="C47" s="15"/>
      <c r="D47" s="25" t="s">
        <v>147</v>
      </c>
      <c r="E47" s="25"/>
      <c r="F47" s="25" t="s">
        <v>148</v>
      </c>
      <c r="H47" s="25"/>
      <c r="I47" s="25"/>
      <c r="K47" s="25"/>
      <c r="L47" s="27" t="s">
        <v>262</v>
      </c>
    </row>
    <row r="48" spans="1:12">
      <c r="A48" s="7"/>
      <c r="C48" s="15"/>
      <c r="D48" s="25"/>
      <c r="E48" s="25"/>
      <c r="F48" s="25"/>
      <c r="H48" s="25"/>
      <c r="I48" s="25"/>
      <c r="K48" s="25"/>
      <c r="L48" s="27" t="s">
        <v>262</v>
      </c>
    </row>
    <row r="49" spans="1:12">
      <c r="A49" s="7">
        <v>21</v>
      </c>
      <c r="C49" s="15" t="s">
        <v>168</v>
      </c>
      <c r="D49" s="25" t="s">
        <v>169</v>
      </c>
      <c r="E49" s="49">
        <v>0</v>
      </c>
      <c r="F49" s="50" t="s">
        <v>170</v>
      </c>
      <c r="G49" s="50"/>
      <c r="H49" s="50"/>
      <c r="I49" s="50"/>
      <c r="J49" s="50">
        <f>E49</f>
        <v>0</v>
      </c>
      <c r="K49" s="50" t="s">
        <v>170</v>
      </c>
      <c r="L49" s="27"/>
    </row>
    <row r="50" spans="1:12">
      <c r="A50" s="7">
        <v>22</v>
      </c>
      <c r="C50" s="15"/>
      <c r="D50" s="25"/>
      <c r="E50" s="49">
        <v>0</v>
      </c>
      <c r="F50" s="50" t="s">
        <v>171</v>
      </c>
      <c r="G50" s="50"/>
      <c r="H50" s="50"/>
      <c r="I50" s="50"/>
      <c r="J50" s="50">
        <f>E50</f>
        <v>0</v>
      </c>
      <c r="K50" s="50" t="s">
        <v>171</v>
      </c>
      <c r="L50" s="27"/>
    </row>
    <row r="51" spans="1:12" s="22" customFormat="1">
      <c r="A51" s="8"/>
      <c r="C51" s="21"/>
      <c r="D51" s="27"/>
      <c r="E51" s="51"/>
      <c r="F51" s="51"/>
      <c r="G51" s="51"/>
      <c r="H51" s="51"/>
      <c r="I51" s="51"/>
      <c r="J51" s="51"/>
      <c r="K51" s="51"/>
      <c r="L51" s="27"/>
    </row>
    <row r="52" spans="1:12" s="22" customFormat="1">
      <c r="A52" s="8"/>
      <c r="C52" s="21"/>
      <c r="D52" s="27"/>
      <c r="E52" s="51"/>
      <c r="F52" s="51"/>
      <c r="G52" s="51"/>
      <c r="H52" s="51"/>
      <c r="I52" s="51"/>
      <c r="J52" s="51"/>
      <c r="K52" s="51"/>
      <c r="L52" s="27"/>
    </row>
    <row r="53" spans="1:12" s="22" customFormat="1">
      <c r="A53" s="8"/>
      <c r="C53" s="21"/>
      <c r="D53" s="27"/>
      <c r="E53" s="51"/>
      <c r="F53" s="51"/>
      <c r="G53" s="51"/>
      <c r="H53" s="51"/>
      <c r="I53" s="51"/>
      <c r="J53" s="51"/>
      <c r="K53" s="51"/>
      <c r="L53" s="27"/>
    </row>
    <row r="54" spans="1:12" s="22" customFormat="1">
      <c r="A54" s="8"/>
      <c r="C54" s="21"/>
      <c r="D54" s="27"/>
      <c r="E54" s="51"/>
      <c r="F54" s="51"/>
      <c r="G54" s="51"/>
      <c r="H54" s="51"/>
      <c r="I54" s="51"/>
      <c r="J54" s="51"/>
      <c r="K54" s="51"/>
      <c r="L54" s="27"/>
    </row>
    <row r="55" spans="1:12" s="22" customFormat="1">
      <c r="A55" s="8"/>
      <c r="C55" s="21"/>
      <c r="D55" s="27"/>
      <c r="E55" s="51"/>
      <c r="F55" s="51"/>
      <c r="G55" s="51"/>
      <c r="H55" s="51"/>
      <c r="I55" s="51"/>
      <c r="J55" s="51"/>
      <c r="K55" s="51"/>
      <c r="L55" s="27"/>
    </row>
    <row r="56" spans="1:12" s="22" customFormat="1">
      <c r="A56" s="8"/>
      <c r="C56" s="21"/>
      <c r="D56" s="27"/>
      <c r="E56" s="51"/>
      <c r="F56" s="51"/>
      <c r="G56" s="51"/>
      <c r="H56" s="51"/>
      <c r="I56" s="51"/>
      <c r="J56" s="51"/>
      <c r="K56" s="51"/>
      <c r="L56" s="27"/>
    </row>
    <row r="57" spans="1:12" s="22" customFormat="1">
      <c r="A57" s="8"/>
      <c r="C57" s="21"/>
      <c r="D57" s="27"/>
      <c r="E57" s="51"/>
      <c r="F57" s="51"/>
      <c r="G57" s="51"/>
      <c r="H57" s="51"/>
      <c r="I57" s="51"/>
      <c r="J57" s="51"/>
      <c r="K57" s="51"/>
      <c r="L57" s="27"/>
    </row>
    <row r="58" spans="1:12" s="22" customFormat="1">
      <c r="A58" s="8"/>
      <c r="C58" s="21"/>
      <c r="D58" s="27"/>
      <c r="E58" s="51"/>
      <c r="F58" s="51"/>
      <c r="G58" s="51"/>
      <c r="H58" s="51"/>
      <c r="I58" s="51"/>
      <c r="J58" s="51"/>
      <c r="K58" s="51"/>
      <c r="L58" s="27"/>
    </row>
    <row r="59" spans="1:12" s="22" customFormat="1">
      <c r="A59" s="8"/>
      <c r="C59" s="21"/>
      <c r="D59" s="27"/>
      <c r="E59" s="51"/>
      <c r="F59" s="51"/>
      <c r="G59" s="51"/>
      <c r="H59" s="51"/>
      <c r="I59" s="51"/>
      <c r="J59" s="51"/>
      <c r="K59" s="51"/>
      <c r="L59" s="27"/>
    </row>
    <row r="60" spans="1:12" s="22" customFormat="1">
      <c r="A60" s="8"/>
      <c r="C60" s="21"/>
      <c r="D60" s="27"/>
      <c r="E60" s="51"/>
      <c r="F60" s="51"/>
      <c r="G60" s="51"/>
      <c r="H60" s="51"/>
      <c r="I60" s="51"/>
      <c r="J60" s="51"/>
      <c r="K60" s="51"/>
      <c r="L60" s="27"/>
    </row>
    <row r="61" spans="1:12" s="22" customFormat="1">
      <c r="A61" s="8"/>
      <c r="C61" s="21"/>
      <c r="D61" s="27"/>
      <c r="E61" s="51"/>
      <c r="F61" s="51"/>
      <c r="G61" s="51"/>
      <c r="H61" s="51"/>
      <c r="I61" s="51"/>
      <c r="J61" s="51"/>
      <c r="K61" s="51"/>
      <c r="L61" s="27"/>
    </row>
    <row r="62" spans="1:12" s="22" customFormat="1">
      <c r="A62" s="8"/>
      <c r="C62" s="21"/>
      <c r="D62" s="27"/>
      <c r="E62" s="51"/>
      <c r="F62" s="51"/>
      <c r="G62" s="51"/>
      <c r="H62" s="51"/>
      <c r="I62" s="51"/>
      <c r="J62" s="51"/>
      <c r="K62" s="51"/>
      <c r="L62" s="27"/>
    </row>
    <row r="63" spans="1:12" s="22" customFormat="1">
      <c r="A63" s="8"/>
      <c r="C63" s="21"/>
      <c r="D63" s="27"/>
      <c r="E63" s="51"/>
      <c r="F63" s="51"/>
      <c r="G63" s="51"/>
      <c r="H63" s="51"/>
      <c r="I63" s="51"/>
      <c r="J63" s="51"/>
      <c r="K63" s="51"/>
      <c r="L63" s="27"/>
    </row>
    <row r="64" spans="1:12" s="22" customFormat="1">
      <c r="A64" s="8"/>
      <c r="C64" s="21"/>
      <c r="D64" s="27"/>
      <c r="E64" s="51"/>
      <c r="F64" s="51"/>
      <c r="G64" s="51"/>
      <c r="H64" s="51"/>
      <c r="I64" s="51"/>
      <c r="J64" s="51"/>
      <c r="K64" s="51"/>
      <c r="L64" s="27"/>
    </row>
    <row r="65" spans="1:12" s="22" customFormat="1">
      <c r="A65" s="8"/>
      <c r="C65" s="21"/>
      <c r="D65" s="27"/>
      <c r="E65" s="51"/>
      <c r="F65" s="51"/>
      <c r="G65" s="51"/>
      <c r="H65" s="51"/>
      <c r="I65" s="51"/>
      <c r="J65" s="51"/>
      <c r="K65" s="51"/>
      <c r="L65" s="27"/>
    </row>
    <row r="66" spans="1:12" s="22" customFormat="1">
      <c r="A66" s="8"/>
      <c r="C66" s="21"/>
      <c r="D66" s="27"/>
      <c r="E66" s="51"/>
      <c r="F66" s="51"/>
      <c r="G66" s="51"/>
      <c r="H66" s="51"/>
      <c r="I66" s="51"/>
      <c r="J66" s="51"/>
      <c r="K66" s="51"/>
      <c r="L66" s="27"/>
    </row>
    <row r="67" spans="1:12" s="22" customFormat="1">
      <c r="A67" s="8"/>
      <c r="C67" s="21"/>
      <c r="D67" s="27"/>
      <c r="E67" s="51"/>
      <c r="F67" s="51"/>
      <c r="G67" s="51"/>
      <c r="H67" s="51"/>
      <c r="I67" s="51"/>
      <c r="J67" s="51"/>
      <c r="K67" s="51"/>
      <c r="L67" s="27"/>
    </row>
    <row r="68" spans="1:12" s="22" customFormat="1">
      <c r="A68" s="8"/>
      <c r="C68" s="21"/>
      <c r="D68" s="27"/>
      <c r="E68" s="51"/>
      <c r="F68" s="51"/>
      <c r="G68" s="51"/>
      <c r="H68" s="51"/>
      <c r="I68" s="51"/>
      <c r="J68" s="51"/>
      <c r="K68" s="51"/>
      <c r="L68" s="27"/>
    </row>
    <row r="69" spans="1:12" s="22" customFormat="1">
      <c r="A69" s="8"/>
      <c r="C69" s="21"/>
      <c r="D69" s="27"/>
      <c r="E69" s="51"/>
      <c r="F69" s="51"/>
      <c r="G69" s="51"/>
      <c r="H69" s="51"/>
      <c r="I69" s="51"/>
      <c r="J69" s="51"/>
      <c r="K69" s="51"/>
      <c r="L69" s="27"/>
    </row>
    <row r="70" spans="1:12" s="22" customFormat="1">
      <c r="A70" s="8"/>
      <c r="C70" s="21"/>
      <c r="D70" s="27"/>
      <c r="E70" s="51"/>
      <c r="F70" s="51"/>
      <c r="G70" s="51"/>
      <c r="H70" s="51"/>
      <c r="I70" s="51"/>
      <c r="J70" s="51"/>
      <c r="K70" s="51"/>
      <c r="L70" s="27"/>
    </row>
    <row r="71" spans="1:12" s="22" customFormat="1">
      <c r="A71" s="8"/>
      <c r="C71" s="21"/>
      <c r="D71" s="27"/>
      <c r="E71" s="51"/>
      <c r="F71" s="51"/>
      <c r="G71" s="51"/>
      <c r="H71" s="51"/>
      <c r="I71" s="51"/>
      <c r="J71" s="51"/>
      <c r="K71" s="51"/>
      <c r="L71" s="27"/>
    </row>
    <row r="72" spans="1:12" s="22" customFormat="1">
      <c r="A72" s="8"/>
      <c r="C72" s="21"/>
      <c r="D72" s="27"/>
      <c r="E72" s="51"/>
      <c r="F72" s="51"/>
      <c r="G72" s="51"/>
      <c r="H72" s="51"/>
      <c r="I72" s="51"/>
      <c r="J72" s="51"/>
      <c r="K72" s="51"/>
      <c r="L72" s="27"/>
    </row>
    <row r="73" spans="1:12" s="22" customFormat="1">
      <c r="A73" s="8"/>
      <c r="C73" s="21"/>
      <c r="D73" s="27"/>
      <c r="E73" s="51"/>
      <c r="F73" s="51"/>
      <c r="G73" s="51"/>
      <c r="H73" s="51"/>
      <c r="I73" s="51"/>
      <c r="J73" s="51"/>
      <c r="K73" s="51"/>
      <c r="L73" s="27"/>
    </row>
    <row r="74" spans="1:12" s="22" customFormat="1">
      <c r="A74" s="8"/>
      <c r="C74" s="21"/>
      <c r="D74" s="27"/>
      <c r="E74" s="51"/>
      <c r="F74" s="51"/>
      <c r="G74" s="51"/>
      <c r="H74" s="51"/>
      <c r="I74" s="51"/>
      <c r="J74" s="51"/>
      <c r="K74" s="51"/>
      <c r="L74" s="27"/>
    </row>
    <row r="75" spans="1:12" s="22" customFormat="1">
      <c r="A75" s="8"/>
      <c r="C75" s="21"/>
      <c r="D75" s="27"/>
      <c r="E75" s="51"/>
      <c r="F75" s="51"/>
      <c r="G75" s="51"/>
      <c r="H75" s="51"/>
      <c r="I75" s="51"/>
      <c r="J75" s="51"/>
      <c r="K75" s="51"/>
      <c r="L75" s="27"/>
    </row>
    <row r="76" spans="1:12" s="22" customFormat="1">
      <c r="A76" s="8"/>
      <c r="C76" s="21"/>
      <c r="D76" s="27"/>
      <c r="E76" s="51"/>
      <c r="F76" s="51"/>
      <c r="G76" s="51"/>
      <c r="H76" s="51"/>
      <c r="I76" s="51"/>
      <c r="J76" s="51"/>
      <c r="K76" s="51"/>
      <c r="L76" s="27"/>
    </row>
    <row r="77" spans="1:12" s="22" customFormat="1">
      <c r="A77" s="8"/>
      <c r="C77" s="21"/>
      <c r="D77" s="27"/>
      <c r="E77" s="51"/>
      <c r="F77" s="51"/>
      <c r="G77" s="51"/>
      <c r="H77" s="51"/>
      <c r="I77" s="51"/>
      <c r="J77" s="51"/>
      <c r="K77" s="51"/>
      <c r="L77" s="27"/>
    </row>
    <row r="78" spans="1:12" s="22" customFormat="1">
      <c r="A78" s="8"/>
      <c r="C78" s="21"/>
      <c r="D78" s="27"/>
      <c r="E78" s="51"/>
      <c r="F78" s="51"/>
      <c r="G78" s="51"/>
      <c r="H78" s="51"/>
      <c r="I78" s="51"/>
      <c r="J78" s="51"/>
      <c r="K78" s="51"/>
      <c r="L78" s="27"/>
    </row>
    <row r="79" spans="1:12">
      <c r="C79" s="14"/>
      <c r="D79" s="14"/>
      <c r="E79" s="23"/>
      <c r="F79" s="14"/>
      <c r="G79" s="14"/>
      <c r="H79" s="14"/>
      <c r="I79" s="24"/>
      <c r="J79" s="24"/>
      <c r="K79" s="25"/>
      <c r="L79" s="26" t="s">
        <v>201</v>
      </c>
    </row>
    <row r="80" spans="1:12">
      <c r="C80" s="14"/>
      <c r="D80" s="14"/>
      <c r="E80" s="23"/>
      <c r="F80" s="14"/>
      <c r="G80" s="14"/>
      <c r="H80" s="14"/>
      <c r="I80" s="24"/>
      <c r="J80" s="24"/>
      <c r="K80" s="25"/>
      <c r="L80" s="26"/>
    </row>
    <row r="81" spans="1:15">
      <c r="C81" s="14" t="s">
        <v>196</v>
      </c>
      <c r="D81" s="14"/>
      <c r="E81" s="23" t="s">
        <v>261</v>
      </c>
      <c r="F81" s="14"/>
      <c r="G81" s="14"/>
      <c r="H81" s="14"/>
      <c r="I81" s="24"/>
      <c r="J81" s="28" t="str">
        <f>J3</f>
        <v>For the 12 months ended 12/31/18</v>
      </c>
      <c r="K81" s="29"/>
      <c r="L81" s="29"/>
    </row>
    <row r="82" spans="1:15">
      <c r="C82" s="14"/>
      <c r="D82" s="16" t="s">
        <v>262</v>
      </c>
      <c r="E82" s="16" t="s">
        <v>218</v>
      </c>
      <c r="F82" s="16"/>
      <c r="G82" s="16"/>
      <c r="H82" s="16"/>
      <c r="I82" s="24"/>
      <c r="J82" s="24"/>
      <c r="K82" s="25"/>
      <c r="L82" s="27"/>
    </row>
    <row r="83" spans="1:15">
      <c r="C83" s="14"/>
      <c r="D83" s="16"/>
      <c r="E83" s="16"/>
      <c r="F83" s="16"/>
      <c r="G83" s="16"/>
      <c r="H83" s="16"/>
      <c r="I83" s="24"/>
      <c r="J83" s="24"/>
      <c r="K83" s="25"/>
      <c r="L83" s="27"/>
    </row>
    <row r="84" spans="1:15">
      <c r="C84" s="15"/>
      <c r="D84" s="25"/>
      <c r="E84" s="135" t="str">
        <f>E6</f>
        <v>VECTREN</v>
      </c>
      <c r="F84" s="16"/>
      <c r="G84" s="16"/>
      <c r="H84" s="16"/>
      <c r="I84" s="16"/>
      <c r="J84" s="16"/>
      <c r="K84" s="16"/>
      <c r="L84" s="19"/>
    </row>
    <row r="85" spans="1:15">
      <c r="C85" s="52" t="s">
        <v>149</v>
      </c>
      <c r="D85" s="52" t="s">
        <v>150</v>
      </c>
      <c r="E85" s="52" t="s">
        <v>5</v>
      </c>
      <c r="F85" s="16" t="s">
        <v>262</v>
      </c>
      <c r="G85" s="16"/>
      <c r="H85" s="53" t="s">
        <v>6</v>
      </c>
      <c r="I85" s="16"/>
      <c r="J85" s="54" t="s">
        <v>7</v>
      </c>
      <c r="K85" s="16"/>
      <c r="L85" s="55"/>
    </row>
    <row r="86" spans="1:15">
      <c r="C86" s="15"/>
      <c r="D86" s="56" t="s">
        <v>202</v>
      </c>
      <c r="E86" s="16"/>
      <c r="F86" s="16"/>
      <c r="G86" s="16"/>
      <c r="H86" s="7"/>
      <c r="I86" s="16"/>
      <c r="J86" s="57" t="s">
        <v>8</v>
      </c>
      <c r="K86" s="16"/>
      <c r="L86" s="55"/>
    </row>
    <row r="87" spans="1:15">
      <c r="A87" s="7" t="s">
        <v>263</v>
      </c>
      <c r="C87" s="15"/>
      <c r="D87" s="58" t="s">
        <v>9</v>
      </c>
      <c r="E87" s="57" t="s">
        <v>10</v>
      </c>
      <c r="F87" s="59"/>
      <c r="G87" s="57" t="s">
        <v>11</v>
      </c>
      <c r="I87" s="59"/>
      <c r="J87" s="7" t="s">
        <v>12</v>
      </c>
      <c r="K87" s="16"/>
      <c r="L87" s="55"/>
    </row>
    <row r="88" spans="1:15" ht="16.5" thickBot="1">
      <c r="A88" s="31" t="s">
        <v>264</v>
      </c>
      <c r="C88" s="60" t="s">
        <v>198</v>
      </c>
      <c r="D88" s="16"/>
      <c r="E88" s="16"/>
      <c r="F88" s="16"/>
      <c r="G88" s="16"/>
      <c r="H88" s="16"/>
      <c r="I88" s="16"/>
      <c r="J88" s="16"/>
      <c r="K88" s="16"/>
      <c r="L88" s="19"/>
    </row>
    <row r="89" spans="1:15">
      <c r="A89" s="7"/>
      <c r="C89" s="15"/>
      <c r="D89" s="16"/>
      <c r="E89" s="16"/>
      <c r="F89" s="16"/>
      <c r="G89" s="16"/>
      <c r="H89" s="16"/>
      <c r="I89" s="16"/>
      <c r="J89" s="16"/>
      <c r="K89" s="16"/>
      <c r="L89" s="19"/>
    </row>
    <row r="90" spans="1:15">
      <c r="A90" s="7"/>
      <c r="C90" s="21" t="s">
        <v>539</v>
      </c>
      <c r="D90" s="16"/>
      <c r="E90" s="16"/>
      <c r="F90" s="16"/>
      <c r="G90" s="16"/>
      <c r="H90" s="16"/>
      <c r="I90" s="16"/>
      <c r="J90" s="16"/>
      <c r="K90" s="16"/>
      <c r="L90" s="19"/>
    </row>
    <row r="91" spans="1:15">
      <c r="A91" s="7">
        <v>1</v>
      </c>
      <c r="C91" s="21" t="s">
        <v>250</v>
      </c>
      <c r="D91" s="19" t="s">
        <v>234</v>
      </c>
      <c r="E91" s="37">
        <f>'Workpapers (Pages 1 to 4)'!C21</f>
        <v>1616030642.718986</v>
      </c>
      <c r="F91" s="16"/>
      <c r="G91" s="16" t="s">
        <v>251</v>
      </c>
      <c r="H91" s="61" t="s">
        <v>262</v>
      </c>
      <c r="I91" s="16"/>
      <c r="J91" s="16" t="s">
        <v>262</v>
      </c>
      <c r="K91" s="16"/>
      <c r="L91" s="19"/>
    </row>
    <row r="92" spans="1:15">
      <c r="A92" s="7">
        <v>2</v>
      </c>
      <c r="C92" s="21" t="s">
        <v>13</v>
      </c>
      <c r="D92" s="19" t="s">
        <v>191</v>
      </c>
      <c r="E92" s="37">
        <f>'Workpapers (Pages 1 to 4)'!D21</f>
        <v>498780689.83327359</v>
      </c>
      <c r="F92" s="16"/>
      <c r="G92" s="16" t="s">
        <v>14</v>
      </c>
      <c r="H92" s="61">
        <f>J251</f>
        <v>1</v>
      </c>
      <c r="I92" s="16"/>
      <c r="J92" s="16">
        <f>+H92*E92</f>
        <v>498780689.83327359</v>
      </c>
      <c r="K92" s="16"/>
      <c r="L92" s="19"/>
      <c r="M92" s="22"/>
      <c r="N92" s="22"/>
      <c r="O92" s="22"/>
    </row>
    <row r="93" spans="1:15">
      <c r="A93" s="7">
        <v>3</v>
      </c>
      <c r="C93" s="21" t="s">
        <v>252</v>
      </c>
      <c r="D93" s="19" t="s">
        <v>192</v>
      </c>
      <c r="E93" s="37">
        <f>'Workpapers (Pages 1 to 4)'!E21</f>
        <v>731271638.69345784</v>
      </c>
      <c r="F93" s="16"/>
      <c r="G93" s="16" t="s">
        <v>251</v>
      </c>
      <c r="H93" s="61" t="s">
        <v>262</v>
      </c>
      <c r="I93" s="16"/>
      <c r="J93" s="16" t="s">
        <v>262</v>
      </c>
      <c r="K93" s="16"/>
      <c r="L93" s="19"/>
    </row>
    <row r="94" spans="1:15">
      <c r="A94" s="7">
        <v>4</v>
      </c>
      <c r="C94" s="21" t="s">
        <v>253</v>
      </c>
      <c r="D94" s="19" t="s">
        <v>38</v>
      </c>
      <c r="E94" s="37">
        <f>'Workpapers (Pages 1 to 4)'!F21</f>
        <v>47298194.387390621</v>
      </c>
      <c r="F94" s="16"/>
      <c r="G94" s="16" t="s">
        <v>176</v>
      </c>
      <c r="H94" s="61">
        <f>J269</f>
        <v>8.8260998055899195E-2</v>
      </c>
      <c r="I94" s="16"/>
      <c r="J94" s="16">
        <f>+H94*E94</f>
        <v>4174585.8428730257</v>
      </c>
      <c r="K94" s="16"/>
      <c r="L94" s="19"/>
    </row>
    <row r="95" spans="1:15" ht="16.5" thickBot="1">
      <c r="A95" s="7">
        <v>5</v>
      </c>
      <c r="C95" s="21" t="s">
        <v>179</v>
      </c>
      <c r="D95" s="19" t="s">
        <v>203</v>
      </c>
      <c r="E95" s="62">
        <f>'Workpapers (Pages 1 to 4)'!G21</f>
        <v>61075996.547376148</v>
      </c>
      <c r="F95" s="16"/>
      <c r="G95" s="16" t="s">
        <v>180</v>
      </c>
      <c r="H95" s="61">
        <f>L274</f>
        <v>7.8711047449592578E-2</v>
      </c>
      <c r="I95" s="16"/>
      <c r="J95" s="38">
        <f>+H95*E95</f>
        <v>4807355.6622716766</v>
      </c>
      <c r="K95" s="16"/>
      <c r="L95" s="19"/>
    </row>
    <row r="96" spans="1:15">
      <c r="A96" s="7">
        <v>6</v>
      </c>
      <c r="C96" s="82" t="s">
        <v>254</v>
      </c>
      <c r="D96" s="19"/>
      <c r="E96" s="16">
        <f>SUM(E91:E95)</f>
        <v>2954457162.1804843</v>
      </c>
      <c r="F96" s="16"/>
      <c r="G96" s="16" t="s">
        <v>255</v>
      </c>
      <c r="H96" s="18">
        <f>IF(J96&gt;0,J96/E96,0)</f>
        <v>0.1718632572637043</v>
      </c>
      <c r="I96" s="16"/>
      <c r="J96" s="16">
        <f>SUM(J91:J95)</f>
        <v>507762631.3384183</v>
      </c>
      <c r="K96" s="16"/>
      <c r="L96" s="63"/>
    </row>
    <row r="97" spans="1:12">
      <c r="C97" s="21"/>
      <c r="D97" s="16"/>
      <c r="E97" s="16"/>
      <c r="F97" s="16"/>
      <c r="G97" s="16"/>
      <c r="H97" s="18"/>
      <c r="I97" s="16"/>
      <c r="J97" s="16"/>
      <c r="K97" s="16"/>
      <c r="L97" s="63"/>
    </row>
    <row r="98" spans="1:12">
      <c r="C98" s="21" t="s">
        <v>537</v>
      </c>
      <c r="D98" s="16"/>
      <c r="E98" s="16"/>
      <c r="F98" s="16"/>
      <c r="G98" s="16"/>
      <c r="H98" s="16"/>
      <c r="I98" s="16"/>
      <c r="J98" s="16"/>
      <c r="K98" s="16"/>
      <c r="L98" s="19"/>
    </row>
    <row r="99" spans="1:12">
      <c r="A99" s="7">
        <v>7</v>
      </c>
      <c r="C99" s="15" t="str">
        <f>+C91</f>
        <v xml:space="preserve">  Production</v>
      </c>
      <c r="D99" s="16" t="s">
        <v>227</v>
      </c>
      <c r="E99" s="37">
        <f>'Workpapers (Pages 1 to 4)'!C41</f>
        <v>974612938.00397789</v>
      </c>
      <c r="F99" s="16"/>
      <c r="G99" s="16" t="str">
        <f>+G91</f>
        <v>NA</v>
      </c>
      <c r="H99" s="61" t="str">
        <f>+H91</f>
        <v xml:space="preserve"> </v>
      </c>
      <c r="I99" s="16"/>
      <c r="J99" s="16" t="s">
        <v>262</v>
      </c>
      <c r="K99" s="16"/>
      <c r="L99" s="19"/>
    </row>
    <row r="100" spans="1:12">
      <c r="A100" s="7">
        <v>8</v>
      </c>
      <c r="C100" s="15" t="str">
        <f>+C92</f>
        <v xml:space="preserve">  Transmission</v>
      </c>
      <c r="D100" s="16" t="s">
        <v>276</v>
      </c>
      <c r="E100" s="37">
        <f>'Workpapers (Pages 1 to 4)'!D41</f>
        <v>137750383.38706234</v>
      </c>
      <c r="F100" s="16"/>
      <c r="G100" s="16" t="str">
        <f t="shared" ref="G100:H103" si="1">+G92</f>
        <v>TP</v>
      </c>
      <c r="H100" s="61">
        <f t="shared" si="1"/>
        <v>1</v>
      </c>
      <c r="I100" s="16"/>
      <c r="J100" s="16">
        <f>+H100*E100</f>
        <v>137750383.38706234</v>
      </c>
      <c r="K100" s="16"/>
      <c r="L100" s="19"/>
    </row>
    <row r="101" spans="1:12">
      <c r="A101" s="7">
        <v>9</v>
      </c>
      <c r="C101" s="15" t="str">
        <f>+C93</f>
        <v xml:space="preserve">  Distribution</v>
      </c>
      <c r="D101" s="16" t="s">
        <v>277</v>
      </c>
      <c r="E101" s="37">
        <f>'Workpapers (Pages 1 to 4)'!E41</f>
        <v>303818758.40819114</v>
      </c>
      <c r="F101" s="16"/>
      <c r="G101" s="16" t="str">
        <f t="shared" si="1"/>
        <v>NA</v>
      </c>
      <c r="H101" s="61" t="str">
        <f t="shared" si="1"/>
        <v xml:space="preserve"> </v>
      </c>
      <c r="I101" s="16"/>
      <c r="J101" s="16" t="s">
        <v>262</v>
      </c>
      <c r="K101" s="16"/>
      <c r="L101" s="19"/>
    </row>
    <row r="102" spans="1:12">
      <c r="A102" s="7">
        <v>10</v>
      </c>
      <c r="C102" s="15" t="str">
        <f>+C94</f>
        <v xml:space="preserve">  General &amp; Intangible</v>
      </c>
      <c r="D102" s="16" t="s">
        <v>538</v>
      </c>
      <c r="E102" s="37">
        <f>'Workpapers (Pages 1 to 4)'!F41</f>
        <v>19894850.547838673</v>
      </c>
      <c r="F102" s="16"/>
      <c r="G102" s="16" t="str">
        <f t="shared" si="1"/>
        <v>W/S</v>
      </c>
      <c r="H102" s="61">
        <f t="shared" si="1"/>
        <v>8.8260998055899195E-2</v>
      </c>
      <c r="I102" s="16"/>
      <c r="J102" s="16">
        <f>+H102*E102</f>
        <v>1755939.3655251942</v>
      </c>
      <c r="K102" s="16"/>
      <c r="L102" s="19"/>
    </row>
    <row r="103" spans="1:12" ht="16.5" thickBot="1">
      <c r="A103" s="7">
        <v>11</v>
      </c>
      <c r="C103" s="15" t="str">
        <f>+C95</f>
        <v xml:space="preserve">  Common</v>
      </c>
      <c r="D103" s="16" t="s">
        <v>203</v>
      </c>
      <c r="E103" s="62">
        <f>'Workpapers (Pages 1 to 4)'!G41</f>
        <v>33819935.157002918</v>
      </c>
      <c r="F103" s="16"/>
      <c r="G103" s="16" t="str">
        <f t="shared" si="1"/>
        <v>CE</v>
      </c>
      <c r="H103" s="61">
        <f t="shared" si="1"/>
        <v>7.8711047449592578E-2</v>
      </c>
      <c r="I103" s="16"/>
      <c r="J103" s="38">
        <f>+H103*E103</f>
        <v>2662002.5208850009</v>
      </c>
      <c r="K103" s="16"/>
      <c r="L103" s="19"/>
    </row>
    <row r="104" spans="1:12">
      <c r="A104" s="7">
        <v>12</v>
      </c>
      <c r="C104" s="15" t="s">
        <v>67</v>
      </c>
      <c r="D104" s="16"/>
      <c r="E104" s="16">
        <f>SUM(E99:E103)</f>
        <v>1469896865.5040731</v>
      </c>
      <c r="F104" s="16"/>
      <c r="G104" s="16"/>
      <c r="H104" s="16"/>
      <c r="I104" s="16"/>
      <c r="J104" s="16">
        <f>SUM(J99:J103)</f>
        <v>142168325.27347252</v>
      </c>
      <c r="K104" s="16"/>
      <c r="L104" s="19"/>
    </row>
    <row r="105" spans="1:12">
      <c r="A105" s="7"/>
      <c r="D105" s="16" t="s">
        <v>262</v>
      </c>
      <c r="F105" s="16"/>
      <c r="G105" s="16"/>
      <c r="H105" s="18"/>
      <c r="I105" s="16"/>
      <c r="K105" s="16"/>
      <c r="L105" s="63"/>
    </row>
    <row r="106" spans="1:12">
      <c r="A106" s="7"/>
      <c r="C106" s="21" t="s">
        <v>347</v>
      </c>
      <c r="D106" s="16"/>
      <c r="E106" s="16"/>
      <c r="F106" s="16"/>
      <c r="G106" s="16"/>
      <c r="H106" s="16"/>
      <c r="I106" s="16"/>
      <c r="J106" s="16"/>
      <c r="K106" s="16"/>
      <c r="L106" s="19"/>
    </row>
    <row r="107" spans="1:12">
      <c r="A107" s="7">
        <v>13</v>
      </c>
      <c r="C107" s="15" t="str">
        <f>+C99</f>
        <v xml:space="preserve">  Production</v>
      </c>
      <c r="D107" s="16" t="s">
        <v>68</v>
      </c>
      <c r="E107" s="16">
        <f>E91-E99</f>
        <v>641417704.71500814</v>
      </c>
      <c r="F107" s="16"/>
      <c r="G107" s="16"/>
      <c r="H107" s="18"/>
      <c r="I107" s="16"/>
      <c r="J107" s="16" t="s">
        <v>262</v>
      </c>
      <c r="K107" s="16"/>
      <c r="L107" s="63"/>
    </row>
    <row r="108" spans="1:12">
      <c r="A108" s="7">
        <v>14</v>
      </c>
      <c r="C108" s="15" t="str">
        <f>+C100</f>
        <v xml:space="preserve">  Transmission</v>
      </c>
      <c r="D108" s="16" t="s">
        <v>69</v>
      </c>
      <c r="E108" s="16">
        <f>E92-E100</f>
        <v>361030306.44621122</v>
      </c>
      <c r="F108" s="16"/>
      <c r="G108" s="16"/>
      <c r="H108" s="61"/>
      <c r="I108" s="16"/>
      <c r="J108" s="16">
        <f>J92-J100</f>
        <v>361030306.44621122</v>
      </c>
      <c r="K108" s="16"/>
      <c r="L108" s="63"/>
    </row>
    <row r="109" spans="1:12">
      <c r="A109" s="7">
        <v>15</v>
      </c>
      <c r="C109" s="15" t="str">
        <f>+C101</f>
        <v xml:space="preserve">  Distribution</v>
      </c>
      <c r="D109" s="16" t="s">
        <v>70</v>
      </c>
      <c r="E109" s="16">
        <f>E93-E101</f>
        <v>427452880.2852667</v>
      </c>
      <c r="F109" s="16"/>
      <c r="G109" s="16"/>
      <c r="H109" s="18"/>
      <c r="I109" s="16"/>
      <c r="J109" s="16" t="s">
        <v>262</v>
      </c>
      <c r="K109" s="16"/>
      <c r="L109" s="63"/>
    </row>
    <row r="110" spans="1:12">
      <c r="A110" s="7">
        <v>16</v>
      </c>
      <c r="C110" s="15" t="str">
        <f>+C102</f>
        <v xml:space="preserve">  General &amp; Intangible</v>
      </c>
      <c r="D110" s="16" t="s">
        <v>71</v>
      </c>
      <c r="E110" s="16">
        <f>E94-E102</f>
        <v>27403343.839551948</v>
      </c>
      <c r="F110" s="16"/>
      <c r="G110" s="16"/>
      <c r="H110" s="18"/>
      <c r="I110" s="16"/>
      <c r="J110" s="16">
        <f>J94-J102</f>
        <v>2418646.4773478312</v>
      </c>
      <c r="K110" s="16"/>
      <c r="L110" s="63"/>
    </row>
    <row r="111" spans="1:12" ht="16.5" thickBot="1">
      <c r="A111" s="7">
        <v>17</v>
      </c>
      <c r="C111" s="15" t="str">
        <f>+C103</f>
        <v xml:space="preserve">  Common</v>
      </c>
      <c r="D111" s="16" t="s">
        <v>72</v>
      </c>
      <c r="E111" s="38">
        <f>E95-E103</f>
        <v>27256061.39037323</v>
      </c>
      <c r="F111" s="16"/>
      <c r="G111" s="16"/>
      <c r="H111" s="18"/>
      <c r="I111" s="16"/>
      <c r="J111" s="38">
        <f>J95-J103</f>
        <v>2145353.1413866756</v>
      </c>
      <c r="K111" s="16"/>
      <c r="L111" s="63"/>
    </row>
    <row r="112" spans="1:12">
      <c r="A112" s="7">
        <v>18</v>
      </c>
      <c r="C112" s="15" t="s">
        <v>73</v>
      </c>
      <c r="D112" s="16"/>
      <c r="E112" s="16">
        <f>SUM(E107:E111)</f>
        <v>1484560296.6764112</v>
      </c>
      <c r="F112" s="16"/>
      <c r="G112" s="16" t="s">
        <v>74</v>
      </c>
      <c r="H112" s="18">
        <f>IF(J112&gt;0,J112/E112,0)</f>
        <v>0.24626436991709078</v>
      </c>
      <c r="I112" s="16"/>
      <c r="J112" s="16">
        <f>SUM(J107:J111)</f>
        <v>365594306.06494576</v>
      </c>
      <c r="K112" s="16"/>
      <c r="L112" s="19"/>
    </row>
    <row r="113" spans="1:12">
      <c r="A113" s="7"/>
      <c r="D113" s="16"/>
      <c r="F113" s="16"/>
      <c r="I113" s="16"/>
      <c r="K113" s="16"/>
      <c r="L113" s="63"/>
    </row>
    <row r="114" spans="1:12" s="22" customFormat="1">
      <c r="A114" s="8" t="s">
        <v>29</v>
      </c>
      <c r="B114" s="154"/>
      <c r="C114" s="155" t="s">
        <v>312</v>
      </c>
      <c r="D114" s="19" t="s">
        <v>1</v>
      </c>
      <c r="E114" s="138">
        <f>'Workpapers (Pages 1 to 4)'!C66</f>
        <v>0</v>
      </c>
      <c r="F114" s="19"/>
      <c r="G114" s="19"/>
      <c r="H114" s="72">
        <f>+H127</f>
        <v>1</v>
      </c>
      <c r="I114" s="19"/>
      <c r="J114" s="19">
        <f>+H114*E114</f>
        <v>0</v>
      </c>
      <c r="K114" s="19"/>
      <c r="L114" s="156"/>
    </row>
    <row r="115" spans="1:12" s="22" customFormat="1">
      <c r="A115" s="153"/>
      <c r="B115" s="154"/>
      <c r="C115" s="155" t="s">
        <v>313</v>
      </c>
      <c r="D115" s="19"/>
      <c r="E115" s="138"/>
      <c r="F115" s="19"/>
      <c r="G115" s="19"/>
      <c r="H115" s="72"/>
      <c r="I115" s="19"/>
      <c r="J115" s="19"/>
      <c r="K115" s="19"/>
      <c r="L115" s="156"/>
    </row>
    <row r="116" spans="1:12" s="22" customFormat="1">
      <c r="A116" s="153"/>
      <c r="B116" s="154"/>
      <c r="C116" s="22" t="s">
        <v>332</v>
      </c>
      <c r="D116" s="19"/>
      <c r="E116" s="138"/>
      <c r="F116" s="19"/>
      <c r="G116" s="19"/>
      <c r="H116" s="72"/>
      <c r="I116" s="19"/>
      <c r="J116" s="19"/>
      <c r="K116" s="19"/>
      <c r="L116" s="156"/>
    </row>
    <row r="117" spans="1:12">
      <c r="A117" s="8"/>
      <c r="B117" s="22"/>
      <c r="C117" s="22"/>
      <c r="D117" s="19"/>
      <c r="E117" s="22"/>
      <c r="F117" s="19"/>
      <c r="G117" s="22"/>
      <c r="H117" s="22"/>
      <c r="I117" s="19"/>
      <c r="J117" s="22"/>
      <c r="K117" s="19"/>
      <c r="L117" s="63"/>
    </row>
    <row r="118" spans="1:12">
      <c r="A118" s="8"/>
      <c r="B118" s="22"/>
      <c r="C118" s="82" t="s">
        <v>564</v>
      </c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>
      <c r="A119" s="8">
        <v>19</v>
      </c>
      <c r="B119" s="22"/>
      <c r="C119" s="21" t="s">
        <v>559</v>
      </c>
      <c r="D119" s="19" t="s">
        <v>262</v>
      </c>
      <c r="E119" s="163">
        <v>0</v>
      </c>
      <c r="F119" s="19"/>
      <c r="G119" s="19" t="str">
        <f>+G99</f>
        <v>NA</v>
      </c>
      <c r="H119" s="64" t="s">
        <v>284</v>
      </c>
      <c r="I119" s="19"/>
      <c r="J119" s="138">
        <v>0</v>
      </c>
      <c r="K119" s="19"/>
      <c r="L119" s="63"/>
    </row>
    <row r="120" spans="1:12">
      <c r="A120" s="8">
        <v>20</v>
      </c>
      <c r="B120" s="22"/>
      <c r="C120" s="21" t="s">
        <v>560</v>
      </c>
      <c r="D120" s="19" t="s">
        <v>204</v>
      </c>
      <c r="E120" s="163">
        <f>'Workpapers (Pages 1 to 4)'!D90</f>
        <v>-330535034.10338879</v>
      </c>
      <c r="F120" s="19"/>
      <c r="G120" s="19" t="s">
        <v>75</v>
      </c>
      <c r="H120" s="72">
        <f>+H112</f>
        <v>0.24626436991709078</v>
      </c>
      <c r="I120" s="19"/>
      <c r="J120" s="138">
        <f>E120*H120</f>
        <v>-81399001.908995152</v>
      </c>
      <c r="K120" s="19"/>
      <c r="L120" s="63"/>
    </row>
    <row r="121" spans="1:12">
      <c r="A121" s="8">
        <v>21</v>
      </c>
      <c r="B121" s="22"/>
      <c r="C121" s="21" t="s">
        <v>561</v>
      </c>
      <c r="D121" s="19" t="s">
        <v>205</v>
      </c>
      <c r="E121" s="164">
        <f>'Workpapers (Pages 1 to 4)'!E90</f>
        <v>-25246035.648548335</v>
      </c>
      <c r="F121" s="19"/>
      <c r="G121" s="19" t="s">
        <v>75</v>
      </c>
      <c r="H121" s="72">
        <f>+H120</f>
        <v>0.24626436991709078</v>
      </c>
      <c r="I121" s="19"/>
      <c r="J121" s="138">
        <f>E121*H121</f>
        <v>-6217199.0618941681</v>
      </c>
      <c r="K121" s="19"/>
      <c r="L121" s="63"/>
    </row>
    <row r="122" spans="1:12">
      <c r="A122" s="8">
        <v>22</v>
      </c>
      <c r="B122" s="22"/>
      <c r="C122" s="21" t="s">
        <v>562</v>
      </c>
      <c r="D122" s="19" t="s">
        <v>206</v>
      </c>
      <c r="E122" s="164">
        <f>'Workpapers (Pages 1 to 4)'!F90</f>
        <v>14583830.318593714</v>
      </c>
      <c r="F122" s="19"/>
      <c r="G122" s="19" t="str">
        <f>+G121</f>
        <v>NP</v>
      </c>
      <c r="H122" s="72">
        <f>+H121</f>
        <v>0.24626436991709078</v>
      </c>
      <c r="I122" s="19"/>
      <c r="J122" s="138">
        <f>E122*H122</f>
        <v>3591477.7843862465</v>
      </c>
      <c r="K122" s="19"/>
      <c r="L122" s="63"/>
    </row>
    <row r="123" spans="1:12">
      <c r="A123" s="8">
        <v>23</v>
      </c>
      <c r="B123" s="22"/>
      <c r="C123" s="22" t="s">
        <v>563</v>
      </c>
      <c r="D123" s="22" t="s">
        <v>108</v>
      </c>
      <c r="E123" s="164">
        <v>0</v>
      </c>
      <c r="F123" s="19"/>
      <c r="G123" s="19" t="s">
        <v>75</v>
      </c>
      <c r="H123" s="72">
        <f>+H121</f>
        <v>0.24626436991709078</v>
      </c>
      <c r="I123" s="19"/>
      <c r="J123" s="157">
        <f>E123*H123</f>
        <v>0</v>
      </c>
      <c r="K123" s="19"/>
      <c r="L123" s="63"/>
    </row>
    <row r="124" spans="1:12" s="22" customFormat="1" ht="16.5" thickBot="1">
      <c r="A124" s="8" t="s">
        <v>109</v>
      </c>
      <c r="C124" s="22" t="s">
        <v>314</v>
      </c>
      <c r="E124" s="165">
        <v>0</v>
      </c>
      <c r="F124" s="19"/>
      <c r="G124" s="19"/>
      <c r="H124" s="72">
        <v>0</v>
      </c>
      <c r="I124" s="19"/>
      <c r="J124" s="158">
        <f>+H124*E124</f>
        <v>0</v>
      </c>
      <c r="K124" s="19"/>
      <c r="L124" s="156"/>
    </row>
    <row r="125" spans="1:12">
      <c r="A125" s="8">
        <v>24</v>
      </c>
      <c r="B125" s="22"/>
      <c r="C125" s="21" t="s">
        <v>26</v>
      </c>
      <c r="D125" s="19"/>
      <c r="E125" s="138">
        <f>SUM(E119:E124)</f>
        <v>-341197239.43334341</v>
      </c>
      <c r="F125" s="19"/>
      <c r="G125" s="19"/>
      <c r="H125" s="19"/>
      <c r="I125" s="19"/>
      <c r="J125" s="138">
        <f>SUM(J119:J124)</f>
        <v>-84024723.186503068</v>
      </c>
      <c r="K125" s="19"/>
      <c r="L125" s="19"/>
    </row>
    <row r="126" spans="1:12">
      <c r="A126" s="8"/>
      <c r="B126" s="22"/>
      <c r="C126" s="22"/>
      <c r="D126" s="19"/>
      <c r="E126" s="22"/>
      <c r="F126" s="19"/>
      <c r="G126" s="19"/>
      <c r="H126" s="63"/>
      <c r="I126" s="19"/>
      <c r="J126" s="22"/>
      <c r="K126" s="19"/>
      <c r="L126" s="63"/>
    </row>
    <row r="127" spans="1:12">
      <c r="A127" s="8">
        <v>25</v>
      </c>
      <c r="B127" s="22"/>
      <c r="C127" s="82" t="s">
        <v>348</v>
      </c>
      <c r="D127" s="19" t="s">
        <v>186</v>
      </c>
      <c r="E127" s="37">
        <f>'Workpapers (Pages 1 to 4)'!C113</f>
        <v>27268</v>
      </c>
      <c r="F127" s="19"/>
      <c r="G127" s="19" t="str">
        <f>+G100</f>
        <v>TP</v>
      </c>
      <c r="H127" s="72">
        <f>+H100</f>
        <v>1</v>
      </c>
      <c r="I127" s="19"/>
      <c r="J127" s="19">
        <f>+H127*E127</f>
        <v>27268</v>
      </c>
      <c r="K127" s="19"/>
      <c r="L127" s="19"/>
    </row>
    <row r="128" spans="1:12">
      <c r="A128" s="8"/>
      <c r="B128" s="22"/>
      <c r="C128" s="21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>
      <c r="A129" s="8"/>
      <c r="B129" s="22"/>
      <c r="C129" s="21" t="s">
        <v>187</v>
      </c>
      <c r="D129" s="19" t="s">
        <v>262</v>
      </c>
      <c r="E129" s="19"/>
      <c r="F129" s="19"/>
      <c r="G129" s="19"/>
      <c r="H129" s="19"/>
      <c r="I129" s="19"/>
      <c r="J129" s="19"/>
      <c r="K129" s="19"/>
      <c r="L129" s="19"/>
    </row>
    <row r="130" spans="1:12">
      <c r="A130" s="8">
        <v>26</v>
      </c>
      <c r="B130" s="22"/>
      <c r="C130" s="21" t="s">
        <v>188</v>
      </c>
      <c r="D130" s="22" t="s">
        <v>189</v>
      </c>
      <c r="E130" s="19">
        <f>+E178/8</f>
        <v>5625020.0913830008</v>
      </c>
      <c r="F130" s="19"/>
      <c r="G130" s="19"/>
      <c r="H130" s="63"/>
      <c r="I130" s="19"/>
      <c r="J130" s="19">
        <f>+J178/8</f>
        <v>806833.08020556276</v>
      </c>
      <c r="K130" s="27"/>
      <c r="L130" s="63"/>
    </row>
    <row r="131" spans="1:12">
      <c r="A131" s="8">
        <v>27</v>
      </c>
      <c r="B131" s="22"/>
      <c r="C131" s="21" t="s">
        <v>349</v>
      </c>
      <c r="D131" s="19" t="s">
        <v>235</v>
      </c>
      <c r="E131" s="37">
        <f>+'Workpapers (Pages 1 to 4)'!E140</f>
        <v>2300000</v>
      </c>
      <c r="F131" s="19"/>
      <c r="G131" s="19" t="s">
        <v>173</v>
      </c>
      <c r="H131" s="72">
        <f>J261</f>
        <v>0.886783072975594</v>
      </c>
      <c r="I131" s="19"/>
      <c r="J131" s="19">
        <f>+H131*E131</f>
        <v>2039601.0678438663</v>
      </c>
      <c r="K131" s="19" t="s">
        <v>262</v>
      </c>
      <c r="L131" s="63"/>
    </row>
    <row r="132" spans="1:12" ht="16.5" thickBot="1">
      <c r="A132" s="8">
        <v>28</v>
      </c>
      <c r="B132" s="22"/>
      <c r="C132" s="21" t="s">
        <v>350</v>
      </c>
      <c r="D132" s="19" t="s">
        <v>232</v>
      </c>
      <c r="E132" s="62">
        <f>+'Workpapers (Pages 1 to 4)'!C172</f>
        <v>0</v>
      </c>
      <c r="F132" s="19"/>
      <c r="G132" s="19" t="s">
        <v>182</v>
      </c>
      <c r="H132" s="72">
        <f>+H96</f>
        <v>0.1718632572637043</v>
      </c>
      <c r="I132" s="19"/>
      <c r="J132" s="85">
        <f>+H132*E132</f>
        <v>0</v>
      </c>
      <c r="K132" s="19"/>
      <c r="L132" s="63"/>
    </row>
    <row r="133" spans="1:12">
      <c r="A133" s="8">
        <v>29</v>
      </c>
      <c r="B133" s="22"/>
      <c r="C133" s="21" t="s">
        <v>76</v>
      </c>
      <c r="D133" s="27"/>
      <c r="E133" s="19">
        <f>E130+E131+E132</f>
        <v>7925020.0913830008</v>
      </c>
      <c r="F133" s="27"/>
      <c r="G133" s="27"/>
      <c r="H133" s="27"/>
      <c r="I133" s="27"/>
      <c r="J133" s="19">
        <f>J130+J131+J132</f>
        <v>2846434.1480494291</v>
      </c>
      <c r="K133" s="27"/>
      <c r="L133" s="27"/>
    </row>
    <row r="134" spans="1:12" ht="16.5" thickBot="1">
      <c r="A134" s="22"/>
      <c r="B134" s="22"/>
      <c r="C134" s="22"/>
      <c r="D134" s="19"/>
      <c r="E134" s="159"/>
      <c r="F134" s="19"/>
      <c r="G134" s="19"/>
      <c r="H134" s="19"/>
      <c r="I134" s="19"/>
      <c r="J134" s="159"/>
      <c r="K134" s="19"/>
      <c r="L134" s="19"/>
    </row>
    <row r="135" spans="1:12" ht="16.5" thickBot="1">
      <c r="A135" s="8">
        <v>30</v>
      </c>
      <c r="B135" s="22"/>
      <c r="C135" s="21" t="s">
        <v>306</v>
      </c>
      <c r="D135" s="19"/>
      <c r="E135" s="139">
        <f>+E133+E127+E125+E114+E112</f>
        <v>1151315345.3344507</v>
      </c>
      <c r="F135" s="19"/>
      <c r="G135" s="19"/>
      <c r="H135" s="63"/>
      <c r="I135" s="19"/>
      <c r="J135" s="139">
        <f>+J133+J127+J125+J114+J112</f>
        <v>284443285.02649212</v>
      </c>
      <c r="K135" s="16"/>
      <c r="L135" s="63"/>
    </row>
    <row r="136" spans="1:12" ht="16.5" thickTop="1">
      <c r="A136" s="7"/>
      <c r="C136" s="15"/>
      <c r="D136" s="16"/>
      <c r="E136" s="17"/>
      <c r="F136" s="16"/>
      <c r="G136" s="16"/>
      <c r="H136" s="18"/>
      <c r="I136" s="16"/>
      <c r="J136" s="17"/>
      <c r="K136" s="16"/>
      <c r="L136" s="63"/>
    </row>
    <row r="137" spans="1:12">
      <c r="A137" s="7"/>
      <c r="C137" s="15"/>
      <c r="D137" s="16"/>
      <c r="E137" s="17"/>
      <c r="F137" s="16"/>
      <c r="G137" s="16"/>
      <c r="H137" s="18"/>
      <c r="I137" s="16"/>
      <c r="J137" s="17"/>
      <c r="K137" s="16"/>
      <c r="L137" s="63"/>
    </row>
    <row r="138" spans="1:12">
      <c r="A138" s="7"/>
      <c r="C138" s="15"/>
      <c r="D138" s="16"/>
      <c r="E138" s="17"/>
      <c r="F138" s="16"/>
      <c r="G138" s="16"/>
      <c r="H138" s="18"/>
      <c r="I138" s="16"/>
      <c r="J138" s="17"/>
      <c r="K138" s="16"/>
      <c r="L138" s="63"/>
    </row>
    <row r="139" spans="1:12">
      <c r="A139" s="7"/>
      <c r="C139" s="15"/>
      <c r="D139" s="16"/>
      <c r="E139" s="17"/>
      <c r="F139" s="16"/>
      <c r="G139" s="16"/>
      <c r="H139" s="18"/>
      <c r="I139" s="16"/>
      <c r="J139" s="17"/>
      <c r="K139" s="16"/>
      <c r="L139" s="63"/>
    </row>
    <row r="140" spans="1:12">
      <c r="A140" s="7"/>
      <c r="C140" s="15"/>
      <c r="D140" s="16"/>
      <c r="E140" s="17"/>
      <c r="F140" s="16"/>
      <c r="G140" s="16"/>
      <c r="H140" s="18"/>
      <c r="I140" s="16"/>
      <c r="J140" s="17"/>
      <c r="K140" s="16"/>
      <c r="L140" s="63"/>
    </row>
    <row r="141" spans="1:12">
      <c r="A141" s="7"/>
      <c r="C141" s="15"/>
      <c r="D141" s="16"/>
      <c r="E141" s="17"/>
      <c r="F141" s="16"/>
      <c r="G141" s="16"/>
      <c r="H141" s="18"/>
      <c r="I141" s="16"/>
      <c r="J141" s="17"/>
      <c r="K141" s="16"/>
      <c r="L141" s="63"/>
    </row>
    <row r="142" spans="1:12">
      <c r="A142" s="7"/>
      <c r="C142" s="15"/>
      <c r="D142" s="16"/>
      <c r="E142" s="17"/>
      <c r="F142" s="16"/>
      <c r="G142" s="16"/>
      <c r="H142" s="18"/>
      <c r="I142" s="16"/>
      <c r="J142" s="17"/>
      <c r="K142" s="16"/>
      <c r="L142" s="63"/>
    </row>
    <row r="143" spans="1:12">
      <c r="A143" s="7"/>
      <c r="C143" s="15"/>
      <c r="D143" s="16"/>
      <c r="E143" s="17"/>
      <c r="F143" s="16"/>
      <c r="G143" s="16"/>
      <c r="H143" s="18"/>
      <c r="I143" s="16"/>
      <c r="J143" s="17"/>
      <c r="K143" s="16"/>
      <c r="L143" s="63"/>
    </row>
    <row r="144" spans="1:12">
      <c r="A144" s="7"/>
      <c r="C144" s="15"/>
      <c r="D144" s="16"/>
      <c r="E144" s="17"/>
      <c r="F144" s="16"/>
      <c r="G144" s="16"/>
      <c r="H144" s="18"/>
      <c r="I144" s="16"/>
      <c r="J144" s="17"/>
      <c r="K144" s="16"/>
      <c r="L144" s="63"/>
    </row>
    <row r="145" spans="1:12">
      <c r="A145" s="7"/>
      <c r="C145" s="15"/>
      <c r="D145" s="16"/>
      <c r="E145" s="17"/>
      <c r="F145" s="16"/>
      <c r="G145" s="16"/>
      <c r="H145" s="18"/>
      <c r="I145" s="16"/>
      <c r="J145" s="17"/>
      <c r="K145" s="16"/>
      <c r="L145" s="63"/>
    </row>
    <row r="146" spans="1:12">
      <c r="A146" s="7"/>
      <c r="C146" s="15"/>
      <c r="D146" s="16"/>
      <c r="E146" s="17"/>
      <c r="F146" s="16"/>
      <c r="G146" s="16"/>
      <c r="H146" s="18"/>
      <c r="I146" s="16"/>
      <c r="J146" s="17"/>
      <c r="K146" s="16"/>
      <c r="L146" s="63"/>
    </row>
    <row r="147" spans="1:12">
      <c r="A147" s="7"/>
      <c r="C147" s="15"/>
      <c r="D147" s="16"/>
      <c r="E147" s="17"/>
      <c r="F147" s="16"/>
      <c r="G147" s="16"/>
      <c r="H147" s="18"/>
      <c r="I147" s="16"/>
      <c r="J147" s="17"/>
      <c r="K147" s="16"/>
      <c r="L147" s="63"/>
    </row>
    <row r="148" spans="1:12">
      <c r="A148" s="7"/>
      <c r="C148" s="15"/>
      <c r="D148" s="16"/>
      <c r="E148" s="17"/>
      <c r="F148" s="16"/>
      <c r="G148" s="16"/>
      <c r="H148" s="18"/>
      <c r="I148" s="16"/>
      <c r="J148" s="17"/>
      <c r="K148" s="16"/>
      <c r="L148" s="63"/>
    </row>
    <row r="149" spans="1:12">
      <c r="A149" s="7"/>
      <c r="C149" s="15"/>
      <c r="D149" s="16"/>
      <c r="E149" s="17"/>
      <c r="F149" s="16"/>
      <c r="G149" s="16"/>
      <c r="H149" s="18"/>
      <c r="I149" s="16"/>
      <c r="J149" s="17"/>
      <c r="K149" s="16"/>
      <c r="L149" s="63"/>
    </row>
    <row r="150" spans="1:12">
      <c r="A150" s="7"/>
      <c r="C150" s="15"/>
      <c r="D150" s="16"/>
      <c r="E150" s="17"/>
      <c r="F150" s="16"/>
      <c r="G150" s="16"/>
      <c r="H150" s="18"/>
      <c r="I150" s="16"/>
      <c r="J150" s="17"/>
      <c r="K150" s="16"/>
      <c r="L150" s="63"/>
    </row>
    <row r="151" spans="1:12">
      <c r="A151" s="7"/>
      <c r="C151" s="15"/>
      <c r="D151" s="16"/>
      <c r="E151" s="17"/>
      <c r="F151" s="16"/>
      <c r="G151" s="16"/>
      <c r="H151" s="18"/>
      <c r="I151" s="16"/>
      <c r="J151" s="17"/>
      <c r="K151" s="16"/>
      <c r="L151" s="63"/>
    </row>
    <row r="152" spans="1:12">
      <c r="A152" s="7"/>
      <c r="C152" s="15"/>
      <c r="D152" s="16"/>
      <c r="E152" s="17"/>
      <c r="F152" s="16"/>
      <c r="G152" s="16"/>
      <c r="H152" s="18"/>
      <c r="I152" s="16"/>
      <c r="J152" s="17"/>
      <c r="K152" s="16"/>
      <c r="L152" s="63"/>
    </row>
    <row r="153" spans="1:12">
      <c r="A153" s="7"/>
      <c r="C153" s="15"/>
      <c r="D153" s="16"/>
      <c r="E153" s="17"/>
      <c r="F153" s="16"/>
      <c r="G153" s="16"/>
      <c r="H153" s="18"/>
      <c r="I153" s="16"/>
      <c r="J153" s="17"/>
      <c r="K153" s="16"/>
      <c r="L153" s="63"/>
    </row>
    <row r="154" spans="1:12">
      <c r="A154" s="7"/>
      <c r="C154" s="15"/>
      <c r="D154" s="16"/>
      <c r="E154" s="17"/>
      <c r="F154" s="16"/>
      <c r="G154" s="16"/>
      <c r="H154" s="18"/>
      <c r="I154" s="16"/>
      <c r="J154" s="17"/>
      <c r="K154" s="16"/>
      <c r="L154" s="63"/>
    </row>
    <row r="156" spans="1:12">
      <c r="A156" s="7"/>
      <c r="C156" s="15"/>
      <c r="D156" s="16"/>
      <c r="E156" s="17"/>
      <c r="F156" s="16"/>
      <c r="G156" s="16"/>
      <c r="H156" s="18"/>
      <c r="I156" s="16"/>
      <c r="J156" s="17"/>
      <c r="K156" s="16"/>
      <c r="L156" s="63"/>
    </row>
    <row r="157" spans="1:12">
      <c r="C157" s="14"/>
      <c r="D157" s="14"/>
      <c r="E157" s="23"/>
      <c r="F157" s="14"/>
      <c r="G157" s="14"/>
      <c r="H157" s="14"/>
      <c r="I157" s="24"/>
      <c r="J157" s="24"/>
      <c r="K157" s="25"/>
      <c r="L157" s="26" t="s">
        <v>190</v>
      </c>
    </row>
    <row r="158" spans="1:12">
      <c r="C158" s="14"/>
      <c r="D158" s="14"/>
      <c r="E158" s="23"/>
      <c r="F158" s="14"/>
      <c r="G158" s="14"/>
      <c r="H158" s="14"/>
      <c r="I158" s="24"/>
      <c r="J158" s="24"/>
      <c r="K158" s="25"/>
      <c r="L158" s="26"/>
    </row>
    <row r="159" spans="1:12">
      <c r="C159" s="14" t="s">
        <v>196</v>
      </c>
      <c r="D159" s="14"/>
      <c r="E159" s="23" t="s">
        <v>261</v>
      </c>
      <c r="F159" s="14"/>
      <c r="G159" s="14"/>
      <c r="H159" s="14"/>
      <c r="I159" s="24"/>
      <c r="J159" s="28" t="str">
        <f>J3</f>
        <v>For the 12 months ended 12/31/18</v>
      </c>
      <c r="K159" s="29"/>
      <c r="L159" s="29"/>
    </row>
    <row r="160" spans="1:12">
      <c r="C160" s="14"/>
      <c r="D160" s="16" t="s">
        <v>262</v>
      </c>
      <c r="E160" s="16" t="s">
        <v>218</v>
      </c>
      <c r="F160" s="16"/>
      <c r="G160" s="16"/>
      <c r="H160" s="16"/>
      <c r="I160" s="24"/>
      <c r="J160" s="24"/>
      <c r="K160" s="25"/>
      <c r="L160" s="27"/>
    </row>
    <row r="161" spans="1:12">
      <c r="C161" s="14"/>
      <c r="D161" s="16"/>
      <c r="E161" s="16"/>
      <c r="F161" s="16"/>
      <c r="G161" s="16"/>
      <c r="H161" s="16"/>
      <c r="I161" s="24"/>
      <c r="J161" s="24"/>
      <c r="K161" s="25"/>
      <c r="L161" s="27"/>
    </row>
    <row r="162" spans="1:12">
      <c r="A162" s="7"/>
      <c r="E162" s="136" t="str">
        <f>E6</f>
        <v>VECTREN</v>
      </c>
      <c r="K162" s="16"/>
      <c r="L162" s="19"/>
    </row>
    <row r="163" spans="1:12">
      <c r="A163" s="7"/>
      <c r="C163" s="52" t="s">
        <v>149</v>
      </c>
      <c r="D163" s="52" t="s">
        <v>150</v>
      </c>
      <c r="E163" s="52" t="s">
        <v>5</v>
      </c>
      <c r="F163" s="16" t="s">
        <v>262</v>
      </c>
      <c r="G163" s="16"/>
      <c r="H163" s="53" t="s">
        <v>6</v>
      </c>
      <c r="I163" s="16"/>
      <c r="J163" s="54" t="s">
        <v>7</v>
      </c>
      <c r="K163" s="16"/>
      <c r="L163" s="19"/>
    </row>
    <row r="164" spans="1:12">
      <c r="A164" s="7"/>
      <c r="C164" s="52"/>
      <c r="D164" s="24"/>
      <c r="E164" s="24"/>
      <c r="F164" s="24"/>
      <c r="G164" s="24"/>
      <c r="H164" s="24"/>
      <c r="I164" s="24"/>
      <c r="J164" s="24"/>
      <c r="K164" s="24"/>
      <c r="L164" s="66"/>
    </row>
    <row r="165" spans="1:12">
      <c r="A165" s="7" t="s">
        <v>263</v>
      </c>
      <c r="C165" s="15"/>
      <c r="D165" s="56" t="s">
        <v>202</v>
      </c>
      <c r="E165" s="16"/>
      <c r="F165" s="16"/>
      <c r="G165" s="16"/>
      <c r="H165" s="7"/>
      <c r="I165" s="16"/>
      <c r="J165" s="57" t="s">
        <v>8</v>
      </c>
      <c r="K165" s="16"/>
      <c r="L165" s="66"/>
    </row>
    <row r="166" spans="1:12" ht="16.5" thickBot="1">
      <c r="A166" s="31" t="s">
        <v>264</v>
      </c>
      <c r="C166" s="15"/>
      <c r="D166" s="58" t="s">
        <v>9</v>
      </c>
      <c r="E166" s="57" t="s">
        <v>10</v>
      </c>
      <c r="F166" s="59"/>
      <c r="G166" s="57" t="s">
        <v>11</v>
      </c>
      <c r="I166" s="59"/>
      <c r="J166" s="7" t="s">
        <v>12</v>
      </c>
      <c r="K166" s="16"/>
      <c r="L166" s="66"/>
    </row>
    <row r="167" spans="1:12">
      <c r="C167" s="15"/>
      <c r="D167" s="16"/>
      <c r="E167" s="67"/>
      <c r="F167" s="68"/>
      <c r="G167" s="69"/>
      <c r="I167" s="68"/>
      <c r="J167" s="67"/>
      <c r="K167" s="16"/>
      <c r="L167" s="19"/>
    </row>
    <row r="168" spans="1:12">
      <c r="A168" s="7"/>
      <c r="C168" s="15" t="s">
        <v>535</v>
      </c>
      <c r="D168" s="16"/>
      <c r="E168" s="16"/>
      <c r="F168" s="16"/>
      <c r="G168" s="16"/>
      <c r="H168" s="16"/>
      <c r="I168" s="16"/>
      <c r="J168" s="16"/>
      <c r="K168" s="16"/>
      <c r="L168" s="19"/>
    </row>
    <row r="169" spans="1:12">
      <c r="A169" s="7">
        <v>1</v>
      </c>
      <c r="C169" s="15" t="s">
        <v>172</v>
      </c>
      <c r="D169" s="16" t="s">
        <v>39</v>
      </c>
      <c r="E169" s="37">
        <f>'Workpapers (Pages 6 and 7)'!E28*1000</f>
        <v>21624022.700000003</v>
      </c>
      <c r="F169" s="16"/>
      <c r="G169" s="16" t="s">
        <v>173</v>
      </c>
      <c r="H169" s="61">
        <f>J261</f>
        <v>0.886783072975594</v>
      </c>
      <c r="I169" s="16"/>
      <c r="J169" s="16">
        <f>+H169*E169</f>
        <v>19175817.300000004</v>
      </c>
      <c r="K169" s="25"/>
      <c r="L169" s="19"/>
    </row>
    <row r="170" spans="1:12">
      <c r="A170" s="8" t="s">
        <v>301</v>
      </c>
      <c r="B170" s="22"/>
      <c r="C170" s="21" t="s">
        <v>129</v>
      </c>
      <c r="D170" s="19"/>
      <c r="E170" s="37">
        <f>'Workpapers (Pages 6 and 7)'!E11*1000</f>
        <v>16215555</v>
      </c>
      <c r="F170" s="16"/>
      <c r="G170" s="70"/>
      <c r="H170" s="61">
        <v>1</v>
      </c>
      <c r="I170" s="16"/>
      <c r="J170" s="16">
        <f>+H170*E170</f>
        <v>16215555</v>
      </c>
      <c r="K170" s="25"/>
      <c r="L170" s="19"/>
    </row>
    <row r="171" spans="1:12">
      <c r="A171" s="7">
        <v>2</v>
      </c>
      <c r="C171" s="15" t="s">
        <v>174</v>
      </c>
      <c r="D171" s="16" t="s">
        <v>40</v>
      </c>
      <c r="E171" s="37">
        <v>0</v>
      </c>
      <c r="F171" s="16"/>
      <c r="G171" s="16" t="s">
        <v>173</v>
      </c>
      <c r="H171" s="61">
        <f>+H169</f>
        <v>0.886783072975594</v>
      </c>
      <c r="I171" s="16"/>
      <c r="J171" s="16">
        <f t="shared" ref="J171:J177" si="2">+H171*E171</f>
        <v>0</v>
      </c>
      <c r="K171" s="25"/>
      <c r="L171" s="19"/>
    </row>
    <row r="172" spans="1:12">
      <c r="A172" s="7">
        <v>3</v>
      </c>
      <c r="C172" s="15" t="s">
        <v>175</v>
      </c>
      <c r="D172" s="16" t="s">
        <v>41</v>
      </c>
      <c r="E172" s="37">
        <f>'Workpapers (Pages 6 and 7)'!E54*1000</f>
        <v>40321979.361064002</v>
      </c>
      <c r="F172" s="16"/>
      <c r="G172" s="16" t="s">
        <v>176</v>
      </c>
      <c r="H172" s="61">
        <f>+H102</f>
        <v>8.8260998055899195E-2</v>
      </c>
      <c r="I172" s="16"/>
      <c r="J172" s="16">
        <f t="shared" si="2"/>
        <v>3558858.1419968773</v>
      </c>
      <c r="K172" s="16"/>
      <c r="L172" s="19" t="s">
        <v>262</v>
      </c>
    </row>
    <row r="173" spans="1:12">
      <c r="A173" s="7">
        <v>4</v>
      </c>
      <c r="C173" s="15" t="s">
        <v>177</v>
      </c>
      <c r="D173" s="16"/>
      <c r="E173" s="37">
        <v>0</v>
      </c>
      <c r="F173" s="16"/>
      <c r="G173" s="16" t="str">
        <f>+G172</f>
        <v>W/S</v>
      </c>
      <c r="H173" s="61">
        <f>+H172</f>
        <v>8.8260998055899195E-2</v>
      </c>
      <c r="I173" s="16"/>
      <c r="J173" s="16">
        <f t="shared" si="2"/>
        <v>0</v>
      </c>
      <c r="K173" s="16"/>
      <c r="L173" s="19"/>
    </row>
    <row r="174" spans="1:12">
      <c r="A174" s="7">
        <v>5</v>
      </c>
      <c r="C174" s="21" t="s">
        <v>54</v>
      </c>
      <c r="D174" s="19"/>
      <c r="E174" s="37">
        <f>'Workpapers (Pages 6 and 7)'!E31*1000</f>
        <v>730286.32999999984</v>
      </c>
      <c r="F174" s="16"/>
      <c r="G174" s="16" t="str">
        <f>+G173</f>
        <v>W/S</v>
      </c>
      <c r="H174" s="61">
        <f>+H173</f>
        <v>8.8260998055899195E-2</v>
      </c>
      <c r="I174" s="16"/>
      <c r="J174" s="16">
        <f t="shared" si="2"/>
        <v>64455.800352379745</v>
      </c>
      <c r="K174" s="16"/>
      <c r="L174" s="19"/>
    </row>
    <row r="175" spans="1:12">
      <c r="A175" s="7" t="s">
        <v>178</v>
      </c>
      <c r="C175" s="21" t="s">
        <v>55</v>
      </c>
      <c r="D175" s="19"/>
      <c r="E175" s="37">
        <v>0</v>
      </c>
      <c r="F175" s="16"/>
      <c r="G175" s="71" t="str">
        <f>+G169</f>
        <v>TE</v>
      </c>
      <c r="H175" s="72">
        <f>+H169</f>
        <v>0.886783072975594</v>
      </c>
      <c r="I175" s="16"/>
      <c r="J175" s="16">
        <f>+H175*E175</f>
        <v>0</v>
      </c>
      <c r="K175" s="16"/>
      <c r="L175" s="19"/>
    </row>
    <row r="176" spans="1:12">
      <c r="A176" s="7">
        <v>6</v>
      </c>
      <c r="C176" s="21" t="s">
        <v>179</v>
      </c>
      <c r="D176" s="19" t="str">
        <f>+D103</f>
        <v>356.1</v>
      </c>
      <c r="E176" s="37">
        <v>0</v>
      </c>
      <c r="F176" s="16"/>
      <c r="G176" s="16" t="s">
        <v>180</v>
      </c>
      <c r="H176" s="61">
        <f>+H103</f>
        <v>7.8711047449592578E-2</v>
      </c>
      <c r="I176" s="16"/>
      <c r="J176" s="16">
        <f t="shared" si="2"/>
        <v>0</v>
      </c>
      <c r="K176" s="16"/>
      <c r="L176" s="19"/>
    </row>
    <row r="177" spans="1:12" ht="16.5" thickBot="1">
      <c r="A177" s="7">
        <v>7</v>
      </c>
      <c r="C177" s="15" t="s">
        <v>181</v>
      </c>
      <c r="D177" s="16"/>
      <c r="E177" s="62">
        <v>0</v>
      </c>
      <c r="F177" s="16"/>
      <c r="G177" s="16" t="s">
        <v>262</v>
      </c>
      <c r="H177" s="61">
        <v>1</v>
      </c>
      <c r="I177" s="16"/>
      <c r="J177" s="38">
        <f t="shared" si="2"/>
        <v>0</v>
      </c>
      <c r="K177" s="16"/>
      <c r="L177" s="19"/>
    </row>
    <row r="178" spans="1:12">
      <c r="A178" s="8">
        <v>8</v>
      </c>
      <c r="B178" s="22"/>
      <c r="C178" s="21" t="s">
        <v>351</v>
      </c>
      <c r="D178" s="19"/>
      <c r="E178" s="19">
        <f>+E169-E170-E171+E172-E173-E174+E175+E176+E177</f>
        <v>45000160.731064007</v>
      </c>
      <c r="F178" s="19"/>
      <c r="G178" s="19"/>
      <c r="H178" s="19"/>
      <c r="I178" s="19"/>
      <c r="J178" s="19">
        <f>+J169-J170-J171+J172-J173-J174+J175+J176+J177</f>
        <v>6454664.6416445021</v>
      </c>
      <c r="K178" s="16"/>
      <c r="L178" s="19"/>
    </row>
    <row r="179" spans="1:12">
      <c r="A179" s="8"/>
      <c r="B179" s="22"/>
      <c r="C179" s="22"/>
      <c r="D179" s="19"/>
      <c r="E179" s="22"/>
      <c r="F179" s="19"/>
      <c r="G179" s="19"/>
      <c r="H179" s="19"/>
      <c r="I179" s="19"/>
      <c r="J179" s="22"/>
      <c r="K179" s="16"/>
      <c r="L179" s="19"/>
    </row>
    <row r="180" spans="1:12">
      <c r="A180" s="8"/>
      <c r="B180" s="22"/>
      <c r="C180" s="21" t="s">
        <v>536</v>
      </c>
      <c r="D180" s="19"/>
      <c r="E180" s="19"/>
      <c r="F180" s="19"/>
      <c r="G180" s="19"/>
      <c r="H180" s="19"/>
      <c r="I180" s="19"/>
      <c r="J180" s="19"/>
      <c r="K180" s="16"/>
      <c r="L180" s="19"/>
    </row>
    <row r="181" spans="1:12">
      <c r="A181" s="8">
        <v>9</v>
      </c>
      <c r="B181" s="22"/>
      <c r="C181" s="21" t="str">
        <f>+C169</f>
        <v xml:space="preserve">  Transmission </v>
      </c>
      <c r="D181" s="19" t="s">
        <v>56</v>
      </c>
      <c r="E181" s="37">
        <f>'Workpapers (Pages 6 and 7)'!E58*1000</f>
        <v>10345916</v>
      </c>
      <c r="F181" s="19"/>
      <c r="G181" s="19" t="s">
        <v>14</v>
      </c>
      <c r="H181" s="72">
        <f>+H127</f>
        <v>1</v>
      </c>
      <c r="I181" s="19"/>
      <c r="J181" s="19">
        <f>+H181*E181</f>
        <v>10345916</v>
      </c>
      <c r="K181" s="16"/>
      <c r="L181" s="63"/>
    </row>
    <row r="182" spans="1:12" s="22" customFormat="1">
      <c r="A182" s="8" t="s">
        <v>307</v>
      </c>
      <c r="B182" s="151"/>
      <c r="C182" s="21" t="s">
        <v>315</v>
      </c>
      <c r="D182" s="152"/>
      <c r="E182" s="37">
        <v>0</v>
      </c>
      <c r="F182" s="19"/>
      <c r="G182" s="19"/>
      <c r="H182" s="72">
        <v>1</v>
      </c>
      <c r="I182" s="19"/>
      <c r="J182" s="19">
        <f>+H182*E182</f>
        <v>0</v>
      </c>
      <c r="K182" s="152"/>
      <c r="L182" s="156"/>
    </row>
    <row r="183" spans="1:12">
      <c r="A183" s="7">
        <v>10</v>
      </c>
      <c r="C183" s="15" t="s">
        <v>253</v>
      </c>
      <c r="D183" s="16" t="s">
        <v>534</v>
      </c>
      <c r="E183" s="37">
        <f>'Workpapers (Pages 6 and 7)'!E59*1000</f>
        <v>1973139</v>
      </c>
      <c r="F183" s="16"/>
      <c r="G183" s="16" t="s">
        <v>176</v>
      </c>
      <c r="H183" s="61">
        <f>+H172</f>
        <v>8.8260998055899195E-2</v>
      </c>
      <c r="I183" s="16"/>
      <c r="J183" s="16">
        <f>+H183*E183</f>
        <v>174151.21744301889</v>
      </c>
      <c r="K183" s="16"/>
      <c r="L183" s="63"/>
    </row>
    <row r="184" spans="1:12" ht="16.5" thickBot="1">
      <c r="A184" s="7">
        <v>11</v>
      </c>
      <c r="C184" s="15" t="str">
        <f>+C176</f>
        <v xml:space="preserve">  Common</v>
      </c>
      <c r="D184" s="16" t="s">
        <v>236</v>
      </c>
      <c r="E184" s="62">
        <f>'Workpapers (Pages 6 and 7)'!E60*1000</f>
        <v>1544532</v>
      </c>
      <c r="F184" s="16"/>
      <c r="G184" s="16" t="s">
        <v>180</v>
      </c>
      <c r="H184" s="61">
        <f>+H176</f>
        <v>7.8711047449592578E-2</v>
      </c>
      <c r="I184" s="16"/>
      <c r="J184" s="38">
        <f>+H184*E184</f>
        <v>121571.73153941412</v>
      </c>
      <c r="K184" s="16"/>
      <c r="L184" s="63"/>
    </row>
    <row r="185" spans="1:12">
      <c r="A185" s="8">
        <v>12</v>
      </c>
      <c r="B185" s="22"/>
      <c r="C185" s="21" t="s">
        <v>78</v>
      </c>
      <c r="D185" s="19"/>
      <c r="E185" s="19">
        <f>SUM(E181:E184)</f>
        <v>13863587</v>
      </c>
      <c r="F185" s="19"/>
      <c r="G185" s="19"/>
      <c r="H185" s="19"/>
      <c r="I185" s="19"/>
      <c r="J185" s="19">
        <f>SUM(J181:J184)</f>
        <v>10641638.948982432</v>
      </c>
      <c r="K185" s="16"/>
      <c r="L185" s="19"/>
    </row>
    <row r="186" spans="1:12">
      <c r="A186" s="7"/>
      <c r="C186" s="15"/>
      <c r="D186" s="16"/>
      <c r="E186" s="16"/>
      <c r="F186" s="16"/>
      <c r="G186" s="16"/>
      <c r="H186" s="16"/>
      <c r="I186" s="16"/>
      <c r="J186" s="16"/>
      <c r="K186" s="16"/>
      <c r="L186" s="19"/>
    </row>
    <row r="187" spans="1:12">
      <c r="A187" s="7" t="s">
        <v>262</v>
      </c>
      <c r="C187" s="15" t="s">
        <v>151</v>
      </c>
      <c r="E187" s="16"/>
      <c r="F187" s="16"/>
      <c r="G187" s="16"/>
      <c r="H187" s="16"/>
      <c r="I187" s="16"/>
      <c r="J187" s="16"/>
      <c r="K187" s="16"/>
      <c r="L187" s="19"/>
    </row>
    <row r="188" spans="1:12">
      <c r="A188" s="7"/>
      <c r="C188" s="15" t="s">
        <v>183</v>
      </c>
      <c r="F188" s="16"/>
      <c r="G188" s="16"/>
      <c r="I188" s="16"/>
      <c r="K188" s="16"/>
      <c r="L188" s="63"/>
    </row>
    <row r="189" spans="1:12">
      <c r="A189" s="7">
        <v>13</v>
      </c>
      <c r="C189" s="15" t="s">
        <v>184</v>
      </c>
      <c r="D189" s="16" t="s">
        <v>28</v>
      </c>
      <c r="E189" s="37">
        <v>0</v>
      </c>
      <c r="F189" s="16"/>
      <c r="G189" s="16" t="s">
        <v>176</v>
      </c>
      <c r="H189" s="35">
        <f>+H183</f>
        <v>8.8260998055899195E-2</v>
      </c>
      <c r="I189" s="16"/>
      <c r="J189" s="16">
        <f>+H189*E189</f>
        <v>0</v>
      </c>
      <c r="K189" s="16"/>
      <c r="L189" s="63"/>
    </row>
    <row r="190" spans="1:12">
      <c r="A190" s="7">
        <v>14</v>
      </c>
      <c r="C190" s="15" t="s">
        <v>248</v>
      </c>
      <c r="D190" s="16" t="str">
        <f>+D189</f>
        <v>263.i</v>
      </c>
      <c r="E190" s="37">
        <v>0</v>
      </c>
      <c r="F190" s="16"/>
      <c r="G190" s="16" t="str">
        <f>+G189</f>
        <v>W/S</v>
      </c>
      <c r="H190" s="35">
        <f>+H189</f>
        <v>8.8260998055899195E-2</v>
      </c>
      <c r="I190" s="16"/>
      <c r="J190" s="16">
        <f>+H190*E190</f>
        <v>0</v>
      </c>
      <c r="K190" s="16"/>
      <c r="L190" s="63"/>
    </row>
    <row r="191" spans="1:12">
      <c r="A191" s="7">
        <v>15</v>
      </c>
      <c r="C191" s="15" t="s">
        <v>249</v>
      </c>
      <c r="D191" s="16" t="s">
        <v>262</v>
      </c>
      <c r="F191" s="16"/>
      <c r="G191" s="16"/>
      <c r="I191" s="16"/>
      <c r="K191" s="16"/>
      <c r="L191" s="63"/>
    </row>
    <row r="192" spans="1:12">
      <c r="A192" s="7">
        <v>16</v>
      </c>
      <c r="C192" s="15" t="s">
        <v>282</v>
      </c>
      <c r="D192" s="16" t="s">
        <v>28</v>
      </c>
      <c r="E192" s="37">
        <f>+'Workpapers (Pages 6 and 7)'!E70*1000</f>
        <v>8410436.1224330701</v>
      </c>
      <c r="F192" s="16"/>
      <c r="G192" s="16" t="s">
        <v>182</v>
      </c>
      <c r="H192" s="35">
        <f>+H96</f>
        <v>0.1718632572637043</v>
      </c>
      <c r="I192" s="16"/>
      <c r="J192" s="16">
        <f>+H192*E192</f>
        <v>1445444.9470096664</v>
      </c>
      <c r="K192" s="16"/>
      <c r="L192" s="63"/>
    </row>
    <row r="193" spans="1:12">
      <c r="A193" s="7">
        <v>17</v>
      </c>
      <c r="C193" s="15" t="s">
        <v>283</v>
      </c>
      <c r="D193" s="16" t="s">
        <v>28</v>
      </c>
      <c r="E193" s="37">
        <f>+'Workpapers (Pages 6 and 7)'!F68*1000</f>
        <v>7280000</v>
      </c>
      <c r="F193" s="16"/>
      <c r="G193" s="19" t="str">
        <f>+G119</f>
        <v>NA</v>
      </c>
      <c r="H193" s="73" t="s">
        <v>284</v>
      </c>
      <c r="I193" s="16"/>
      <c r="J193" s="16">
        <v>0</v>
      </c>
      <c r="K193" s="16"/>
      <c r="L193" s="63"/>
    </row>
    <row r="194" spans="1:12">
      <c r="A194" s="7">
        <v>18</v>
      </c>
      <c r="C194" s="15" t="s">
        <v>285</v>
      </c>
      <c r="D194" s="16" t="str">
        <f>+D193</f>
        <v>263.i</v>
      </c>
      <c r="E194" s="37">
        <v>0</v>
      </c>
      <c r="F194" s="16"/>
      <c r="G194" s="16" t="str">
        <f>+G192</f>
        <v>GP</v>
      </c>
      <c r="H194" s="35">
        <f>+H192</f>
        <v>0.1718632572637043</v>
      </c>
      <c r="I194" s="16"/>
      <c r="J194" s="16">
        <f>+H194*E194</f>
        <v>0</v>
      </c>
      <c r="K194" s="16"/>
      <c r="L194" s="63"/>
    </row>
    <row r="195" spans="1:12" ht="16.5" thickBot="1">
      <c r="A195" s="7">
        <v>19</v>
      </c>
      <c r="C195" s="15" t="s">
        <v>286</v>
      </c>
      <c r="D195" s="16"/>
      <c r="E195" s="62">
        <v>0</v>
      </c>
      <c r="F195" s="16"/>
      <c r="G195" s="16" t="s">
        <v>182</v>
      </c>
      <c r="H195" s="35">
        <f>+H192</f>
        <v>0.1718632572637043</v>
      </c>
      <c r="I195" s="16"/>
      <c r="J195" s="38">
        <f>+H195*E195</f>
        <v>0</v>
      </c>
      <c r="K195" s="16"/>
      <c r="L195" s="63"/>
    </row>
    <row r="196" spans="1:12">
      <c r="A196" s="7">
        <v>20</v>
      </c>
      <c r="C196" s="15" t="s">
        <v>287</v>
      </c>
      <c r="D196" s="16"/>
      <c r="E196" s="16">
        <f>SUM(E189:E195)</f>
        <v>15690436.12243307</v>
      </c>
      <c r="F196" s="16"/>
      <c r="G196" s="16"/>
      <c r="H196" s="35"/>
      <c r="I196" s="16"/>
      <c r="J196" s="16">
        <f>SUM(J189:J195)</f>
        <v>1445444.9470096664</v>
      </c>
      <c r="K196" s="16"/>
      <c r="L196" s="19"/>
    </row>
    <row r="197" spans="1:12">
      <c r="A197" s="7"/>
      <c r="C197" s="15"/>
      <c r="D197" s="16"/>
      <c r="E197" s="16"/>
      <c r="F197" s="16"/>
      <c r="G197" s="16"/>
      <c r="H197" s="35"/>
      <c r="I197" s="16"/>
      <c r="J197" s="16"/>
      <c r="K197" s="16"/>
      <c r="L197" s="19"/>
    </row>
    <row r="198" spans="1:12">
      <c r="A198" s="7" t="s">
        <v>152</v>
      </c>
      <c r="C198" s="15"/>
      <c r="D198" s="16"/>
      <c r="E198" s="16"/>
      <c r="F198" s="16"/>
      <c r="G198" s="16"/>
      <c r="H198" s="35"/>
      <c r="I198" s="16"/>
      <c r="J198" s="16"/>
      <c r="K198" s="16"/>
      <c r="L198" s="19"/>
    </row>
    <row r="199" spans="1:12">
      <c r="A199" s="7" t="s">
        <v>262</v>
      </c>
      <c r="C199" s="15" t="s">
        <v>278</v>
      </c>
      <c r="D199" s="16" t="s">
        <v>279</v>
      </c>
      <c r="E199" s="16"/>
      <c r="F199" s="16"/>
      <c r="H199" s="74"/>
      <c r="I199" s="16"/>
      <c r="K199" s="16"/>
    </row>
    <row r="200" spans="1:12">
      <c r="A200" s="7">
        <v>21</v>
      </c>
      <c r="C200" s="75" t="s">
        <v>280</v>
      </c>
      <c r="D200" s="16"/>
      <c r="E200" s="76">
        <f>IF(E351&gt;0,1-(((1-E352)*(1-E351))/(1-E352*E351*E353)),0)</f>
        <v>0.38818749999999991</v>
      </c>
      <c r="F200" s="16"/>
      <c r="H200" s="74"/>
      <c r="I200" s="16"/>
      <c r="K200" s="16"/>
    </row>
    <row r="201" spans="1:12">
      <c r="A201" s="7">
        <v>22</v>
      </c>
      <c r="C201" s="12" t="s">
        <v>281</v>
      </c>
      <c r="D201" s="16"/>
      <c r="E201" s="76">
        <f>IF(J293&gt;0,(E200/(1-E200))*(1-J290/J293),0)</f>
        <v>0.49873335042208111</v>
      </c>
      <c r="F201" s="16"/>
      <c r="H201" s="74"/>
      <c r="I201" s="16"/>
      <c r="K201" s="16"/>
    </row>
    <row r="202" spans="1:12">
      <c r="A202" s="7"/>
      <c r="C202" s="15" t="s">
        <v>533</v>
      </c>
      <c r="D202" s="16"/>
      <c r="E202" s="16"/>
      <c r="F202" s="16"/>
      <c r="H202" s="74"/>
      <c r="I202" s="16"/>
      <c r="K202" s="16"/>
    </row>
    <row r="203" spans="1:12">
      <c r="A203" s="7"/>
      <c r="C203" s="15" t="s">
        <v>110</v>
      </c>
      <c r="D203" s="16"/>
      <c r="E203" s="16"/>
      <c r="F203" s="16"/>
      <c r="H203" s="74"/>
      <c r="I203" s="16"/>
      <c r="K203" s="16"/>
    </row>
    <row r="204" spans="1:12">
      <c r="A204" s="7">
        <v>23</v>
      </c>
      <c r="C204" s="75" t="s">
        <v>111</v>
      </c>
      <c r="D204" s="16"/>
      <c r="E204" s="77">
        <f>IF(E200&gt;0,1/(1-E200),0)</f>
        <v>1.6344876902645824</v>
      </c>
      <c r="F204" s="16"/>
      <c r="H204" s="74"/>
      <c r="I204" s="16"/>
      <c r="K204" s="16"/>
    </row>
    <row r="205" spans="1:12">
      <c r="A205" s="7">
        <v>24</v>
      </c>
      <c r="C205" s="15" t="s">
        <v>112</v>
      </c>
      <c r="D205" s="16"/>
      <c r="E205" s="37">
        <f>-'Workpapers (Pages 6 and 7)'!E72*1000</f>
        <v>-396162</v>
      </c>
      <c r="F205" s="16"/>
      <c r="H205" s="74"/>
      <c r="I205" s="16"/>
      <c r="K205" s="16"/>
    </row>
    <row r="206" spans="1:12">
      <c r="A206" s="7"/>
      <c r="C206" s="15"/>
      <c r="D206" s="16"/>
      <c r="E206" s="16"/>
      <c r="F206" s="16"/>
      <c r="H206" s="74"/>
      <c r="I206" s="16"/>
      <c r="K206" s="16"/>
    </row>
    <row r="207" spans="1:12">
      <c r="A207" s="7">
        <v>25</v>
      </c>
      <c r="C207" s="75" t="s">
        <v>113</v>
      </c>
      <c r="D207" s="78"/>
      <c r="E207" s="16">
        <f>E201*E211</f>
        <v>47359783.100236915</v>
      </c>
      <c r="F207" s="16"/>
      <c r="G207" s="16" t="s">
        <v>251</v>
      </c>
      <c r="H207" s="35"/>
      <c r="I207" s="16"/>
      <c r="J207" s="16">
        <f>E201*J211</f>
        <v>11700679.868259929</v>
      </c>
      <c r="K207" s="16"/>
      <c r="L207" s="79" t="s">
        <v>262</v>
      </c>
    </row>
    <row r="208" spans="1:12" ht="16.5" thickBot="1">
      <c r="A208" s="7">
        <v>26</v>
      </c>
      <c r="C208" s="12" t="s">
        <v>114</v>
      </c>
      <c r="D208" s="78"/>
      <c r="E208" s="137">
        <f>E204*E205</f>
        <v>-647521.91235059744</v>
      </c>
      <c r="F208" s="16"/>
      <c r="G208" s="12" t="s">
        <v>75</v>
      </c>
      <c r="H208" s="35">
        <f>H112</f>
        <v>0.24626436991709078</v>
      </c>
      <c r="I208" s="16"/>
      <c r="J208" s="137">
        <f>H208*E208</f>
        <v>-159461.57575252955</v>
      </c>
      <c r="K208" s="16"/>
      <c r="L208" s="79"/>
    </row>
    <row r="209" spans="1:12">
      <c r="A209" s="7">
        <v>27</v>
      </c>
      <c r="C209" s="80" t="s">
        <v>160</v>
      </c>
      <c r="D209" s="12" t="s">
        <v>161</v>
      </c>
      <c r="E209" s="20">
        <f>+E207+E208</f>
        <v>46712261.18788632</v>
      </c>
      <c r="F209" s="16"/>
      <c r="G209" s="16" t="s">
        <v>262</v>
      </c>
      <c r="H209" s="35" t="s">
        <v>262</v>
      </c>
      <c r="I209" s="16"/>
      <c r="J209" s="20">
        <f>+J207+J208</f>
        <v>11541218.292507399</v>
      </c>
      <c r="K209" s="16"/>
      <c r="L209" s="19"/>
    </row>
    <row r="210" spans="1:12">
      <c r="A210" s="7" t="s">
        <v>262</v>
      </c>
      <c r="D210" s="81"/>
      <c r="E210" s="16"/>
      <c r="F210" s="16"/>
      <c r="G210" s="16"/>
      <c r="H210" s="35"/>
      <c r="I210" s="16"/>
      <c r="J210" s="16"/>
      <c r="K210" s="16"/>
      <c r="L210" s="19"/>
    </row>
    <row r="211" spans="1:12">
      <c r="A211" s="7">
        <v>28</v>
      </c>
      <c r="C211" s="15" t="s">
        <v>162</v>
      </c>
      <c r="D211" s="18"/>
      <c r="E211" s="16">
        <f>+$J293*E135</f>
        <v>94960128.614130259</v>
      </c>
      <c r="F211" s="16"/>
      <c r="G211" s="16" t="s">
        <v>251</v>
      </c>
      <c r="H211" s="74"/>
      <c r="I211" s="16"/>
      <c r="J211" s="16">
        <f>+$J293*J135</f>
        <v>23460792.943478856</v>
      </c>
      <c r="K211" s="16"/>
    </row>
    <row r="212" spans="1:12">
      <c r="A212" s="7"/>
      <c r="C212" s="80" t="s">
        <v>57</v>
      </c>
      <c r="E212" s="16"/>
      <c r="F212" s="16"/>
      <c r="G212" s="16"/>
      <c r="H212" s="74"/>
      <c r="I212" s="16"/>
      <c r="J212" s="16"/>
      <c r="K212" s="16"/>
      <c r="L212" s="63"/>
    </row>
    <row r="213" spans="1:12">
      <c r="A213" s="7"/>
      <c r="C213" s="15"/>
      <c r="E213" s="17"/>
      <c r="F213" s="16"/>
      <c r="G213" s="16"/>
      <c r="H213" s="74"/>
      <c r="I213" s="16"/>
      <c r="J213" s="17"/>
      <c r="K213" s="16"/>
      <c r="L213" s="63"/>
    </row>
    <row r="214" spans="1:12">
      <c r="A214" s="7">
        <v>29</v>
      </c>
      <c r="C214" s="15" t="s">
        <v>58</v>
      </c>
      <c r="D214" s="16"/>
      <c r="E214" s="17">
        <f>+E211+E209+E196+E185+E178</f>
        <v>216226573.65551364</v>
      </c>
      <c r="F214" s="16"/>
      <c r="G214" s="16"/>
      <c r="H214" s="16"/>
      <c r="I214" s="16"/>
      <c r="J214" s="17">
        <f>+J211+J209+J196+J185+J178</f>
        <v>53543759.773622856</v>
      </c>
      <c r="K214" s="25"/>
      <c r="L214" s="27"/>
    </row>
    <row r="215" spans="1:12">
      <c r="A215" s="7"/>
      <c r="C215" s="15"/>
      <c r="D215" s="16"/>
      <c r="E215" s="17"/>
      <c r="F215" s="16"/>
      <c r="G215" s="16"/>
      <c r="H215" s="16"/>
      <c r="I215" s="16"/>
      <c r="J215" s="17"/>
      <c r="K215" s="25"/>
      <c r="L215" s="27"/>
    </row>
    <row r="216" spans="1:12">
      <c r="A216" s="7">
        <v>30</v>
      </c>
      <c r="C216" s="15" t="s">
        <v>362</v>
      </c>
      <c r="D216" s="16"/>
      <c r="E216" s="17"/>
      <c r="F216" s="16"/>
      <c r="G216" s="16"/>
      <c r="H216" s="16"/>
      <c r="I216" s="16"/>
      <c r="J216" s="17"/>
      <c r="K216" s="25"/>
      <c r="L216" s="27"/>
    </row>
    <row r="217" spans="1:12">
      <c r="A217" s="7"/>
      <c r="C217" s="15" t="s">
        <v>353</v>
      </c>
      <c r="D217" s="16"/>
      <c r="E217" s="17"/>
      <c r="F217" s="16"/>
      <c r="G217" s="16"/>
      <c r="H217" s="16"/>
      <c r="I217" s="16"/>
      <c r="J217" s="17"/>
      <c r="K217" s="25"/>
      <c r="L217" s="27"/>
    </row>
    <row r="218" spans="1:12">
      <c r="A218" s="7"/>
      <c r="C218" s="15" t="s">
        <v>354</v>
      </c>
      <c r="D218" s="16"/>
      <c r="E218" s="168">
        <v>18755683</v>
      </c>
      <c r="F218" s="16"/>
      <c r="G218" s="16"/>
      <c r="H218" s="16"/>
      <c r="I218" s="16"/>
      <c r="J218" s="168">
        <f>E218</f>
        <v>18755683</v>
      </c>
      <c r="K218" s="25"/>
      <c r="L218" s="27"/>
    </row>
    <row r="219" spans="1:12">
      <c r="A219" s="7"/>
      <c r="C219" s="15"/>
      <c r="D219" s="16"/>
      <c r="E219" s="17"/>
      <c r="F219" s="16"/>
      <c r="G219" s="16"/>
      <c r="H219" s="16"/>
      <c r="I219" s="16"/>
      <c r="J219" s="17"/>
      <c r="K219" s="25"/>
      <c r="L219" s="27"/>
    </row>
    <row r="220" spans="1:12">
      <c r="A220" s="7" t="s">
        <v>366</v>
      </c>
      <c r="C220" s="15" t="s">
        <v>555</v>
      </c>
      <c r="D220" s="16"/>
      <c r="E220" s="17"/>
      <c r="F220" s="16"/>
      <c r="G220" s="16"/>
      <c r="H220" s="16"/>
      <c r="I220" s="16"/>
      <c r="J220" s="17"/>
      <c r="K220" s="25"/>
      <c r="L220" s="27"/>
    </row>
    <row r="221" spans="1:12">
      <c r="A221" s="7"/>
      <c r="C221" s="15" t="s">
        <v>353</v>
      </c>
      <c r="D221" s="16"/>
      <c r="E221" s="17"/>
      <c r="F221" s="16"/>
      <c r="G221" s="16"/>
      <c r="H221" s="16"/>
      <c r="I221" s="16"/>
      <c r="J221" s="17"/>
      <c r="K221" s="25"/>
      <c r="L221" s="27"/>
    </row>
    <row r="222" spans="1:12">
      <c r="A222" s="7"/>
      <c r="C222" s="15" t="s">
        <v>367</v>
      </c>
      <c r="D222" s="16"/>
      <c r="E222" s="166">
        <v>0</v>
      </c>
      <c r="F222" s="16"/>
      <c r="G222" s="16"/>
      <c r="H222" s="16"/>
      <c r="I222" s="16"/>
      <c r="J222" s="166">
        <f>E222</f>
        <v>0</v>
      </c>
      <c r="K222" s="25"/>
      <c r="L222" s="27"/>
    </row>
    <row r="223" spans="1:12" ht="19.5" customHeight="1" thickBot="1">
      <c r="A223" s="7">
        <v>31</v>
      </c>
      <c r="C223" s="15" t="s">
        <v>355</v>
      </c>
      <c r="D223" s="16"/>
      <c r="E223" s="167">
        <f>E214-E218-E222</f>
        <v>197470890.65551364</v>
      </c>
      <c r="F223" s="16"/>
      <c r="G223" s="16"/>
      <c r="H223" s="16"/>
      <c r="I223" s="16"/>
      <c r="J223" s="167">
        <f>J214-J218-J222</f>
        <v>34788076.773622856</v>
      </c>
      <c r="K223" s="25"/>
      <c r="L223" s="27"/>
    </row>
    <row r="224" spans="1:12" ht="16.5" thickTop="1">
      <c r="A224" s="7"/>
      <c r="C224" s="15" t="s">
        <v>368</v>
      </c>
      <c r="D224" s="16"/>
      <c r="E224" s="17"/>
      <c r="F224" s="16"/>
      <c r="G224" s="16"/>
      <c r="H224" s="16"/>
      <c r="I224" s="16"/>
      <c r="J224" s="17"/>
      <c r="K224" s="25"/>
      <c r="L224" s="27"/>
    </row>
    <row r="225" spans="1:12">
      <c r="A225" s="7"/>
      <c r="C225" s="15"/>
      <c r="D225" s="16"/>
      <c r="E225" s="17"/>
      <c r="F225" s="16"/>
      <c r="G225" s="16"/>
      <c r="H225" s="16"/>
      <c r="I225" s="16"/>
      <c r="J225" s="17"/>
      <c r="K225" s="25"/>
      <c r="L225" s="27"/>
    </row>
    <row r="226" spans="1:12">
      <c r="A226" s="7"/>
      <c r="C226" s="15"/>
      <c r="D226" s="16"/>
      <c r="E226" s="17"/>
      <c r="F226" s="16"/>
      <c r="G226" s="16"/>
      <c r="H226" s="16"/>
      <c r="I226" s="16"/>
      <c r="J226" s="17"/>
      <c r="K226" s="25"/>
      <c r="L226" s="27"/>
    </row>
    <row r="227" spans="1:12">
      <c r="A227" s="7"/>
      <c r="C227" s="15"/>
      <c r="D227" s="16"/>
      <c r="E227" s="17"/>
      <c r="F227" s="16"/>
      <c r="G227" s="16"/>
      <c r="H227" s="16"/>
      <c r="I227" s="16"/>
      <c r="J227" s="17"/>
      <c r="K227" s="25"/>
      <c r="L227" s="27"/>
    </row>
    <row r="228" spans="1:12">
      <c r="A228" s="7"/>
      <c r="C228" s="15"/>
      <c r="D228" s="16"/>
      <c r="E228" s="17"/>
      <c r="F228" s="16"/>
      <c r="G228" s="16"/>
      <c r="H228" s="16"/>
      <c r="I228" s="16"/>
      <c r="J228" s="17"/>
      <c r="K228" s="25"/>
      <c r="L228" s="27"/>
    </row>
    <row r="229" spans="1:12">
      <c r="A229" s="7"/>
      <c r="C229" s="15"/>
      <c r="D229" s="16"/>
      <c r="E229" s="17"/>
      <c r="F229" s="16"/>
      <c r="G229" s="16"/>
      <c r="H229" s="16"/>
      <c r="I229" s="16"/>
      <c r="J229" s="17"/>
      <c r="K229" s="25"/>
      <c r="L229" s="27"/>
    </row>
    <row r="230" spans="1:12">
      <c r="A230" s="7"/>
      <c r="C230" s="15"/>
      <c r="D230" s="16"/>
      <c r="E230" s="17"/>
      <c r="F230" s="16"/>
      <c r="G230" s="16"/>
      <c r="H230" s="16"/>
      <c r="I230" s="16"/>
      <c r="J230" s="17"/>
      <c r="K230" s="25"/>
      <c r="L230" s="27"/>
    </row>
    <row r="231" spans="1:12">
      <c r="A231" s="7"/>
      <c r="C231" s="15"/>
      <c r="D231" s="16"/>
      <c r="E231" s="17"/>
      <c r="F231" s="16"/>
      <c r="G231" s="16"/>
      <c r="H231" s="16"/>
      <c r="I231" s="16"/>
      <c r="J231" s="17"/>
      <c r="K231" s="25"/>
      <c r="L231" s="27"/>
    </row>
    <row r="232" spans="1:12">
      <c r="A232" s="7"/>
      <c r="C232" s="15"/>
      <c r="D232" s="16"/>
      <c r="E232" s="17"/>
      <c r="F232" s="16"/>
      <c r="G232" s="16"/>
      <c r="H232" s="16"/>
      <c r="I232" s="16"/>
      <c r="J232" s="17"/>
      <c r="K232" s="25"/>
      <c r="L232" s="27"/>
    </row>
    <row r="233" spans="1:12">
      <c r="A233" s="7"/>
      <c r="C233" s="15"/>
      <c r="D233" s="16"/>
      <c r="E233" s="17"/>
      <c r="F233" s="16"/>
      <c r="G233" s="16"/>
      <c r="H233" s="16"/>
      <c r="I233" s="16"/>
      <c r="J233" s="17"/>
      <c r="K233" s="25"/>
      <c r="L233" s="27"/>
    </row>
    <row r="234" spans="1:12">
      <c r="A234" s="7"/>
      <c r="C234" s="15"/>
      <c r="D234" s="16"/>
      <c r="E234" s="17"/>
      <c r="F234" s="16"/>
      <c r="G234" s="16"/>
      <c r="H234" s="16"/>
      <c r="I234" s="16"/>
      <c r="J234" s="17"/>
      <c r="K234" s="25"/>
      <c r="L234" s="27"/>
    </row>
    <row r="235" spans="1:12">
      <c r="A235" s="7"/>
      <c r="C235" s="15"/>
      <c r="D235" s="16"/>
      <c r="E235" s="17"/>
      <c r="F235" s="16"/>
      <c r="G235" s="16"/>
      <c r="H235" s="16"/>
      <c r="I235" s="16"/>
      <c r="J235" s="17"/>
      <c r="K235" s="25"/>
      <c r="L235" s="27"/>
    </row>
    <row r="236" spans="1:12">
      <c r="C236" s="14"/>
      <c r="D236" s="14"/>
      <c r="E236" s="23"/>
      <c r="F236" s="14"/>
      <c r="G236" s="14"/>
      <c r="H236" s="14"/>
      <c r="I236" s="24"/>
      <c r="J236" s="24"/>
      <c r="K236" s="25"/>
      <c r="L236" s="26" t="s">
        <v>59</v>
      </c>
    </row>
    <row r="237" spans="1:12">
      <c r="C237" s="14"/>
      <c r="D237" s="14"/>
      <c r="E237" s="23"/>
      <c r="F237" s="14"/>
      <c r="G237" s="14"/>
      <c r="H237" s="14"/>
      <c r="I237" s="24"/>
      <c r="J237" s="24"/>
      <c r="K237" s="25"/>
      <c r="L237" s="26"/>
    </row>
    <row r="238" spans="1:12">
      <c r="C238" s="14" t="s">
        <v>196</v>
      </c>
      <c r="D238" s="14"/>
      <c r="E238" s="23" t="s">
        <v>261</v>
      </c>
      <c r="F238" s="14"/>
      <c r="G238" s="14"/>
      <c r="H238" s="14"/>
      <c r="I238" s="24"/>
      <c r="J238" s="28" t="str">
        <f>J3</f>
        <v>For the 12 months ended 12/31/18</v>
      </c>
      <c r="K238" s="29"/>
      <c r="L238" s="29"/>
    </row>
    <row r="239" spans="1:12">
      <c r="C239" s="14"/>
      <c r="D239" s="16" t="s">
        <v>262</v>
      </c>
      <c r="E239" s="16" t="s">
        <v>218</v>
      </c>
      <c r="F239" s="16"/>
      <c r="G239" s="16"/>
      <c r="H239" s="16"/>
      <c r="I239" s="24"/>
      <c r="J239" s="24"/>
      <c r="K239" s="25"/>
      <c r="L239" s="27"/>
    </row>
    <row r="240" spans="1:12">
      <c r="A240" s="7"/>
      <c r="K240" s="16"/>
      <c r="L240" s="19"/>
    </row>
    <row r="241" spans="1:12">
      <c r="A241" s="7"/>
      <c r="E241" s="136" t="str">
        <f>E6</f>
        <v>VECTREN</v>
      </c>
      <c r="K241" s="16"/>
      <c r="L241" s="19"/>
    </row>
    <row r="242" spans="1:12">
      <c r="A242" s="7"/>
      <c r="D242" s="60" t="s">
        <v>48</v>
      </c>
      <c r="F242" s="25"/>
      <c r="G242" s="25"/>
      <c r="H242" s="25"/>
      <c r="I242" s="25"/>
      <c r="J242" s="25"/>
      <c r="K242" s="16"/>
      <c r="L242" s="19"/>
    </row>
    <row r="243" spans="1:12">
      <c r="A243" s="7" t="s">
        <v>263</v>
      </c>
      <c r="C243" s="60"/>
      <c r="D243" s="25"/>
      <c r="E243" s="25"/>
      <c r="F243" s="25"/>
      <c r="G243" s="25"/>
      <c r="H243" s="25"/>
      <c r="I243" s="25"/>
      <c r="J243" s="25"/>
      <c r="K243" s="16"/>
      <c r="L243" s="19"/>
    </row>
    <row r="244" spans="1:12" ht="16.5" thickBot="1">
      <c r="A244" s="31" t="s">
        <v>264</v>
      </c>
      <c r="C244" s="82" t="s">
        <v>15</v>
      </c>
      <c r="D244" s="27"/>
      <c r="E244" s="27"/>
      <c r="F244" s="27"/>
      <c r="G244" s="27"/>
      <c r="H244" s="27"/>
      <c r="I244" s="22"/>
      <c r="J244" s="22"/>
      <c r="K244" s="19"/>
      <c r="L244" s="19"/>
    </row>
    <row r="245" spans="1:12">
      <c r="A245" s="7"/>
      <c r="C245" s="82"/>
      <c r="D245" s="27"/>
      <c r="E245" s="27"/>
      <c r="F245" s="27"/>
      <c r="G245" s="27"/>
      <c r="H245" s="27"/>
      <c r="I245" s="27"/>
      <c r="J245" s="27"/>
      <c r="K245" s="19"/>
      <c r="L245" s="19"/>
    </row>
    <row r="246" spans="1:12">
      <c r="A246" s="7">
        <v>1</v>
      </c>
      <c r="C246" s="41" t="s">
        <v>163</v>
      </c>
      <c r="D246" s="27"/>
      <c r="E246" s="19"/>
      <c r="F246" s="19"/>
      <c r="G246" s="19"/>
      <c r="H246" s="19"/>
      <c r="I246" s="19"/>
      <c r="J246" s="19">
        <f>E92</f>
        <v>498780689.83327359</v>
      </c>
      <c r="K246" s="19"/>
      <c r="L246" s="19"/>
    </row>
    <row r="247" spans="1:12">
      <c r="A247" s="7">
        <v>2</v>
      </c>
      <c r="C247" s="41" t="s">
        <v>164</v>
      </c>
      <c r="D247" s="22"/>
      <c r="E247" s="22"/>
      <c r="F247" s="22"/>
      <c r="G247" s="22"/>
      <c r="H247" s="22"/>
      <c r="I247" s="22"/>
      <c r="J247" s="37">
        <v>0</v>
      </c>
      <c r="K247" s="19"/>
      <c r="L247" s="19"/>
    </row>
    <row r="248" spans="1:12" ht="16.5" thickBot="1">
      <c r="A248" s="7">
        <v>3</v>
      </c>
      <c r="C248" s="83" t="s">
        <v>193</v>
      </c>
      <c r="D248" s="84"/>
      <c r="E248" s="85"/>
      <c r="F248" s="19"/>
      <c r="G248" s="19"/>
      <c r="H248" s="86"/>
      <c r="I248" s="19"/>
      <c r="J248" s="62">
        <v>0</v>
      </c>
      <c r="K248" s="19"/>
      <c r="L248" s="19"/>
    </row>
    <row r="249" spans="1:12">
      <c r="A249" s="7">
        <v>4</v>
      </c>
      <c r="C249" s="41" t="s">
        <v>194</v>
      </c>
      <c r="D249" s="27"/>
      <c r="E249" s="19"/>
      <c r="F249" s="19"/>
      <c r="G249" s="19"/>
      <c r="H249" s="86"/>
      <c r="I249" s="19"/>
      <c r="J249" s="19">
        <f>J246-J247-J248</f>
        <v>498780689.83327359</v>
      </c>
      <c r="K249" s="19"/>
      <c r="L249" s="19"/>
    </row>
    <row r="250" spans="1:12">
      <c r="A250" s="7"/>
      <c r="C250" s="22"/>
      <c r="D250" s="27"/>
      <c r="E250" s="19"/>
      <c r="F250" s="19"/>
      <c r="G250" s="19"/>
      <c r="H250" s="86"/>
      <c r="I250" s="19"/>
      <c r="J250" s="22"/>
      <c r="K250" s="19"/>
      <c r="L250" s="19"/>
    </row>
    <row r="251" spans="1:12">
      <c r="A251" s="7">
        <v>5</v>
      </c>
      <c r="C251" s="41" t="s">
        <v>195</v>
      </c>
      <c r="D251" s="87"/>
      <c r="E251" s="88"/>
      <c r="F251" s="88"/>
      <c r="G251" s="88"/>
      <c r="H251" s="89"/>
      <c r="I251" s="19" t="s">
        <v>16</v>
      </c>
      <c r="J251" s="64">
        <f>IF(J246&gt;0,J249/J246,0)</f>
        <v>1</v>
      </c>
      <c r="K251" s="19"/>
      <c r="L251" s="19"/>
    </row>
    <row r="252" spans="1:12">
      <c r="A252" s="7"/>
      <c r="C252" s="22"/>
      <c r="D252" s="22"/>
      <c r="E252" s="22"/>
      <c r="F252" s="22"/>
      <c r="G252" s="22"/>
      <c r="H252" s="22"/>
      <c r="I252" s="22"/>
      <c r="J252" s="22"/>
      <c r="K252" s="19"/>
      <c r="L252" s="19"/>
    </row>
    <row r="253" spans="1:12">
      <c r="A253" s="7"/>
      <c r="C253" s="21" t="s">
        <v>17</v>
      </c>
      <c r="D253" s="22"/>
      <c r="E253" s="22"/>
      <c r="F253" s="22"/>
      <c r="G253" s="22"/>
      <c r="H253" s="22"/>
      <c r="I253" s="22"/>
      <c r="J253" s="22"/>
      <c r="K253" s="19"/>
      <c r="L253" s="19"/>
    </row>
    <row r="254" spans="1:12">
      <c r="A254" s="7"/>
      <c r="C254" s="22"/>
      <c r="D254" s="22"/>
      <c r="E254" s="22"/>
      <c r="F254" s="22"/>
      <c r="G254" s="22"/>
      <c r="H254" s="22"/>
      <c r="I254" s="22"/>
      <c r="J254" s="22"/>
      <c r="K254" s="19"/>
      <c r="L254" s="19"/>
    </row>
    <row r="255" spans="1:12">
      <c r="A255" s="7">
        <v>6</v>
      </c>
      <c r="C255" s="22" t="s">
        <v>106</v>
      </c>
      <c r="D255" s="22"/>
      <c r="E255" s="27"/>
      <c r="F255" s="27"/>
      <c r="G255" s="27"/>
      <c r="H255" s="55"/>
      <c r="I255" s="27"/>
      <c r="J255" s="19">
        <f>E169</f>
        <v>21624022.700000003</v>
      </c>
      <c r="K255" s="19"/>
      <c r="L255" s="19"/>
    </row>
    <row r="256" spans="1:12" ht="16.5" thickBot="1">
      <c r="A256" s="7">
        <v>7</v>
      </c>
      <c r="C256" s="83" t="s">
        <v>107</v>
      </c>
      <c r="D256" s="84"/>
      <c r="E256" s="85"/>
      <c r="F256" s="85"/>
      <c r="G256" s="19"/>
      <c r="H256" s="19"/>
      <c r="I256" s="19"/>
      <c r="J256" s="62">
        <f>('Workpapers (Pages 6 and 7)'!E8+'Workpapers (Pages 6 and 7)'!E9+'Workpapers (Pages 6 and 7)'!E10)*1000</f>
        <v>2448205.4000000004</v>
      </c>
      <c r="K256" s="19"/>
      <c r="L256" s="19"/>
    </row>
    <row r="257" spans="1:12">
      <c r="A257" s="7">
        <v>8</v>
      </c>
      <c r="C257" s="41" t="s">
        <v>60</v>
      </c>
      <c r="D257" s="87"/>
      <c r="E257" s="88"/>
      <c r="F257" s="88"/>
      <c r="G257" s="88"/>
      <c r="H257" s="89"/>
      <c r="I257" s="88"/>
      <c r="J257" s="19">
        <f>+J255-J256</f>
        <v>19175817.300000004</v>
      </c>
      <c r="K257" s="22"/>
    </row>
    <row r="258" spans="1:12">
      <c r="A258" s="7"/>
      <c r="C258" s="41"/>
      <c r="D258" s="27"/>
      <c r="E258" s="19"/>
      <c r="F258" s="19"/>
      <c r="G258" s="19"/>
      <c r="H258" s="19"/>
      <c r="I258" s="22"/>
      <c r="J258" s="22"/>
      <c r="K258" s="22"/>
    </row>
    <row r="259" spans="1:12">
      <c r="A259" s="7">
        <v>9</v>
      </c>
      <c r="C259" s="41" t="s">
        <v>103</v>
      </c>
      <c r="D259" s="27"/>
      <c r="E259" s="19"/>
      <c r="F259" s="19"/>
      <c r="G259" s="19"/>
      <c r="H259" s="19"/>
      <c r="I259" s="19"/>
      <c r="J259" s="72">
        <f>IF(J255&gt;0,J257/J255,0)</f>
        <v>0.886783072975594</v>
      </c>
      <c r="K259" s="22"/>
    </row>
    <row r="260" spans="1:12">
      <c r="A260" s="7">
        <v>10</v>
      </c>
      <c r="C260" s="41" t="s">
        <v>104</v>
      </c>
      <c r="D260" s="27"/>
      <c r="E260" s="19"/>
      <c r="F260" s="19"/>
      <c r="G260" s="19"/>
      <c r="H260" s="19"/>
      <c r="I260" s="27" t="s">
        <v>14</v>
      </c>
      <c r="J260" s="90">
        <f>J251</f>
        <v>1</v>
      </c>
      <c r="K260" s="22"/>
    </row>
    <row r="261" spans="1:12">
      <c r="A261" s="7">
        <v>11</v>
      </c>
      <c r="C261" s="41" t="s">
        <v>105</v>
      </c>
      <c r="D261" s="27"/>
      <c r="E261" s="27"/>
      <c r="F261" s="27"/>
      <c r="G261" s="27"/>
      <c r="H261" s="27"/>
      <c r="I261" s="27" t="s">
        <v>256</v>
      </c>
      <c r="J261" s="91">
        <f>+J260*J259</f>
        <v>0.886783072975594</v>
      </c>
      <c r="K261" s="22"/>
    </row>
    <row r="262" spans="1:12">
      <c r="A262" s="7"/>
      <c r="D262" s="25"/>
      <c r="E262" s="16"/>
      <c r="F262" s="16"/>
      <c r="G262" s="16"/>
      <c r="H262" s="92"/>
      <c r="I262" s="16"/>
    </row>
    <row r="263" spans="1:12">
      <c r="A263" s="7" t="s">
        <v>262</v>
      </c>
      <c r="C263" s="15" t="s">
        <v>87</v>
      </c>
      <c r="D263" s="16"/>
      <c r="E263" s="16"/>
      <c r="F263" s="16"/>
      <c r="G263" s="16"/>
      <c r="H263" s="16"/>
      <c r="I263" s="16"/>
      <c r="J263" s="16"/>
      <c r="K263" s="16"/>
      <c r="L263" s="19"/>
    </row>
    <row r="264" spans="1:12" ht="16.5" thickBot="1">
      <c r="A264" s="7" t="s">
        <v>262</v>
      </c>
      <c r="C264" s="15"/>
      <c r="D264" s="38" t="s">
        <v>61</v>
      </c>
      <c r="E264" s="93" t="s">
        <v>257</v>
      </c>
      <c r="F264" s="93" t="s">
        <v>14</v>
      </c>
      <c r="G264" s="16"/>
      <c r="H264" s="93" t="s">
        <v>258</v>
      </c>
      <c r="I264" s="16"/>
      <c r="J264" s="16"/>
      <c r="K264" s="16"/>
      <c r="L264" s="19"/>
    </row>
    <row r="265" spans="1:12">
      <c r="A265" s="7">
        <v>12</v>
      </c>
      <c r="C265" s="15" t="s">
        <v>250</v>
      </c>
      <c r="D265" s="16" t="s">
        <v>62</v>
      </c>
      <c r="E265" s="37">
        <f>'Workpapers (Page 8)'!E7*1000</f>
        <v>13592270.07</v>
      </c>
      <c r="F265" s="94">
        <v>0</v>
      </c>
      <c r="G265" s="94"/>
      <c r="H265" s="16">
        <f>E265*F265</f>
        <v>0</v>
      </c>
      <c r="I265" s="16"/>
      <c r="J265" s="16"/>
      <c r="K265" s="16"/>
      <c r="L265" s="19"/>
    </row>
    <row r="266" spans="1:12">
      <c r="A266" s="7">
        <v>13</v>
      </c>
      <c r="C266" s="15" t="s">
        <v>13</v>
      </c>
      <c r="D266" s="16" t="s">
        <v>270</v>
      </c>
      <c r="E266" s="37">
        <f>'Workpapers (Page 8)'!E8*1000</f>
        <v>2089816.1</v>
      </c>
      <c r="F266" s="94">
        <f>+J251</f>
        <v>1</v>
      </c>
      <c r="G266" s="94"/>
      <c r="H266" s="16">
        <f>E266*F266</f>
        <v>2089816.1</v>
      </c>
      <c r="I266" s="16"/>
      <c r="J266" s="16"/>
      <c r="K266" s="16"/>
      <c r="L266" s="19"/>
    </row>
    <row r="267" spans="1:12">
      <c r="A267" s="7">
        <v>14</v>
      </c>
      <c r="C267" s="15" t="s">
        <v>252</v>
      </c>
      <c r="D267" s="16" t="s">
        <v>271</v>
      </c>
      <c r="E267" s="37">
        <f>'Workpapers (Page 8)'!E9*1000</f>
        <v>5603089.3333719987</v>
      </c>
      <c r="F267" s="94">
        <v>0</v>
      </c>
      <c r="G267" s="94"/>
      <c r="H267" s="16">
        <f>E267*F267</f>
        <v>0</v>
      </c>
      <c r="I267" s="16"/>
      <c r="J267" s="95" t="s">
        <v>259</v>
      </c>
      <c r="K267" s="16"/>
      <c r="L267" s="19"/>
    </row>
    <row r="268" spans="1:12" ht="16.5" thickBot="1">
      <c r="A268" s="7">
        <v>15</v>
      </c>
      <c r="C268" s="15" t="s">
        <v>116</v>
      </c>
      <c r="D268" s="16" t="s">
        <v>272</v>
      </c>
      <c r="E268" s="62">
        <f>'Workpapers (Page 8)'!E10*1000</f>
        <v>2392509.386124</v>
      </c>
      <c r="F268" s="94">
        <v>0</v>
      </c>
      <c r="G268" s="94"/>
      <c r="H268" s="38">
        <f>E268*F268</f>
        <v>0</v>
      </c>
      <c r="I268" s="16"/>
      <c r="J268" s="31" t="s">
        <v>117</v>
      </c>
      <c r="K268" s="16"/>
      <c r="L268" s="19"/>
    </row>
    <row r="269" spans="1:12">
      <c r="A269" s="7">
        <v>16</v>
      </c>
      <c r="C269" s="15" t="s">
        <v>63</v>
      </c>
      <c r="D269" s="16"/>
      <c r="E269" s="16">
        <f>SUM(E265:E268)</f>
        <v>23677684.889495999</v>
      </c>
      <c r="F269" s="16"/>
      <c r="G269" s="16"/>
      <c r="H269" s="16">
        <f>SUM(H265:H268)</f>
        <v>2089816.1</v>
      </c>
      <c r="I269" s="52" t="s">
        <v>118</v>
      </c>
      <c r="J269" s="61">
        <f>IF(H269&gt;0,H269/E269,0)</f>
        <v>8.8260998055899195E-2</v>
      </c>
      <c r="K269" s="92" t="s">
        <v>118</v>
      </c>
      <c r="L269" s="19" t="s">
        <v>64</v>
      </c>
    </row>
    <row r="270" spans="1:12">
      <c r="A270" s="7"/>
      <c r="C270" s="15"/>
      <c r="D270" s="16"/>
      <c r="E270" s="16"/>
      <c r="F270" s="16"/>
      <c r="G270" s="16"/>
      <c r="H270" s="16"/>
      <c r="I270" s="16"/>
      <c r="J270" s="16"/>
      <c r="K270" s="16"/>
      <c r="L270" s="19"/>
    </row>
    <row r="271" spans="1:12">
      <c r="A271" s="7"/>
      <c r="C271" s="15" t="s">
        <v>88</v>
      </c>
      <c r="D271" s="16"/>
      <c r="E271" s="16"/>
      <c r="F271" s="16"/>
      <c r="G271" s="16"/>
      <c r="H271" s="16"/>
      <c r="I271" s="16"/>
      <c r="J271" s="16"/>
      <c r="K271" s="16"/>
      <c r="L271" s="19"/>
    </row>
    <row r="272" spans="1:12">
      <c r="A272" s="7"/>
      <c r="C272" s="15"/>
      <c r="D272" s="16"/>
      <c r="E272" s="56" t="s">
        <v>257</v>
      </c>
      <c r="F272" s="16"/>
      <c r="G272" s="16"/>
      <c r="H272" s="92" t="s">
        <v>119</v>
      </c>
      <c r="I272" s="74" t="s">
        <v>262</v>
      </c>
      <c r="J272" s="18" t="str">
        <f>+J267</f>
        <v>W&amp;S Allocator</v>
      </c>
    </row>
    <row r="273" spans="1:18">
      <c r="A273" s="7">
        <v>17</v>
      </c>
      <c r="C273" s="15" t="s">
        <v>120</v>
      </c>
      <c r="D273" s="16" t="s">
        <v>65</v>
      </c>
      <c r="E273" s="37">
        <f>'Workpapers (Page 8)'!E14*1000000</f>
        <v>2227533010</v>
      </c>
      <c r="F273" s="16"/>
      <c r="H273" s="7" t="s">
        <v>89</v>
      </c>
      <c r="I273" s="96"/>
      <c r="J273" s="7" t="s">
        <v>90</v>
      </c>
      <c r="K273" s="16"/>
      <c r="L273" s="55" t="s">
        <v>180</v>
      </c>
    </row>
    <row r="274" spans="1:18">
      <c r="A274" s="7">
        <v>18</v>
      </c>
      <c r="C274" s="15" t="s">
        <v>121</v>
      </c>
      <c r="D274" s="16" t="s">
        <v>136</v>
      </c>
      <c r="E274" s="37">
        <f>'Workpapers (Page 8)'!E15*1000000</f>
        <v>270264860</v>
      </c>
      <c r="F274" s="16"/>
      <c r="H274" s="35">
        <f>IF(E276&gt;0,E273/E276,0)</f>
        <v>0.89179874670963666</v>
      </c>
      <c r="I274" s="92" t="s">
        <v>122</v>
      </c>
      <c r="J274" s="35">
        <f>J269</f>
        <v>8.8260998055899195E-2</v>
      </c>
      <c r="K274" s="74" t="s">
        <v>118</v>
      </c>
      <c r="L274" s="97">
        <f>J274*H274</f>
        <v>7.8711047449592578E-2</v>
      </c>
    </row>
    <row r="275" spans="1:18" ht="16.5" thickBot="1">
      <c r="A275" s="7">
        <v>19</v>
      </c>
      <c r="C275" s="98" t="s">
        <v>123</v>
      </c>
      <c r="D275" s="38" t="s">
        <v>137</v>
      </c>
      <c r="E275" s="62">
        <v>0</v>
      </c>
      <c r="F275" s="16"/>
      <c r="G275" s="16"/>
      <c r="H275" s="16" t="s">
        <v>262</v>
      </c>
      <c r="I275" s="16"/>
      <c r="J275" s="16"/>
      <c r="K275" s="16"/>
      <c r="L275" s="19"/>
    </row>
    <row r="276" spans="1:18">
      <c r="A276" s="7">
        <v>20</v>
      </c>
      <c r="C276" s="15" t="s">
        <v>302</v>
      </c>
      <c r="D276" s="16"/>
      <c r="E276" s="16">
        <f>E273+E274+E275</f>
        <v>2497797870</v>
      </c>
      <c r="F276" s="16"/>
      <c r="G276" s="16"/>
      <c r="H276" s="16"/>
      <c r="I276" s="16"/>
      <c r="J276" s="16"/>
      <c r="K276" s="16"/>
      <c r="L276" s="19"/>
    </row>
    <row r="277" spans="1:18">
      <c r="A277" s="7"/>
      <c r="C277" s="15"/>
      <c r="D277" s="16"/>
      <c r="F277" s="16"/>
      <c r="G277" s="16"/>
      <c r="H277" s="16"/>
      <c r="I277" s="16"/>
      <c r="J277" s="16"/>
      <c r="K277" s="16"/>
      <c r="L277" s="19"/>
    </row>
    <row r="278" spans="1:18" ht="16.5" thickBot="1">
      <c r="A278" s="7"/>
      <c r="B278" s="24"/>
      <c r="C278" s="14" t="s">
        <v>91</v>
      </c>
      <c r="D278" s="16"/>
      <c r="E278" s="16"/>
      <c r="F278" s="16"/>
      <c r="G278" s="16"/>
      <c r="H278" s="16"/>
      <c r="I278" s="16"/>
      <c r="J278" s="93" t="s">
        <v>257</v>
      </c>
      <c r="K278" s="16"/>
      <c r="L278" s="19"/>
      <c r="M278" s="6"/>
      <c r="N278" s="2"/>
      <c r="O278" s="5"/>
      <c r="P278" s="6"/>
      <c r="Q278" s="2"/>
      <c r="R278" s="2"/>
    </row>
    <row r="279" spans="1:18">
      <c r="A279" s="7">
        <v>21</v>
      </c>
      <c r="B279" s="24"/>
      <c r="C279" s="24"/>
      <c r="D279" s="16" t="s">
        <v>3</v>
      </c>
      <c r="E279" s="16"/>
      <c r="F279" s="16"/>
      <c r="G279" s="16"/>
      <c r="H279" s="16"/>
      <c r="I279" s="16"/>
      <c r="J279" s="99">
        <f>'Workpapers (Page 9)'!E7*1000</f>
        <v>30439293.219701089</v>
      </c>
      <c r="K279" s="16"/>
      <c r="L279" s="19"/>
      <c r="M279" s="6"/>
      <c r="N279" s="2"/>
      <c r="O279" s="5"/>
      <c r="P279" s="6"/>
      <c r="Q279" s="2"/>
      <c r="R279" s="2"/>
    </row>
    <row r="280" spans="1:18">
      <c r="A280" s="7"/>
      <c r="C280" s="15"/>
      <c r="D280" s="16"/>
      <c r="E280" s="16"/>
      <c r="F280" s="16"/>
      <c r="G280" s="16"/>
      <c r="H280" s="16"/>
      <c r="I280" s="16"/>
      <c r="J280" s="16"/>
      <c r="K280" s="16"/>
      <c r="L280" s="19"/>
    </row>
    <row r="281" spans="1:18">
      <c r="A281" s="7">
        <v>22</v>
      </c>
      <c r="B281" s="24"/>
      <c r="C281" s="14"/>
      <c r="D281" s="16" t="s">
        <v>233</v>
      </c>
      <c r="E281" s="16"/>
      <c r="F281" s="16"/>
      <c r="G281" s="16"/>
      <c r="H281" s="16"/>
      <c r="I281" s="19"/>
      <c r="J281" s="100">
        <v>0</v>
      </c>
      <c r="K281" s="16"/>
      <c r="L281" s="19"/>
    </row>
    <row r="282" spans="1:18">
      <c r="A282" s="7"/>
      <c r="B282" s="24"/>
      <c r="C282" s="14"/>
      <c r="D282" s="16"/>
      <c r="E282" s="16"/>
      <c r="F282" s="16"/>
      <c r="G282" s="16"/>
      <c r="H282" s="16"/>
      <c r="I282" s="16"/>
      <c r="J282" s="16"/>
      <c r="K282" s="16"/>
      <c r="L282" s="19"/>
    </row>
    <row r="283" spans="1:18">
      <c r="A283" s="7"/>
      <c r="B283" s="24"/>
      <c r="C283" s="14" t="s">
        <v>30</v>
      </c>
      <c r="D283" s="16"/>
      <c r="E283" s="16"/>
      <c r="F283" s="16"/>
      <c r="G283" s="16"/>
      <c r="H283" s="16"/>
      <c r="I283" s="16"/>
      <c r="J283" s="16"/>
      <c r="K283" s="16"/>
      <c r="L283" s="19"/>
    </row>
    <row r="284" spans="1:18">
      <c r="A284" s="7">
        <v>23</v>
      </c>
      <c r="B284" s="24"/>
      <c r="C284" s="14"/>
      <c r="D284" s="16" t="s">
        <v>45</v>
      </c>
      <c r="E284" s="24"/>
      <c r="F284" s="16"/>
      <c r="G284" s="16"/>
      <c r="H284" s="16"/>
      <c r="I284" s="16"/>
      <c r="J284" s="37">
        <f>'Workpapers (Page 9)'!E13*1000</f>
        <v>1033527392.9999999</v>
      </c>
      <c r="K284" s="16"/>
      <c r="L284" s="19"/>
    </row>
    <row r="285" spans="1:18">
      <c r="A285" s="7">
        <v>24</v>
      </c>
      <c r="B285" s="24"/>
      <c r="C285" s="14"/>
      <c r="D285" s="16" t="s">
        <v>31</v>
      </c>
      <c r="E285" s="16"/>
      <c r="F285" s="16"/>
      <c r="G285" s="16"/>
      <c r="H285" s="16"/>
      <c r="I285" s="16"/>
      <c r="J285" s="101">
        <f>-E291</f>
        <v>0</v>
      </c>
      <c r="K285" s="16"/>
      <c r="L285" s="19"/>
    </row>
    <row r="286" spans="1:18" ht="16.5" thickBot="1">
      <c r="A286" s="7">
        <v>25</v>
      </c>
      <c r="B286" s="24"/>
      <c r="C286" s="14"/>
      <c r="D286" s="16" t="s">
        <v>4</v>
      </c>
      <c r="E286" s="16"/>
      <c r="F286" s="16"/>
      <c r="G286" s="16"/>
      <c r="H286" s="16"/>
      <c r="I286" s="16"/>
      <c r="J286" s="62">
        <v>0</v>
      </c>
      <c r="K286" s="16"/>
      <c r="L286" s="19"/>
    </row>
    <row r="287" spans="1:18">
      <c r="A287" s="7">
        <v>26</v>
      </c>
      <c r="B287" s="24"/>
      <c r="C287" s="24"/>
      <c r="D287" s="16" t="s">
        <v>32</v>
      </c>
      <c r="E287" s="24" t="s">
        <v>33</v>
      </c>
      <c r="F287" s="24"/>
      <c r="G287" s="24"/>
      <c r="H287" s="24"/>
      <c r="I287" s="24"/>
      <c r="J287" s="16">
        <f>+J284+J285+J286</f>
        <v>1033527392.9999999</v>
      </c>
      <c r="K287" s="16"/>
      <c r="L287" s="19"/>
    </row>
    <row r="288" spans="1:18">
      <c r="A288" s="7"/>
      <c r="C288" s="15"/>
      <c r="D288" s="16"/>
      <c r="E288" s="16"/>
      <c r="F288" s="16"/>
      <c r="G288" s="16"/>
      <c r="H288" s="92" t="s">
        <v>92</v>
      </c>
      <c r="I288" s="16"/>
      <c r="J288" s="16"/>
      <c r="K288" s="16"/>
      <c r="L288" s="19"/>
    </row>
    <row r="289" spans="1:14" ht="16.5" thickBot="1">
      <c r="A289" s="7"/>
      <c r="C289" s="15"/>
      <c r="D289" s="16"/>
      <c r="E289" s="31" t="s">
        <v>257</v>
      </c>
      <c r="F289" s="31" t="s">
        <v>27</v>
      </c>
      <c r="G289" s="16"/>
      <c r="H289" s="31" t="s">
        <v>93</v>
      </c>
      <c r="I289" s="16"/>
      <c r="J289" s="31" t="s">
        <v>94</v>
      </c>
      <c r="K289" s="16"/>
      <c r="L289" s="19"/>
    </row>
    <row r="290" spans="1:14">
      <c r="A290" s="7">
        <v>27</v>
      </c>
      <c r="C290" s="14" t="s">
        <v>273</v>
      </c>
      <c r="E290" s="37">
        <f>'Workpapers (Page 9)'!E6*1000</f>
        <v>691345280.22000003</v>
      </c>
      <c r="F290" s="102">
        <f>IF($E$293&gt;0,E290/$E$293,0)</f>
        <v>0.40080945738991486</v>
      </c>
      <c r="G290" s="103"/>
      <c r="H290" s="103">
        <f>IF(E290&gt;0,J279/E290,0)</f>
        <v>4.402907503760594E-2</v>
      </c>
      <c r="J290" s="103">
        <f>H290*F290</f>
        <v>1.7647269675202682E-2</v>
      </c>
      <c r="K290" s="104" t="s">
        <v>95</v>
      </c>
    </row>
    <row r="291" spans="1:14">
      <c r="A291" s="7">
        <v>28</v>
      </c>
      <c r="C291" s="14" t="s">
        <v>153</v>
      </c>
      <c r="E291" s="37">
        <v>0</v>
      </c>
      <c r="F291" s="102">
        <f>IF($E$293&gt;0,E291/$E$293,0)</f>
        <v>0</v>
      </c>
      <c r="G291" s="103"/>
      <c r="H291" s="103">
        <f>IF(E291&gt;0,J281/E291,0)</f>
        <v>0</v>
      </c>
      <c r="J291" s="103">
        <f>H291*F291</f>
        <v>0</v>
      </c>
      <c r="K291" s="16"/>
    </row>
    <row r="292" spans="1:14" ht="16.5" thickBot="1">
      <c r="A292" s="7">
        <v>29</v>
      </c>
      <c r="C292" s="14" t="s">
        <v>34</v>
      </c>
      <c r="E292" s="38">
        <f>J287</f>
        <v>1033527392.9999999</v>
      </c>
      <c r="F292" s="102">
        <f>IF($E$293&gt;0,E292/$E$293,0)</f>
        <v>0.5991905426100852</v>
      </c>
      <c r="G292" s="103"/>
      <c r="H292" s="105">
        <f>0.1032+0.005</f>
        <v>0.1082</v>
      </c>
      <c r="J292" s="106">
        <f>H292*F292</f>
        <v>6.483241671041122E-2</v>
      </c>
      <c r="K292" s="16"/>
    </row>
    <row r="293" spans="1:14">
      <c r="A293" s="7">
        <v>30</v>
      </c>
      <c r="C293" s="15" t="s">
        <v>35</v>
      </c>
      <c r="E293" s="16">
        <f>E292+E291+E290</f>
        <v>1724872673.2199998</v>
      </c>
      <c r="F293" s="16" t="s">
        <v>262</v>
      </c>
      <c r="G293" s="16"/>
      <c r="H293" s="16"/>
      <c r="I293" s="16"/>
      <c r="J293" s="103">
        <f>SUM(J290:J292)</f>
        <v>8.2479686385613898E-2</v>
      </c>
      <c r="K293" s="104" t="s">
        <v>96</v>
      </c>
    </row>
    <row r="294" spans="1:14">
      <c r="F294" s="16"/>
      <c r="G294" s="16"/>
      <c r="H294" s="16"/>
      <c r="I294" s="16"/>
    </row>
    <row r="295" spans="1:14">
      <c r="A295" s="7"/>
      <c r="L295" s="19"/>
    </row>
    <row r="296" spans="1:14">
      <c r="A296" s="7"/>
      <c r="C296" s="14" t="s">
        <v>124</v>
      </c>
      <c r="D296" s="24"/>
      <c r="E296" s="24"/>
      <c r="F296" s="24"/>
      <c r="G296" s="24"/>
      <c r="H296" s="24"/>
      <c r="I296" s="24"/>
      <c r="J296" s="24"/>
      <c r="K296" s="24"/>
      <c r="L296" s="41"/>
    </row>
    <row r="297" spans="1:14" ht="16.5" thickBot="1">
      <c r="A297" s="7"/>
      <c r="C297" s="14"/>
      <c r="D297" s="14"/>
      <c r="E297" s="14"/>
      <c r="F297" s="14"/>
      <c r="G297" s="14"/>
      <c r="H297" s="14"/>
      <c r="I297" s="14"/>
      <c r="J297" s="31" t="s">
        <v>125</v>
      </c>
      <c r="K297" s="107"/>
    </row>
    <row r="298" spans="1:14">
      <c r="A298" s="7"/>
      <c r="C298" s="14" t="s">
        <v>126</v>
      </c>
      <c r="D298" s="24"/>
      <c r="E298" s="24" t="s">
        <v>36</v>
      </c>
      <c r="F298" s="24" t="s">
        <v>209</v>
      </c>
      <c r="G298" s="24"/>
      <c r="H298" s="108" t="s">
        <v>262</v>
      </c>
      <c r="I298" s="109"/>
      <c r="J298" s="110"/>
      <c r="K298" s="110"/>
    </row>
    <row r="299" spans="1:14">
      <c r="A299" s="7">
        <v>31</v>
      </c>
      <c r="C299" s="12" t="s">
        <v>37</v>
      </c>
      <c r="D299" s="24"/>
      <c r="E299" s="24"/>
      <c r="G299" s="24"/>
      <c r="I299" s="109"/>
      <c r="J299" s="111">
        <v>0</v>
      </c>
      <c r="K299" s="112"/>
    </row>
    <row r="300" spans="1:14" ht="16.5" thickBot="1">
      <c r="A300" s="7">
        <v>32</v>
      </c>
      <c r="C300" s="65" t="s">
        <v>297</v>
      </c>
      <c r="D300" s="113"/>
      <c r="E300" s="65"/>
      <c r="F300" s="114"/>
      <c r="G300" s="114"/>
      <c r="H300" s="114"/>
      <c r="I300" s="24"/>
      <c r="J300" s="115">
        <v>0</v>
      </c>
      <c r="K300" s="116"/>
    </row>
    <row r="301" spans="1:14">
      <c r="A301" s="7">
        <v>33</v>
      </c>
      <c r="C301" s="12" t="s">
        <v>127</v>
      </c>
      <c r="D301" s="25"/>
      <c r="F301" s="24"/>
      <c r="G301" s="24"/>
      <c r="H301" s="24"/>
      <c r="I301" s="24"/>
      <c r="J301" s="117">
        <f>+J299-J300</f>
        <v>0</v>
      </c>
      <c r="K301" s="112"/>
      <c r="M301" s="13"/>
      <c r="N301" s="13"/>
    </row>
    <row r="302" spans="1:14">
      <c r="A302" s="7"/>
      <c r="C302" s="12" t="s">
        <v>262</v>
      </c>
      <c r="D302" s="25"/>
      <c r="F302" s="24"/>
      <c r="G302" s="24"/>
      <c r="H302" s="50"/>
      <c r="I302" s="24"/>
      <c r="J302" s="118" t="s">
        <v>262</v>
      </c>
      <c r="K302" s="110"/>
      <c r="L302" s="119"/>
      <c r="M302" s="13"/>
      <c r="N302" s="13"/>
    </row>
    <row r="303" spans="1:14">
      <c r="A303" s="7">
        <v>34</v>
      </c>
      <c r="C303" s="14" t="s">
        <v>97</v>
      </c>
      <c r="D303" s="25"/>
      <c r="F303" s="24"/>
      <c r="G303" s="24"/>
      <c r="H303" s="120"/>
      <c r="I303" s="24"/>
      <c r="J303" s="121">
        <v>0</v>
      </c>
      <c r="K303" s="110"/>
      <c r="L303" s="119"/>
      <c r="M303" s="119"/>
      <c r="N303" s="10" t="s">
        <v>154</v>
      </c>
    </row>
    <row r="304" spans="1:14">
      <c r="A304" s="7"/>
      <c r="D304" s="24"/>
      <c r="E304" s="24"/>
      <c r="F304" s="24"/>
      <c r="G304" s="24"/>
      <c r="H304" s="24"/>
      <c r="I304" s="24"/>
      <c r="J304" s="118"/>
      <c r="K304" s="110"/>
      <c r="L304" s="119"/>
      <c r="M304" s="119"/>
      <c r="N304" s="9"/>
    </row>
    <row r="305" spans="1:14">
      <c r="C305" s="14" t="s">
        <v>274</v>
      </c>
      <c r="D305" s="24"/>
      <c r="E305" s="24" t="s">
        <v>298</v>
      </c>
      <c r="F305" s="24"/>
      <c r="G305" s="24"/>
      <c r="H305" s="24"/>
      <c r="I305" s="24"/>
      <c r="L305" s="122"/>
      <c r="M305" s="122"/>
      <c r="N305" s="9"/>
    </row>
    <row r="306" spans="1:14">
      <c r="A306" s="7">
        <v>35</v>
      </c>
      <c r="C306" s="14" t="s">
        <v>128</v>
      </c>
      <c r="D306" s="16"/>
      <c r="E306" s="16"/>
      <c r="F306" s="16"/>
      <c r="G306" s="16"/>
      <c r="H306" s="16"/>
      <c r="I306" s="16"/>
      <c r="J306" s="123">
        <f>+'Workpapers (Page 11)'!C11+'Workpapers (Page 11)'!C14+'Workpapers (Page 11)'!C15+'Workpapers (Page 11)'!C16</f>
        <v>24965879.162176292</v>
      </c>
      <c r="K306" s="124"/>
      <c r="L306" s="122"/>
      <c r="M306" s="122"/>
      <c r="N306" s="10" t="s">
        <v>155</v>
      </c>
    </row>
    <row r="307" spans="1:14">
      <c r="A307" s="7">
        <v>36</v>
      </c>
      <c r="C307" s="142" t="s">
        <v>299</v>
      </c>
      <c r="D307" s="143"/>
      <c r="E307" s="143"/>
      <c r="F307" s="143"/>
      <c r="G307" s="143"/>
      <c r="H307" s="24"/>
      <c r="I307" s="24"/>
      <c r="J307" s="123">
        <f>+'Workpapers (Page 11)'!C22+'Workpapers (Page 11)'!C14+'Workpapers (Page 11)'!C15+'Workpapers (Page 11)'!C16</f>
        <v>5559584.8039872069</v>
      </c>
      <c r="L307" s="125"/>
      <c r="M307" s="125"/>
      <c r="N307" s="10" t="s">
        <v>156</v>
      </c>
    </row>
    <row r="308" spans="1:14">
      <c r="A308" s="7" t="s">
        <v>356</v>
      </c>
      <c r="C308" s="142" t="s">
        <v>553</v>
      </c>
      <c r="D308" s="143"/>
      <c r="E308" s="143"/>
      <c r="F308" s="143"/>
      <c r="G308" s="143"/>
      <c r="H308" s="24"/>
      <c r="I308" s="24"/>
      <c r="J308" s="123">
        <f>'Workpapers (Page 11)'!C25</f>
        <v>18357361.358189084</v>
      </c>
      <c r="L308" s="125"/>
      <c r="M308" s="10"/>
      <c r="N308" s="13"/>
    </row>
    <row r="309" spans="1:14" s="109" customFormat="1" ht="16.5" thickBot="1">
      <c r="A309" s="7" t="s">
        <v>369</v>
      </c>
      <c r="B309" s="12"/>
      <c r="C309" s="160" t="s">
        <v>554</v>
      </c>
      <c r="D309" s="161"/>
      <c r="E309" s="161"/>
      <c r="F309" s="161"/>
      <c r="G309" s="161"/>
      <c r="H309" s="161"/>
      <c r="I309" s="24"/>
      <c r="J309" s="162">
        <v>0</v>
      </c>
      <c r="L309" s="144"/>
      <c r="M309" s="145"/>
      <c r="N309" s="146"/>
    </row>
    <row r="310" spans="1:14">
      <c r="A310" s="7">
        <v>37</v>
      </c>
      <c r="C310" s="12" t="s">
        <v>370</v>
      </c>
      <c r="D310" s="7"/>
      <c r="E310" s="16"/>
      <c r="F310" s="16"/>
      <c r="G310" s="16"/>
      <c r="H310" s="16"/>
      <c r="I310" s="24"/>
      <c r="J310" s="127">
        <f>+J306-J309-J308-J307</f>
        <v>1048933.0000000019</v>
      </c>
      <c r="K310" s="124"/>
      <c r="L310" s="128"/>
      <c r="M310" s="13"/>
      <c r="N310" s="13"/>
    </row>
    <row r="311" spans="1:14">
      <c r="A311" s="7"/>
      <c r="C311" s="126"/>
      <c r="D311" s="7"/>
      <c r="E311" s="16"/>
      <c r="F311" s="16"/>
      <c r="G311" s="16"/>
      <c r="H311" s="16"/>
      <c r="I311" s="24"/>
      <c r="J311" s="127"/>
      <c r="K311" s="124"/>
      <c r="L311" s="128"/>
      <c r="M311" s="13"/>
      <c r="N311" s="13"/>
    </row>
    <row r="312" spans="1:14">
      <c r="A312" s="7"/>
      <c r="C312" s="126"/>
      <c r="D312" s="7"/>
      <c r="E312" s="16"/>
      <c r="F312" s="16"/>
      <c r="G312" s="16"/>
      <c r="H312" s="16"/>
      <c r="I312" s="24"/>
      <c r="J312" s="127"/>
      <c r="K312" s="124"/>
      <c r="L312" s="128"/>
      <c r="M312" s="13"/>
      <c r="N312" s="13"/>
    </row>
    <row r="313" spans="1:14">
      <c r="C313" s="14"/>
      <c r="D313" s="14"/>
      <c r="E313" s="23"/>
      <c r="F313" s="14"/>
      <c r="G313" s="14"/>
      <c r="H313" s="14"/>
      <c r="I313" s="24"/>
      <c r="J313" s="24"/>
      <c r="K313" s="25"/>
      <c r="L313" s="26" t="s">
        <v>300</v>
      </c>
    </row>
    <row r="314" spans="1:14">
      <c r="C314" s="14"/>
      <c r="D314" s="14"/>
      <c r="E314" s="23"/>
      <c r="F314" s="14"/>
      <c r="G314" s="14"/>
      <c r="H314" s="14"/>
      <c r="I314" s="24"/>
      <c r="J314" s="24"/>
      <c r="K314" s="25"/>
      <c r="L314" s="26"/>
    </row>
    <row r="315" spans="1:14">
      <c r="C315" s="14" t="s">
        <v>196</v>
      </c>
      <c r="D315" s="14"/>
      <c r="E315" s="23" t="s">
        <v>261</v>
      </c>
      <c r="F315" s="14"/>
      <c r="G315" s="14"/>
      <c r="H315" s="14"/>
      <c r="I315" s="24"/>
      <c r="J315" s="28" t="str">
        <f>J3</f>
        <v>For the 12 months ended 12/31/18</v>
      </c>
      <c r="K315" s="29"/>
      <c r="L315" s="29"/>
    </row>
    <row r="316" spans="1:14">
      <c r="C316" s="14"/>
      <c r="D316" s="16" t="s">
        <v>262</v>
      </c>
      <c r="E316" s="16" t="s">
        <v>218</v>
      </c>
      <c r="F316" s="16"/>
      <c r="G316" s="16"/>
      <c r="H316" s="16"/>
      <c r="I316" s="24"/>
      <c r="J316" s="24"/>
      <c r="K316" s="25"/>
      <c r="L316" s="27"/>
    </row>
    <row r="317" spans="1:14">
      <c r="A317" s="7"/>
      <c r="B317" s="24"/>
      <c r="C317" s="126"/>
      <c r="D317" s="7"/>
      <c r="E317" s="16"/>
      <c r="F317" s="16"/>
      <c r="G317" s="16"/>
      <c r="H317" s="16"/>
      <c r="I317" s="24"/>
      <c r="J317" s="129"/>
      <c r="K317" s="110"/>
      <c r="L317" s="128"/>
    </row>
    <row r="318" spans="1:14">
      <c r="A318" s="7"/>
      <c r="B318" s="24"/>
      <c r="C318" s="126"/>
      <c r="D318" s="7"/>
      <c r="E318" s="135" t="str">
        <f>E6</f>
        <v>VECTREN</v>
      </c>
      <c r="F318" s="16"/>
      <c r="G318" s="16"/>
      <c r="H318" s="16"/>
      <c r="I318" s="24"/>
      <c r="J318" s="129"/>
      <c r="K318" s="110"/>
      <c r="L318" s="128"/>
    </row>
    <row r="319" spans="1:14">
      <c r="A319" s="7"/>
      <c r="B319" s="24"/>
      <c r="C319" s="126"/>
      <c r="D319" s="7"/>
      <c r="E319" s="16"/>
      <c r="F319" s="16"/>
      <c r="G319" s="16"/>
      <c r="H319" s="16"/>
      <c r="I319" s="24"/>
      <c r="J319" s="129"/>
      <c r="K319" s="110"/>
      <c r="L319" s="128"/>
    </row>
    <row r="320" spans="1:14">
      <c r="A320" s="7"/>
      <c r="B320" s="24"/>
      <c r="C320" s="14" t="s">
        <v>185</v>
      </c>
      <c r="D320" s="7"/>
      <c r="E320" s="16"/>
      <c r="F320" s="16"/>
      <c r="G320" s="16"/>
      <c r="H320" s="16"/>
      <c r="I320" s="24"/>
      <c r="J320" s="16"/>
      <c r="K320" s="24"/>
      <c r="L320" s="19"/>
    </row>
    <row r="321" spans="1:12">
      <c r="A321" s="7"/>
      <c r="B321" s="24"/>
      <c r="C321" s="14" t="s">
        <v>2</v>
      </c>
      <c r="D321" s="7"/>
      <c r="E321" s="16"/>
      <c r="F321" s="16"/>
      <c r="G321" s="16"/>
      <c r="H321" s="16"/>
      <c r="I321" s="24"/>
      <c r="J321" s="16"/>
      <c r="K321" s="24"/>
      <c r="L321" s="19"/>
    </row>
    <row r="322" spans="1:12">
      <c r="A322" s="7" t="s">
        <v>18</v>
      </c>
      <c r="B322" s="24"/>
      <c r="C322" s="14"/>
      <c r="D322" s="24"/>
      <c r="E322" s="16"/>
      <c r="F322" s="16"/>
      <c r="G322" s="16"/>
      <c r="H322" s="16"/>
      <c r="I322" s="24"/>
      <c r="J322" s="16"/>
      <c r="K322" s="24"/>
      <c r="L322" s="19"/>
    </row>
    <row r="323" spans="1:12" ht="16.5" thickBot="1">
      <c r="A323" s="31" t="s">
        <v>19</v>
      </c>
      <c r="B323" s="24"/>
      <c r="C323" s="14"/>
      <c r="D323" s="24"/>
      <c r="E323" s="16"/>
      <c r="F323" s="16"/>
      <c r="G323" s="16"/>
      <c r="H323" s="16"/>
      <c r="I323" s="24"/>
      <c r="J323" s="16"/>
      <c r="K323" s="24"/>
      <c r="L323" s="19"/>
    </row>
    <row r="324" spans="1:12">
      <c r="A324" s="7" t="s">
        <v>20</v>
      </c>
      <c r="B324" s="24"/>
      <c r="C324" s="82" t="s">
        <v>363</v>
      </c>
      <c r="D324" s="41"/>
      <c r="E324" s="19"/>
      <c r="F324" s="19"/>
      <c r="G324" s="19"/>
      <c r="H324" s="19"/>
      <c r="I324" s="41"/>
      <c r="J324" s="19"/>
      <c r="K324" s="41"/>
      <c r="L324" s="19"/>
    </row>
    <row r="325" spans="1:12">
      <c r="A325" s="7" t="s">
        <v>21</v>
      </c>
      <c r="B325" s="24"/>
      <c r="C325" s="82" t="s">
        <v>364</v>
      </c>
      <c r="D325" s="41"/>
      <c r="E325" s="19"/>
      <c r="F325" s="19"/>
      <c r="G325" s="19"/>
      <c r="H325" s="19"/>
      <c r="I325" s="41"/>
      <c r="J325" s="19"/>
      <c r="K325" s="41"/>
      <c r="L325" s="19"/>
    </row>
    <row r="326" spans="1:12">
      <c r="A326" s="7" t="s">
        <v>42</v>
      </c>
      <c r="B326" s="24"/>
      <c r="C326" s="82" t="s">
        <v>365</v>
      </c>
      <c r="D326" s="41"/>
      <c r="E326" s="41"/>
      <c r="F326" s="41"/>
      <c r="G326" s="41"/>
      <c r="H326" s="41"/>
      <c r="I326" s="41"/>
      <c r="J326" s="19"/>
      <c r="K326" s="41"/>
      <c r="L326" s="41"/>
    </row>
    <row r="327" spans="1:12">
      <c r="A327" s="7" t="s">
        <v>43</v>
      </c>
      <c r="B327" s="24"/>
      <c r="C327" s="82" t="s">
        <v>365</v>
      </c>
      <c r="D327" s="41"/>
      <c r="E327" s="41"/>
      <c r="F327" s="41"/>
      <c r="G327" s="41"/>
      <c r="H327" s="41"/>
      <c r="I327" s="41"/>
      <c r="J327" s="19"/>
      <c r="K327" s="41"/>
      <c r="L327" s="41"/>
    </row>
    <row r="328" spans="1:12">
      <c r="A328" s="7" t="s">
        <v>44</v>
      </c>
      <c r="B328" s="24"/>
      <c r="C328" s="41" t="s">
        <v>239</v>
      </c>
      <c r="D328" s="41"/>
      <c r="E328" s="41"/>
      <c r="F328" s="41"/>
      <c r="G328" s="41"/>
      <c r="H328" s="41"/>
      <c r="I328" s="41"/>
      <c r="J328" s="41"/>
      <c r="K328" s="41"/>
      <c r="L328" s="41"/>
    </row>
    <row r="329" spans="1:12">
      <c r="A329" s="7" t="s">
        <v>288</v>
      </c>
      <c r="B329" s="24"/>
      <c r="C329" s="41" t="s">
        <v>230</v>
      </c>
      <c r="D329" s="41"/>
      <c r="E329" s="41"/>
      <c r="F329" s="41"/>
      <c r="G329" s="41"/>
      <c r="H329" s="41"/>
      <c r="I329" s="41"/>
      <c r="J329" s="41"/>
      <c r="K329" s="41"/>
      <c r="L329" s="41"/>
    </row>
    <row r="330" spans="1:12">
      <c r="A330" s="7"/>
      <c r="B330" s="24"/>
      <c r="C330" s="41" t="s">
        <v>231</v>
      </c>
      <c r="D330" s="41"/>
      <c r="E330" s="41"/>
      <c r="F330" s="41"/>
      <c r="G330" s="41"/>
      <c r="H330" s="41"/>
      <c r="I330" s="41"/>
      <c r="J330" s="41"/>
      <c r="K330" s="41"/>
      <c r="L330" s="41"/>
    </row>
    <row r="331" spans="1:12">
      <c r="A331" s="7"/>
      <c r="B331" s="24"/>
      <c r="C331" s="41" t="s">
        <v>52</v>
      </c>
      <c r="D331" s="41"/>
      <c r="E331" s="41"/>
      <c r="F331" s="41"/>
      <c r="G331" s="41"/>
      <c r="H331" s="41"/>
      <c r="I331" s="41"/>
      <c r="J331" s="41"/>
      <c r="K331" s="41"/>
      <c r="L331" s="41"/>
    </row>
    <row r="332" spans="1:12">
      <c r="A332" s="7"/>
      <c r="B332" s="24"/>
      <c r="C332" s="41" t="s">
        <v>565</v>
      </c>
      <c r="D332" s="41"/>
      <c r="E332" s="41"/>
      <c r="F332" s="41"/>
      <c r="G332" s="41"/>
      <c r="H332" s="41"/>
      <c r="I332" s="41"/>
      <c r="J332" s="41"/>
      <c r="K332" s="41"/>
      <c r="L332" s="41"/>
    </row>
    <row r="333" spans="1:12">
      <c r="A333" s="7"/>
      <c r="B333" s="24"/>
      <c r="C333" s="41" t="s">
        <v>566</v>
      </c>
      <c r="D333" s="41"/>
      <c r="E333" s="41"/>
      <c r="F333" s="41"/>
      <c r="G333" s="41"/>
      <c r="H333" s="41"/>
      <c r="I333" s="41"/>
      <c r="J333" s="41"/>
      <c r="K333" s="41"/>
      <c r="L333" s="41"/>
    </row>
    <row r="334" spans="1:12">
      <c r="A334" s="7"/>
      <c r="B334" s="24"/>
      <c r="C334" s="41" t="s">
        <v>567</v>
      </c>
      <c r="D334" s="41"/>
      <c r="E334" s="41"/>
      <c r="F334" s="41"/>
      <c r="G334" s="41"/>
      <c r="H334" s="41"/>
      <c r="I334" s="41"/>
      <c r="J334" s="41"/>
      <c r="K334" s="41"/>
      <c r="L334" s="41"/>
    </row>
    <row r="335" spans="1:12">
      <c r="A335" s="7"/>
      <c r="B335" s="24"/>
      <c r="C335" s="41" t="s">
        <v>568</v>
      </c>
      <c r="D335" s="41"/>
      <c r="E335" s="41"/>
      <c r="F335" s="41"/>
      <c r="G335" s="41"/>
      <c r="H335" s="41"/>
      <c r="I335" s="41"/>
      <c r="J335" s="41"/>
      <c r="K335" s="41"/>
      <c r="L335" s="41"/>
    </row>
    <row r="336" spans="1:12">
      <c r="A336" s="7" t="s">
        <v>289</v>
      </c>
      <c r="B336" s="24"/>
      <c r="C336" s="41" t="s">
        <v>23</v>
      </c>
      <c r="D336" s="41"/>
      <c r="E336" s="41"/>
      <c r="F336" s="41"/>
      <c r="G336" s="41"/>
      <c r="H336" s="41"/>
      <c r="I336" s="41"/>
      <c r="J336" s="41"/>
      <c r="K336" s="41"/>
      <c r="L336" s="41"/>
    </row>
    <row r="337" spans="1:14">
      <c r="A337" s="7" t="s">
        <v>296</v>
      </c>
      <c r="B337" s="24"/>
      <c r="C337" s="41" t="s">
        <v>86</v>
      </c>
      <c r="D337" s="41"/>
      <c r="E337" s="41"/>
      <c r="F337" s="41"/>
      <c r="G337" s="41"/>
      <c r="H337" s="41"/>
      <c r="I337" s="41"/>
      <c r="J337" s="41"/>
      <c r="K337" s="41"/>
      <c r="L337" s="41"/>
    </row>
    <row r="338" spans="1:14">
      <c r="A338" s="7"/>
      <c r="B338" s="24"/>
      <c r="C338" s="41" t="s">
        <v>46</v>
      </c>
      <c r="D338" s="41"/>
      <c r="E338" s="41"/>
      <c r="F338" s="41"/>
      <c r="G338" s="41"/>
      <c r="H338" s="41"/>
      <c r="I338" s="41"/>
      <c r="J338" s="41"/>
      <c r="K338" s="41"/>
      <c r="L338" s="41"/>
    </row>
    <row r="339" spans="1:14">
      <c r="A339" s="7" t="s">
        <v>50</v>
      </c>
      <c r="B339" s="24"/>
      <c r="C339" s="41" t="s">
        <v>24</v>
      </c>
      <c r="D339" s="41"/>
      <c r="E339" s="41"/>
      <c r="F339" s="41"/>
      <c r="G339" s="41"/>
      <c r="H339" s="41"/>
      <c r="I339" s="41"/>
      <c r="J339" s="41"/>
      <c r="K339" s="41"/>
      <c r="L339" s="41"/>
    </row>
    <row r="340" spans="1:14">
      <c r="A340" s="7"/>
      <c r="B340" s="24"/>
      <c r="C340" s="22" t="s">
        <v>309</v>
      </c>
      <c r="D340" s="41"/>
      <c r="E340" s="41"/>
      <c r="F340" s="41"/>
      <c r="G340" s="41"/>
      <c r="H340" s="41"/>
      <c r="I340" s="41"/>
      <c r="J340" s="41"/>
      <c r="K340" s="41"/>
      <c r="L340" s="41"/>
    </row>
    <row r="341" spans="1:14">
      <c r="A341" s="7"/>
      <c r="B341" s="24"/>
      <c r="C341" s="41" t="s">
        <v>310</v>
      </c>
      <c r="D341" s="41"/>
      <c r="E341" s="41"/>
      <c r="F341" s="41"/>
      <c r="G341" s="41"/>
      <c r="H341" s="41"/>
      <c r="I341" s="41"/>
      <c r="J341" s="41"/>
      <c r="K341" s="41"/>
      <c r="L341" s="41"/>
    </row>
    <row r="342" spans="1:14">
      <c r="A342" s="7" t="s">
        <v>51</v>
      </c>
      <c r="B342" s="24"/>
      <c r="C342" s="41" t="s">
        <v>49</v>
      </c>
      <c r="D342" s="41"/>
      <c r="E342" s="41"/>
      <c r="F342" s="41"/>
      <c r="G342" s="41"/>
      <c r="H342" s="41"/>
      <c r="I342" s="41"/>
      <c r="J342" s="41"/>
      <c r="K342" s="41"/>
      <c r="L342" s="41"/>
    </row>
    <row r="343" spans="1:14">
      <c r="A343" s="7"/>
      <c r="B343" s="24"/>
      <c r="C343" s="41" t="s">
        <v>237</v>
      </c>
      <c r="D343" s="41"/>
      <c r="E343" s="41"/>
      <c r="F343" s="41"/>
      <c r="G343" s="41"/>
      <c r="H343" s="41"/>
      <c r="I343" s="41"/>
      <c r="J343" s="41"/>
      <c r="K343" s="41"/>
      <c r="L343" s="41"/>
    </row>
    <row r="344" spans="1:14">
      <c r="A344" s="7"/>
      <c r="B344" s="24"/>
      <c r="C344" s="41" t="s">
        <v>238</v>
      </c>
      <c r="D344" s="41"/>
      <c r="E344" s="41"/>
      <c r="F344" s="41"/>
      <c r="G344" s="41"/>
      <c r="H344" s="41"/>
      <c r="I344" s="41"/>
      <c r="J344" s="41"/>
      <c r="K344" s="41"/>
      <c r="L344" s="41"/>
    </row>
    <row r="345" spans="1:14">
      <c r="A345" s="7" t="s">
        <v>80</v>
      </c>
      <c r="B345" s="24"/>
      <c r="C345" s="41" t="s">
        <v>303</v>
      </c>
      <c r="D345" s="41"/>
      <c r="E345" s="41"/>
      <c r="F345" s="41"/>
      <c r="G345" s="41"/>
      <c r="H345" s="41"/>
      <c r="I345" s="41"/>
      <c r="J345" s="41"/>
      <c r="K345" s="41"/>
      <c r="L345" s="41"/>
    </row>
    <row r="346" spans="1:14">
      <c r="A346" s="7"/>
      <c r="B346" s="24"/>
      <c r="C346" s="41" t="s">
        <v>304</v>
      </c>
      <c r="D346" s="41"/>
      <c r="E346" s="41"/>
      <c r="F346" s="41"/>
      <c r="G346" s="41"/>
      <c r="H346" s="41"/>
      <c r="I346" s="41"/>
      <c r="J346" s="41"/>
      <c r="K346" s="41"/>
      <c r="L346" s="41"/>
    </row>
    <row r="347" spans="1:14">
      <c r="A347" s="7"/>
      <c r="B347" s="24"/>
      <c r="C347" s="41" t="s">
        <v>305</v>
      </c>
      <c r="D347" s="41"/>
      <c r="E347" s="41"/>
      <c r="F347" s="41"/>
      <c r="G347" s="41"/>
      <c r="H347" s="41"/>
      <c r="I347" s="41"/>
      <c r="J347" s="41"/>
      <c r="K347" s="41"/>
      <c r="L347" s="41"/>
    </row>
    <row r="348" spans="1:14">
      <c r="A348" s="7"/>
      <c r="B348" s="24"/>
      <c r="C348" s="41" t="s">
        <v>98</v>
      </c>
      <c r="D348" s="41"/>
      <c r="E348" s="41"/>
      <c r="F348" s="41"/>
      <c r="G348" s="41"/>
      <c r="H348" s="41"/>
      <c r="I348" s="41"/>
      <c r="J348" s="41"/>
      <c r="K348" s="41"/>
      <c r="L348" s="41"/>
    </row>
    <row r="349" spans="1:14">
      <c r="A349" s="7"/>
      <c r="B349" s="24"/>
      <c r="C349" s="41" t="s">
        <v>311</v>
      </c>
      <c r="D349" s="41"/>
      <c r="E349" s="41"/>
      <c r="F349" s="41"/>
      <c r="G349" s="41"/>
      <c r="H349" s="41"/>
      <c r="I349" s="41"/>
      <c r="J349" s="41"/>
      <c r="K349" s="41"/>
      <c r="L349" s="41"/>
    </row>
    <row r="350" spans="1:14">
      <c r="A350" s="7"/>
      <c r="B350" s="24"/>
      <c r="C350" s="41" t="s">
        <v>99</v>
      </c>
      <c r="D350" s="41"/>
      <c r="E350" s="41"/>
      <c r="F350" s="41"/>
      <c r="G350" s="41"/>
      <c r="H350" s="41"/>
      <c r="I350" s="41"/>
      <c r="J350" s="41"/>
      <c r="K350" s="41"/>
      <c r="L350" s="41"/>
    </row>
    <row r="351" spans="1:14">
      <c r="A351" s="7" t="s">
        <v>262</v>
      </c>
      <c r="B351" s="24"/>
      <c r="C351" s="41" t="s">
        <v>100</v>
      </c>
      <c r="D351" s="41" t="s">
        <v>101</v>
      </c>
      <c r="E351" s="130">
        <v>0.35</v>
      </c>
      <c r="F351" s="41"/>
      <c r="G351" s="41"/>
      <c r="H351" s="41"/>
      <c r="I351" s="41"/>
      <c r="J351" s="41"/>
      <c r="K351" s="41"/>
      <c r="L351" s="41"/>
    </row>
    <row r="352" spans="1:14">
      <c r="A352" s="7"/>
      <c r="B352" s="24"/>
      <c r="C352" s="41"/>
      <c r="D352" s="41" t="s">
        <v>102</v>
      </c>
      <c r="E352" s="257">
        <v>5.8749999999999997E-2</v>
      </c>
      <c r="F352" s="41" t="s">
        <v>240</v>
      </c>
      <c r="G352" s="41"/>
      <c r="H352" s="41"/>
      <c r="I352" s="41"/>
      <c r="J352" s="41" t="s">
        <v>601</v>
      </c>
      <c r="K352" s="41"/>
      <c r="L352" s="41"/>
      <c r="M352" s="11"/>
      <c r="N352" s="11" t="s">
        <v>159</v>
      </c>
    </row>
    <row r="353" spans="1:12">
      <c r="A353" s="7"/>
      <c r="B353" s="24"/>
      <c r="C353" s="41"/>
      <c r="D353" s="41" t="s">
        <v>241</v>
      </c>
      <c r="E353" s="130">
        <v>0</v>
      </c>
      <c r="F353" s="41" t="s">
        <v>242</v>
      </c>
      <c r="G353" s="41"/>
      <c r="H353" s="41"/>
      <c r="I353" s="41"/>
      <c r="J353" s="41"/>
      <c r="K353" s="41"/>
      <c r="L353" s="41"/>
    </row>
    <row r="354" spans="1:12">
      <c r="A354" s="7" t="s">
        <v>81</v>
      </c>
      <c r="B354" s="24"/>
      <c r="C354" s="41" t="s">
        <v>275</v>
      </c>
      <c r="D354" s="41"/>
      <c r="E354" s="41"/>
      <c r="F354" s="41"/>
      <c r="G354" s="41"/>
      <c r="H354" s="41"/>
      <c r="I354" s="41"/>
      <c r="J354" s="131"/>
      <c r="K354" s="131"/>
      <c r="L354" s="41"/>
    </row>
    <row r="355" spans="1:12">
      <c r="A355" s="7" t="s">
        <v>82</v>
      </c>
      <c r="B355" s="24"/>
      <c r="C355" s="41" t="s">
        <v>47</v>
      </c>
      <c r="D355" s="41"/>
      <c r="E355" s="41"/>
      <c r="F355" s="41"/>
      <c r="G355" s="41"/>
      <c r="H355" s="41"/>
      <c r="I355" s="41"/>
      <c r="J355" s="41"/>
      <c r="K355" s="41"/>
      <c r="L355" s="41"/>
    </row>
    <row r="356" spans="1:12">
      <c r="A356" s="7"/>
      <c r="B356" s="24"/>
      <c r="C356" s="41" t="s">
        <v>79</v>
      </c>
      <c r="D356" s="41"/>
      <c r="E356" s="41"/>
      <c r="F356" s="41"/>
      <c r="G356" s="41"/>
      <c r="H356" s="41"/>
      <c r="I356" s="41"/>
      <c r="J356" s="41"/>
      <c r="K356" s="41"/>
      <c r="L356" s="41"/>
    </row>
    <row r="357" spans="1:12">
      <c r="A357" s="7" t="s">
        <v>83</v>
      </c>
      <c r="B357" s="24"/>
      <c r="C357" s="41" t="s">
        <v>290</v>
      </c>
      <c r="D357" s="41"/>
      <c r="E357" s="41"/>
      <c r="F357" s="41"/>
      <c r="G357" s="41"/>
      <c r="H357" s="41"/>
      <c r="I357" s="41"/>
      <c r="J357" s="41"/>
      <c r="K357" s="41"/>
      <c r="L357" s="41"/>
    </row>
    <row r="358" spans="1:12">
      <c r="A358" s="7"/>
      <c r="B358" s="24"/>
      <c r="C358" s="41" t="s">
        <v>115</v>
      </c>
      <c r="D358" s="41"/>
      <c r="E358" s="41"/>
      <c r="F358" s="41"/>
      <c r="G358" s="41"/>
      <c r="H358" s="41"/>
      <c r="I358" s="41"/>
      <c r="J358" s="41"/>
      <c r="K358" s="41"/>
      <c r="L358" s="41"/>
    </row>
    <row r="359" spans="1:12">
      <c r="A359" s="7"/>
      <c r="B359" s="24"/>
      <c r="C359" s="41" t="s">
        <v>295</v>
      </c>
      <c r="D359" s="41"/>
      <c r="E359" s="41"/>
      <c r="F359" s="41"/>
      <c r="G359" s="41"/>
      <c r="H359" s="41"/>
      <c r="I359" s="41"/>
      <c r="J359" s="41"/>
      <c r="K359" s="41"/>
      <c r="L359" s="41"/>
    </row>
    <row r="360" spans="1:12">
      <c r="A360" s="7" t="s">
        <v>85</v>
      </c>
      <c r="B360" s="24"/>
      <c r="C360" s="41" t="s">
        <v>243</v>
      </c>
      <c r="D360" s="41"/>
      <c r="E360" s="41"/>
      <c r="F360" s="41"/>
      <c r="G360" s="41"/>
      <c r="H360" s="41"/>
      <c r="I360" s="41"/>
      <c r="J360" s="41"/>
      <c r="K360" s="41"/>
      <c r="L360" s="41"/>
    </row>
    <row r="361" spans="1:12">
      <c r="A361" s="7" t="s">
        <v>222</v>
      </c>
      <c r="B361" s="24"/>
      <c r="C361" s="41" t="s">
        <v>199</v>
      </c>
      <c r="D361" s="41"/>
      <c r="E361" s="41"/>
      <c r="F361" s="41"/>
      <c r="G361" s="41"/>
      <c r="H361" s="41"/>
      <c r="I361" s="41"/>
      <c r="J361" s="41"/>
      <c r="K361" s="41"/>
      <c r="L361" s="41"/>
    </row>
    <row r="362" spans="1:12">
      <c r="A362" s="7"/>
      <c r="B362" s="24"/>
      <c r="C362" s="41" t="s">
        <v>200</v>
      </c>
      <c r="D362" s="41"/>
      <c r="E362" s="41"/>
      <c r="F362" s="41"/>
      <c r="G362" s="41"/>
      <c r="H362" s="41"/>
      <c r="I362" s="41"/>
      <c r="J362" s="41"/>
      <c r="K362" s="41"/>
      <c r="L362" s="41"/>
    </row>
    <row r="363" spans="1:12">
      <c r="A363" s="7"/>
      <c r="B363" s="24"/>
      <c r="C363" s="41" t="s">
        <v>556</v>
      </c>
      <c r="D363" s="41"/>
      <c r="E363" s="41"/>
      <c r="F363" s="41"/>
      <c r="G363" s="41"/>
      <c r="H363" s="41"/>
      <c r="I363" s="41"/>
      <c r="J363" s="41"/>
      <c r="K363" s="41"/>
      <c r="L363" s="41"/>
    </row>
    <row r="364" spans="1:12">
      <c r="A364" s="7"/>
      <c r="B364" s="24"/>
      <c r="C364" s="41" t="s">
        <v>557</v>
      </c>
      <c r="D364" s="41"/>
      <c r="E364" s="41"/>
      <c r="F364" s="41"/>
      <c r="G364" s="41"/>
      <c r="H364" s="41"/>
      <c r="I364" s="41"/>
      <c r="J364" s="41"/>
      <c r="K364" s="41"/>
      <c r="L364" s="41"/>
    </row>
    <row r="365" spans="1:12">
      <c r="A365" s="7" t="s">
        <v>224</v>
      </c>
      <c r="B365" s="24"/>
      <c r="C365" s="41" t="s">
        <v>84</v>
      </c>
      <c r="D365" s="41"/>
      <c r="E365" s="41"/>
      <c r="F365" s="41"/>
      <c r="G365" s="41"/>
      <c r="H365" s="41"/>
      <c r="I365" s="41"/>
      <c r="J365" s="41"/>
      <c r="K365" s="41"/>
      <c r="L365" s="41"/>
    </row>
    <row r="366" spans="1:12">
      <c r="A366" s="7"/>
      <c r="B366" s="24"/>
      <c r="C366" s="41" t="s">
        <v>228</v>
      </c>
      <c r="D366" s="41"/>
      <c r="E366" s="41"/>
      <c r="F366" s="41"/>
      <c r="G366" s="41"/>
      <c r="H366" s="41"/>
      <c r="I366" s="41"/>
      <c r="J366" s="41"/>
      <c r="K366" s="41"/>
      <c r="L366" s="41"/>
    </row>
    <row r="367" spans="1:12">
      <c r="A367" s="7" t="s">
        <v>244</v>
      </c>
      <c r="B367" s="24"/>
      <c r="C367" s="41" t="s">
        <v>221</v>
      </c>
      <c r="D367" s="41"/>
      <c r="E367" s="41"/>
      <c r="F367" s="41"/>
      <c r="G367" s="41"/>
      <c r="H367" s="41"/>
      <c r="I367" s="41"/>
      <c r="J367" s="41"/>
      <c r="K367" s="41"/>
      <c r="L367" s="41"/>
    </row>
    <row r="368" spans="1:12">
      <c r="A368" s="7" t="s">
        <v>245</v>
      </c>
      <c r="B368" s="24"/>
      <c r="C368" s="41" t="s">
        <v>223</v>
      </c>
      <c r="D368" s="41"/>
      <c r="E368" s="41"/>
      <c r="F368" s="41"/>
      <c r="G368" s="41"/>
      <c r="H368" s="41"/>
      <c r="I368" s="41"/>
      <c r="J368" s="41"/>
      <c r="K368" s="41"/>
      <c r="L368" s="41"/>
    </row>
    <row r="369" spans="1:12">
      <c r="B369" s="24"/>
      <c r="C369" s="41" t="s">
        <v>219</v>
      </c>
      <c r="D369" s="41"/>
      <c r="E369" s="41"/>
      <c r="F369" s="41"/>
      <c r="G369" s="41"/>
      <c r="H369" s="41"/>
      <c r="I369" s="41"/>
      <c r="J369" s="41"/>
      <c r="K369" s="41"/>
      <c r="L369" s="41"/>
    </row>
    <row r="370" spans="1:12">
      <c r="C370" s="27" t="s">
        <v>215</v>
      </c>
      <c r="D370" s="27"/>
      <c r="E370" s="27"/>
      <c r="F370" s="27"/>
      <c r="G370" s="27"/>
      <c r="H370" s="27"/>
      <c r="I370" s="27"/>
      <c r="J370" s="27"/>
      <c r="K370" s="27"/>
      <c r="L370" s="27"/>
    </row>
    <row r="371" spans="1:12">
      <c r="A371" s="47" t="s">
        <v>216</v>
      </c>
      <c r="C371" s="27" t="s">
        <v>225</v>
      </c>
      <c r="D371" s="27"/>
      <c r="E371" s="27"/>
      <c r="F371" s="27"/>
      <c r="G371" s="27"/>
      <c r="H371" s="27"/>
      <c r="I371" s="27"/>
      <c r="J371" s="27"/>
      <c r="K371" s="27"/>
      <c r="L371" s="27"/>
    </row>
    <row r="372" spans="1:12">
      <c r="C372" s="27" t="s">
        <v>226</v>
      </c>
      <c r="D372" s="132"/>
      <c r="E372" s="27"/>
      <c r="F372" s="27"/>
      <c r="G372" s="27"/>
      <c r="H372" s="27"/>
      <c r="I372" s="27"/>
      <c r="J372" s="27"/>
      <c r="K372" s="27"/>
      <c r="L372" s="27"/>
    </row>
    <row r="373" spans="1:12">
      <c r="C373" s="27" t="s">
        <v>246</v>
      </c>
      <c r="D373" s="27"/>
      <c r="E373" s="27"/>
      <c r="F373" s="27"/>
      <c r="G373" s="27"/>
      <c r="H373" s="27"/>
      <c r="I373" s="27"/>
      <c r="J373" s="27"/>
      <c r="K373" s="27"/>
      <c r="L373" s="27"/>
    </row>
    <row r="374" spans="1:12">
      <c r="C374" s="27" t="s">
        <v>247</v>
      </c>
      <c r="D374" s="27"/>
      <c r="E374" s="132"/>
      <c r="F374" s="27"/>
      <c r="G374" s="27"/>
      <c r="H374" s="27"/>
      <c r="I374" s="27"/>
      <c r="J374" s="27"/>
      <c r="K374" s="27"/>
      <c r="L374" s="27"/>
    </row>
    <row r="375" spans="1:12">
      <c r="A375" s="47" t="s">
        <v>25</v>
      </c>
      <c r="C375" s="27" t="s">
        <v>220</v>
      </c>
      <c r="D375" s="25"/>
      <c r="E375" s="25"/>
      <c r="F375" s="25"/>
      <c r="G375" s="25"/>
      <c r="H375" s="25"/>
      <c r="I375" s="25"/>
      <c r="J375" s="27"/>
      <c r="K375" s="27"/>
      <c r="L375" s="27"/>
    </row>
    <row r="376" spans="1:12" s="22" customFormat="1">
      <c r="A376" s="133" t="s">
        <v>165</v>
      </c>
      <c r="C376" s="27" t="s">
        <v>546</v>
      </c>
      <c r="D376" s="27"/>
      <c r="E376" s="27"/>
      <c r="F376" s="27"/>
      <c r="G376" s="27"/>
      <c r="H376" s="27"/>
      <c r="I376" s="27"/>
      <c r="J376" s="27"/>
      <c r="K376" s="27"/>
      <c r="L376" s="27"/>
    </row>
    <row r="377" spans="1:12" s="22" customFormat="1">
      <c r="A377" s="133"/>
      <c r="C377" s="27" t="s">
        <v>291</v>
      </c>
      <c r="D377" s="27"/>
      <c r="E377" s="27"/>
      <c r="F377" s="27"/>
      <c r="G377" s="27"/>
      <c r="H377" s="27"/>
      <c r="I377" s="27"/>
      <c r="J377" s="27"/>
      <c r="K377" s="27"/>
      <c r="L377" s="27"/>
    </row>
    <row r="378" spans="1:12">
      <c r="A378" s="133" t="s">
        <v>308</v>
      </c>
      <c r="B378" s="22"/>
      <c r="C378" s="27" t="s">
        <v>318</v>
      </c>
      <c r="D378" s="27"/>
      <c r="E378" s="27"/>
      <c r="F378" s="27"/>
      <c r="G378" s="27"/>
      <c r="H378" s="27"/>
      <c r="I378" s="27"/>
      <c r="J378" s="27"/>
      <c r="K378" s="148"/>
      <c r="L378" s="148"/>
    </row>
    <row r="379" spans="1:12">
      <c r="A379" s="133"/>
      <c r="B379" s="22"/>
      <c r="C379" s="27" t="s">
        <v>316</v>
      </c>
      <c r="D379" s="27"/>
      <c r="E379" s="27"/>
      <c r="F379" s="27"/>
      <c r="G379" s="27"/>
      <c r="H379" s="27"/>
      <c r="I379" s="27"/>
      <c r="J379" s="27"/>
      <c r="K379" s="148"/>
      <c r="L379" s="148"/>
    </row>
    <row r="380" spans="1:12">
      <c r="A380" s="133"/>
      <c r="B380" s="22"/>
      <c r="C380" s="27" t="s">
        <v>317</v>
      </c>
      <c r="D380" s="27"/>
      <c r="E380" s="27"/>
      <c r="F380" s="27"/>
      <c r="G380" s="27"/>
      <c r="H380" s="27"/>
      <c r="I380" s="27"/>
      <c r="J380" s="27"/>
      <c r="K380" s="148"/>
      <c r="L380" s="148"/>
    </row>
    <row r="381" spans="1:12">
      <c r="A381" s="133" t="s">
        <v>333</v>
      </c>
      <c r="B381" s="22"/>
      <c r="C381" s="27" t="s">
        <v>336</v>
      </c>
      <c r="D381" s="27"/>
      <c r="E381" s="27"/>
      <c r="F381" s="27"/>
      <c r="G381" s="27"/>
      <c r="H381" s="27"/>
      <c r="I381" s="27"/>
      <c r="J381" s="27"/>
      <c r="K381" s="27"/>
      <c r="L381" s="27"/>
    </row>
    <row r="382" spans="1:12">
      <c r="A382" s="133" t="s">
        <v>334</v>
      </c>
      <c r="B382" s="22"/>
      <c r="C382" s="27" t="s">
        <v>337</v>
      </c>
      <c r="D382" s="27"/>
      <c r="E382" s="27"/>
      <c r="F382" s="27"/>
      <c r="G382" s="27"/>
      <c r="H382" s="27"/>
      <c r="I382" s="27"/>
      <c r="J382" s="27"/>
      <c r="K382" s="27"/>
      <c r="L382" s="27"/>
    </row>
    <row r="383" spans="1:12">
      <c r="A383" s="133" t="s">
        <v>335</v>
      </c>
      <c r="B383" s="22"/>
      <c r="C383" s="27" t="s">
        <v>338</v>
      </c>
      <c r="D383" s="27"/>
      <c r="E383" s="27"/>
      <c r="F383" s="27"/>
      <c r="G383" s="27"/>
      <c r="H383" s="27"/>
      <c r="I383" s="27"/>
      <c r="J383" s="27"/>
      <c r="K383" s="27"/>
      <c r="L383" s="27"/>
    </row>
    <row r="384" spans="1:12">
      <c r="A384" s="133"/>
      <c r="B384" s="22"/>
      <c r="C384" s="27" t="s">
        <v>339</v>
      </c>
      <c r="D384" s="27"/>
      <c r="E384" s="27" t="s">
        <v>344</v>
      </c>
      <c r="F384" s="27"/>
      <c r="G384" s="292">
        <v>1012333.3333333334</v>
      </c>
      <c r="H384" s="27"/>
      <c r="I384" s="27"/>
      <c r="J384" s="27"/>
      <c r="K384" s="27"/>
      <c r="L384" s="27"/>
    </row>
    <row r="385" spans="1:12">
      <c r="A385" s="133"/>
      <c r="B385" s="22"/>
      <c r="C385" s="27" t="s">
        <v>340</v>
      </c>
      <c r="D385" s="27"/>
      <c r="E385" s="27" t="s">
        <v>344</v>
      </c>
      <c r="F385" s="149"/>
      <c r="G385" s="293">
        <v>1016210.3650795489</v>
      </c>
      <c r="H385" s="27"/>
      <c r="I385" s="27"/>
      <c r="J385" s="27"/>
      <c r="K385" s="27"/>
      <c r="L385" s="27"/>
    </row>
    <row r="386" spans="1:12">
      <c r="A386" s="133"/>
      <c r="B386" s="22"/>
      <c r="C386" s="27" t="s">
        <v>341</v>
      </c>
      <c r="D386" s="27"/>
      <c r="E386" s="27"/>
      <c r="F386" s="150"/>
      <c r="G386" s="294">
        <f>+G385-G384</f>
        <v>3877.0317462155363</v>
      </c>
      <c r="H386" s="27"/>
      <c r="I386" s="27"/>
      <c r="J386" s="27"/>
      <c r="K386" s="27"/>
      <c r="L386" s="27"/>
    </row>
    <row r="387" spans="1:12">
      <c r="A387" s="133"/>
      <c r="B387" s="22"/>
      <c r="C387" s="27" t="s">
        <v>342</v>
      </c>
      <c r="D387" s="27"/>
      <c r="E387" s="27" t="s">
        <v>345</v>
      </c>
      <c r="F387" s="27"/>
      <c r="G387" s="295">
        <v>30.887813270378235</v>
      </c>
      <c r="H387" s="27"/>
      <c r="I387" s="27"/>
      <c r="J387" s="27"/>
      <c r="K387" s="27"/>
      <c r="L387" s="27"/>
    </row>
    <row r="388" spans="1:12">
      <c r="A388" s="133"/>
      <c r="B388" s="22"/>
      <c r="C388" s="27" t="s">
        <v>343</v>
      </c>
      <c r="D388" s="27"/>
      <c r="E388" s="27"/>
      <c r="F388" s="27"/>
      <c r="G388" s="244">
        <f>+G386*G387</f>
        <v>119753.03262043394</v>
      </c>
      <c r="H388" s="27"/>
      <c r="I388" s="27"/>
      <c r="J388" s="27"/>
      <c r="K388" s="27"/>
      <c r="L388" s="27"/>
    </row>
    <row r="389" spans="1:12" s="141" customFormat="1">
      <c r="A389" s="47" t="s">
        <v>357</v>
      </c>
      <c r="B389" s="12"/>
      <c r="C389" s="27" t="s">
        <v>547</v>
      </c>
      <c r="D389" s="25"/>
      <c r="E389" s="25"/>
      <c r="F389" s="25"/>
      <c r="G389" s="25"/>
      <c r="H389" s="25"/>
      <c r="I389" s="25"/>
      <c r="J389" s="27"/>
      <c r="K389" s="147"/>
      <c r="L389" s="147"/>
    </row>
    <row r="390" spans="1:12" s="141" customFormat="1">
      <c r="A390" s="47" t="s">
        <v>358</v>
      </c>
      <c r="B390" s="12"/>
      <c r="C390" s="27" t="s">
        <v>548</v>
      </c>
      <c r="D390" s="25"/>
      <c r="E390" s="25"/>
      <c r="F390" s="25"/>
      <c r="G390" s="25"/>
      <c r="H390" s="25"/>
      <c r="I390" s="25"/>
      <c r="J390" s="27"/>
      <c r="K390" s="147"/>
      <c r="L390" s="147"/>
    </row>
    <row r="391" spans="1:12" s="141" customFormat="1">
      <c r="A391" s="47"/>
      <c r="B391" s="12"/>
      <c r="C391" s="27" t="s">
        <v>549</v>
      </c>
      <c r="D391" s="25"/>
      <c r="E391" s="25"/>
      <c r="F391" s="25"/>
      <c r="G391" s="25"/>
      <c r="H391" s="25"/>
      <c r="I391" s="25"/>
      <c r="J391" s="27"/>
      <c r="K391" s="147"/>
      <c r="L391" s="147"/>
    </row>
    <row r="392" spans="1:12">
      <c r="A392" s="47" t="s">
        <v>371</v>
      </c>
      <c r="C392" s="27" t="s">
        <v>550</v>
      </c>
      <c r="D392" s="25"/>
      <c r="E392" s="25"/>
      <c r="F392" s="25"/>
      <c r="G392" s="25"/>
      <c r="H392" s="25"/>
      <c r="I392" s="25"/>
      <c r="J392" s="27"/>
      <c r="K392" s="27"/>
      <c r="L392" s="27"/>
    </row>
    <row r="393" spans="1:12">
      <c r="A393" s="47" t="s">
        <v>372</v>
      </c>
      <c r="C393" s="27" t="s">
        <v>551</v>
      </c>
      <c r="D393" s="25"/>
      <c r="E393" s="25"/>
      <c r="F393" s="25"/>
      <c r="G393" s="25"/>
      <c r="H393" s="25"/>
      <c r="I393" s="25"/>
      <c r="J393" s="27"/>
      <c r="K393" s="27"/>
      <c r="L393" s="27"/>
    </row>
    <row r="394" spans="1:12">
      <c r="A394" s="47"/>
      <c r="C394" s="27" t="s">
        <v>552</v>
      </c>
      <c r="D394" s="25"/>
      <c r="E394" s="25"/>
      <c r="F394" s="25"/>
      <c r="G394" s="25"/>
      <c r="H394" s="25"/>
      <c r="I394" s="25"/>
      <c r="J394" s="27"/>
      <c r="K394" s="27"/>
      <c r="L394" s="27"/>
    </row>
    <row r="395" spans="1:12">
      <c r="A395" s="245" t="s">
        <v>529</v>
      </c>
      <c r="B395" s="245"/>
      <c r="C395" s="246" t="s">
        <v>530</v>
      </c>
      <c r="D395" s="25"/>
      <c r="E395" s="25"/>
      <c r="F395" s="25"/>
      <c r="G395" s="25"/>
      <c r="H395" s="25"/>
      <c r="I395" s="25"/>
      <c r="J395" s="25"/>
      <c r="K395" s="25"/>
      <c r="L395" s="27"/>
    </row>
    <row r="396" spans="1:12">
      <c r="A396" s="245" t="s">
        <v>531</v>
      </c>
      <c r="B396" s="247"/>
      <c r="C396" s="248" t="s">
        <v>532</v>
      </c>
      <c r="D396" s="25"/>
      <c r="E396" s="25"/>
      <c r="F396" s="25"/>
      <c r="G396" s="25"/>
      <c r="H396" s="25"/>
      <c r="I396" s="25"/>
      <c r="J396" s="25"/>
      <c r="K396" s="25"/>
      <c r="L396" s="27"/>
    </row>
    <row r="397" spans="1:12">
      <c r="C397" s="22"/>
    </row>
  </sheetData>
  <mergeCells count="1">
    <mergeCell ref="N1:P4"/>
  </mergeCells>
  <phoneticPr fontId="0" type="noConversion"/>
  <pageMargins left="0.5" right="0.3" top="0.79" bottom="0.75" header="0.5" footer="0.5"/>
  <pageSetup scale="52" fitToHeight="5" orientation="portrait" horizontalDpi="300" verticalDpi="300" r:id="rId1"/>
  <headerFooter alignWithMargins="0"/>
  <rowBreaks count="4" manualBreakCount="4">
    <brk id="78" max="11" man="1"/>
    <brk id="156" max="11" man="1"/>
    <brk id="235" max="11" man="1"/>
    <brk id="31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6"/>
  <sheetViews>
    <sheetView zoomScale="80" zoomScaleNormal="80" workbookViewId="0"/>
  </sheetViews>
  <sheetFormatPr defaultRowHeight="17.25"/>
  <cols>
    <col min="1" max="1" width="6.5546875" style="170" customWidth="1"/>
    <col min="2" max="2" width="23.33203125" style="170" customWidth="1"/>
    <col min="3" max="7" width="18.77734375" style="170" customWidth="1"/>
    <col min="8" max="8" width="12.6640625" style="170" bestFit="1" customWidth="1"/>
    <col min="9" max="16384" width="8.88671875" style="170"/>
  </cols>
  <sheetData>
    <row r="1" spans="1:8" ht="18.75">
      <c r="A1" s="169" t="s">
        <v>373</v>
      </c>
      <c r="B1" s="289"/>
      <c r="C1" s="289"/>
      <c r="D1" s="289"/>
      <c r="E1" s="289"/>
      <c r="F1" s="289"/>
      <c r="G1" s="289"/>
    </row>
    <row r="2" spans="1:8">
      <c r="A2" s="170" t="s">
        <v>374</v>
      </c>
      <c r="B2" s="289"/>
      <c r="C2" s="289"/>
      <c r="D2" s="289"/>
      <c r="E2" s="289"/>
      <c r="F2" s="289"/>
      <c r="G2" s="289"/>
    </row>
    <row r="3" spans="1:8">
      <c r="A3" s="170" t="s">
        <v>386</v>
      </c>
      <c r="B3" s="289"/>
      <c r="C3" s="289"/>
      <c r="D3" s="289"/>
      <c r="E3" s="289"/>
      <c r="F3" s="289"/>
      <c r="G3" s="289"/>
    </row>
    <row r="4" spans="1:8" ht="18.75">
      <c r="A4" s="169"/>
      <c r="B4" s="289"/>
      <c r="C4" s="289"/>
      <c r="D4" s="289"/>
      <c r="E4" s="289"/>
      <c r="F4" s="289"/>
      <c r="G4" s="289"/>
    </row>
    <row r="5" spans="1:8">
      <c r="B5" s="289" t="s">
        <v>375</v>
      </c>
      <c r="C5" s="289"/>
      <c r="D5" s="289"/>
      <c r="E5" s="289"/>
      <c r="F5" s="289"/>
      <c r="G5" s="289"/>
    </row>
    <row r="6" spans="1:8" ht="39.75" customHeight="1">
      <c r="B6" s="289"/>
      <c r="C6" s="290" t="s">
        <v>376</v>
      </c>
      <c r="D6" s="290" t="s">
        <v>8</v>
      </c>
      <c r="E6" s="290" t="s">
        <v>377</v>
      </c>
      <c r="F6" s="291" t="s">
        <v>378</v>
      </c>
      <c r="G6" s="290" t="s">
        <v>379</v>
      </c>
      <c r="H6" s="171"/>
    </row>
    <row r="7" spans="1:8">
      <c r="B7" s="296">
        <v>43070</v>
      </c>
      <c r="C7" s="286">
        <v>1610752554.4517019</v>
      </c>
      <c r="D7" s="286">
        <v>488535393.77004361</v>
      </c>
      <c r="E7" s="286">
        <v>692602597.6841054</v>
      </c>
      <c r="F7" s="286">
        <v>46723980.471756041</v>
      </c>
      <c r="G7" s="286">
        <v>59339780.566666044</v>
      </c>
      <c r="H7" s="171"/>
    </row>
    <row r="8" spans="1:8">
      <c r="B8" s="296">
        <v>43101</v>
      </c>
      <c r="C8" s="287">
        <v>1611004950.3662646</v>
      </c>
      <c r="D8" s="287">
        <v>489032530.44103855</v>
      </c>
      <c r="E8" s="287">
        <v>698177993.04044044</v>
      </c>
      <c r="F8" s="287">
        <v>46803593.080054194</v>
      </c>
      <c r="G8" s="287">
        <v>59758103.678445823</v>
      </c>
      <c r="H8" s="171"/>
    </row>
    <row r="9" spans="1:8">
      <c r="B9" s="296">
        <v>43132</v>
      </c>
      <c r="C9" s="287">
        <v>1611224670.4584591</v>
      </c>
      <c r="D9" s="287">
        <v>489071219.1066823</v>
      </c>
      <c r="E9" s="287">
        <v>703212687.40968931</v>
      </c>
      <c r="F9" s="287">
        <v>46882791.539299816</v>
      </c>
      <c r="G9" s="287">
        <v>59898293.988774076</v>
      </c>
      <c r="H9" s="171"/>
    </row>
    <row r="10" spans="1:8">
      <c r="B10" s="296">
        <v>43160</v>
      </c>
      <c r="C10" s="287">
        <v>1612288035.9829469</v>
      </c>
      <c r="D10" s="287">
        <v>492244814.30371451</v>
      </c>
      <c r="E10" s="287">
        <v>710438332.73491585</v>
      </c>
      <c r="F10" s="287">
        <v>47051091.176807344</v>
      </c>
      <c r="G10" s="287">
        <v>59976187.009673484</v>
      </c>
      <c r="H10" s="171"/>
    </row>
    <row r="11" spans="1:8">
      <c r="B11" s="296">
        <v>43191</v>
      </c>
      <c r="C11" s="287">
        <v>1612908791.6189942</v>
      </c>
      <c r="D11" s="287">
        <v>492619532.33131206</v>
      </c>
      <c r="E11" s="287">
        <v>718065650.31954134</v>
      </c>
      <c r="F11" s="287">
        <v>47115598.696657911</v>
      </c>
      <c r="G11" s="287">
        <v>60070635.034227788</v>
      </c>
    </row>
    <row r="12" spans="1:8">
      <c r="B12" s="296">
        <v>43221</v>
      </c>
      <c r="C12" s="287">
        <v>1613959717.9071369</v>
      </c>
      <c r="D12" s="287">
        <v>494228633.43003058</v>
      </c>
      <c r="E12" s="287">
        <v>724339548.14487374</v>
      </c>
      <c r="F12" s="287">
        <v>47155020.745212115</v>
      </c>
      <c r="G12" s="287">
        <v>60258837.35422112</v>
      </c>
    </row>
    <row r="13" spans="1:8">
      <c r="B13" s="296">
        <v>43252</v>
      </c>
      <c r="C13" s="287">
        <v>1615160639.0541322</v>
      </c>
      <c r="D13" s="287">
        <v>500377920.58016062</v>
      </c>
      <c r="E13" s="287">
        <v>732076537.09266341</v>
      </c>
      <c r="F13" s="287">
        <v>47278421.755153447</v>
      </c>
      <c r="G13" s="287">
        <v>60467754.428332008</v>
      </c>
    </row>
    <row r="14" spans="1:8">
      <c r="B14" s="296">
        <v>43282</v>
      </c>
      <c r="C14" s="287">
        <v>1615197692.0978954</v>
      </c>
      <c r="D14" s="287">
        <v>500701638.95500052</v>
      </c>
      <c r="E14" s="287">
        <v>737561126.03466749</v>
      </c>
      <c r="F14" s="287">
        <v>47362054.549651101</v>
      </c>
      <c r="G14" s="287">
        <v>60889559.397098534</v>
      </c>
    </row>
    <row r="15" spans="1:8">
      <c r="B15" s="296">
        <v>43313</v>
      </c>
      <c r="C15" s="287">
        <v>1615478998.4191153</v>
      </c>
      <c r="D15" s="287">
        <v>501311126.24923509</v>
      </c>
      <c r="E15" s="287">
        <v>744386432.50589311</v>
      </c>
      <c r="F15" s="287">
        <v>47436009.130800419</v>
      </c>
      <c r="G15" s="287">
        <v>61105119.862156197</v>
      </c>
    </row>
    <row r="16" spans="1:8">
      <c r="B16" s="296">
        <v>43344</v>
      </c>
      <c r="C16" s="287">
        <v>1615812043.0925834</v>
      </c>
      <c r="D16" s="287">
        <v>507007315.6226334</v>
      </c>
      <c r="E16" s="287">
        <v>750622098.16145241</v>
      </c>
      <c r="F16" s="287">
        <v>47545658.592049643</v>
      </c>
      <c r="G16" s="287">
        <v>62473337.024277829</v>
      </c>
    </row>
    <row r="17" spans="2:7">
      <c r="B17" s="296">
        <v>43374</v>
      </c>
      <c r="C17" s="287">
        <v>1616188665.0528183</v>
      </c>
      <c r="D17" s="287">
        <v>507877269.32359022</v>
      </c>
      <c r="E17" s="287">
        <v>756977946.78660679</v>
      </c>
      <c r="F17" s="287">
        <v>47625797.054617807</v>
      </c>
      <c r="G17" s="287">
        <v>62845934.55748871</v>
      </c>
    </row>
    <row r="18" spans="2:7">
      <c r="B18" s="296">
        <v>43405</v>
      </c>
      <c r="C18" s="287">
        <v>1617624942.2898505</v>
      </c>
      <c r="D18" s="287">
        <v>509547872.06912416</v>
      </c>
      <c r="E18" s="287">
        <v>764995302.15992498</v>
      </c>
      <c r="F18" s="287">
        <v>47717552.81646397</v>
      </c>
      <c r="G18" s="287">
        <v>63176555.374512635</v>
      </c>
    </row>
    <row r="19" spans="2:7">
      <c r="B19" s="296">
        <v>43435</v>
      </c>
      <c r="C19" s="287">
        <v>1640796654.5549209</v>
      </c>
      <c r="D19" s="287">
        <v>511593701.64999121</v>
      </c>
      <c r="E19" s="287">
        <v>773075050.94017732</v>
      </c>
      <c r="F19" s="287">
        <v>48178957.427554272</v>
      </c>
      <c r="G19" s="287">
        <v>63727856.840015635</v>
      </c>
    </row>
    <row r="20" spans="2:7">
      <c r="B20" s="296"/>
      <c r="C20" s="286"/>
      <c r="D20" s="286"/>
      <c r="E20" s="286"/>
      <c r="F20" s="286"/>
      <c r="G20" s="286"/>
    </row>
    <row r="21" spans="2:7">
      <c r="B21" s="297" t="s">
        <v>380</v>
      </c>
      <c r="C21" s="288">
        <f>SUM(C7:C19)/13</f>
        <v>1616030642.718986</v>
      </c>
      <c r="D21" s="288">
        <f>SUM(D7:D19)/13</f>
        <v>498780689.83327359</v>
      </c>
      <c r="E21" s="288">
        <f>SUM(E7:E19)/13</f>
        <v>731271638.69345784</v>
      </c>
      <c r="F21" s="288">
        <f>SUM(F7:F19)/13</f>
        <v>47298194.387390621</v>
      </c>
      <c r="G21" s="288">
        <f>SUM(G7:G19)/13</f>
        <v>61075996.547376148</v>
      </c>
    </row>
    <row r="22" spans="2:7">
      <c r="B22" s="289"/>
      <c r="C22" s="289"/>
      <c r="D22" s="289"/>
      <c r="E22" s="289"/>
      <c r="F22" s="289"/>
      <c r="G22" s="289"/>
    </row>
    <row r="23" spans="2:7">
      <c r="B23" s="289"/>
      <c r="C23" s="287"/>
      <c r="D23" s="287"/>
      <c r="E23" s="287"/>
      <c r="F23" s="287"/>
      <c r="G23" s="287"/>
    </row>
    <row r="24" spans="2:7">
      <c r="B24" s="289"/>
      <c r="C24" s="287"/>
      <c r="D24" s="287"/>
      <c r="E24" s="287"/>
      <c r="F24" s="287"/>
      <c r="G24" s="287"/>
    </row>
    <row r="25" spans="2:7">
      <c r="B25" s="289" t="s">
        <v>381</v>
      </c>
      <c r="C25" s="289"/>
      <c r="D25" s="289"/>
      <c r="E25" s="289"/>
      <c r="F25" s="289"/>
      <c r="G25" s="289"/>
    </row>
    <row r="26" spans="2:7" ht="34.5">
      <c r="B26" s="289"/>
      <c r="C26" s="290" t="s">
        <v>376</v>
      </c>
      <c r="D26" s="290" t="s">
        <v>8</v>
      </c>
      <c r="E26" s="290" t="s">
        <v>377</v>
      </c>
      <c r="F26" s="291" t="s">
        <v>378</v>
      </c>
      <c r="G26" s="290" t="s">
        <v>379</v>
      </c>
    </row>
    <row r="27" spans="2:7">
      <c r="B27" s="296">
        <v>43070</v>
      </c>
      <c r="C27" s="288">
        <v>945850367.34728754</v>
      </c>
      <c r="D27" s="288">
        <v>134568622.80468553</v>
      </c>
      <c r="E27" s="288">
        <v>297199557.57854396</v>
      </c>
      <c r="F27" s="288">
        <v>19356448.431545876</v>
      </c>
      <c r="G27" s="288">
        <v>33275075.987537794</v>
      </c>
    </row>
    <row r="28" spans="2:7">
      <c r="B28" s="296">
        <v>43101</v>
      </c>
      <c r="C28" s="287">
        <v>950745284.81564891</v>
      </c>
      <c r="D28" s="287">
        <v>135282284.86234826</v>
      </c>
      <c r="E28" s="287">
        <v>298234459.14738619</v>
      </c>
      <c r="F28" s="287">
        <v>19509848.311035737</v>
      </c>
      <c r="G28" s="287">
        <v>33331134.445989724</v>
      </c>
    </row>
    <row r="29" spans="2:7">
      <c r="B29" s="296">
        <v>43132</v>
      </c>
      <c r="C29" s="287">
        <v>955666657.82688546</v>
      </c>
      <c r="D29" s="287">
        <v>136060611.16847187</v>
      </c>
      <c r="E29" s="287">
        <v>299376245.87342149</v>
      </c>
      <c r="F29" s="287">
        <v>19659770.970949199</v>
      </c>
      <c r="G29" s="287">
        <v>33458038.778201304</v>
      </c>
    </row>
    <row r="30" spans="2:7">
      <c r="B30" s="296">
        <v>43160</v>
      </c>
      <c r="C30" s="287">
        <v>960307123.99983227</v>
      </c>
      <c r="D30" s="287">
        <v>136399852.53799677</v>
      </c>
      <c r="E30" s="287">
        <v>300344428.22055465</v>
      </c>
      <c r="F30" s="287">
        <v>19556763.855458468</v>
      </c>
      <c r="G30" s="287">
        <v>33600937.342672214</v>
      </c>
    </row>
    <row r="31" spans="2:7">
      <c r="B31" s="296">
        <v>43191</v>
      </c>
      <c r="C31" s="287">
        <v>965107951.05055773</v>
      </c>
      <c r="D31" s="287">
        <v>137086233.97263855</v>
      </c>
      <c r="E31" s="287">
        <v>301250294.39738435</v>
      </c>
      <c r="F31" s="287">
        <v>19675223.102247033</v>
      </c>
      <c r="G31" s="287">
        <v>33739897.962427467</v>
      </c>
    </row>
    <row r="32" spans="2:7">
      <c r="B32" s="296">
        <v>43221</v>
      </c>
      <c r="C32" s="287">
        <v>969746486.15688682</v>
      </c>
      <c r="D32" s="287">
        <v>137578535.12598911</v>
      </c>
      <c r="E32" s="287">
        <v>302394995.36521816</v>
      </c>
      <c r="F32" s="287">
        <v>19847222.804854121</v>
      </c>
      <c r="G32" s="287">
        <v>33855614.025186397</v>
      </c>
    </row>
    <row r="33" spans="1:7">
      <c r="B33" s="296">
        <v>43252</v>
      </c>
      <c r="C33" s="287">
        <v>974384415.08340931</v>
      </c>
      <c r="D33" s="287">
        <v>137449337.40484601</v>
      </c>
      <c r="E33" s="287">
        <v>303544517.46777916</v>
      </c>
      <c r="F33" s="287">
        <v>19946668.854920059</v>
      </c>
      <c r="G33" s="287">
        <v>33966646.865058139</v>
      </c>
    </row>
    <row r="34" spans="1:7">
      <c r="B34" s="296">
        <v>43282</v>
      </c>
      <c r="C34" s="287">
        <v>979376474.8405602</v>
      </c>
      <c r="D34" s="287">
        <v>138206429.22289437</v>
      </c>
      <c r="E34" s="287">
        <v>304886458.22345757</v>
      </c>
      <c r="F34" s="287">
        <v>20026941.443098314</v>
      </c>
      <c r="G34" s="287">
        <v>34024884.877925687</v>
      </c>
    </row>
    <row r="35" spans="1:7">
      <c r="B35" s="296">
        <v>43313</v>
      </c>
      <c r="C35" s="287">
        <v>984286989.27492356</v>
      </c>
      <c r="D35" s="287">
        <v>138897026.52978712</v>
      </c>
      <c r="E35" s="287">
        <v>306101449.04391259</v>
      </c>
      <c r="F35" s="287">
        <v>20124030.5057748</v>
      </c>
      <c r="G35" s="287">
        <v>34135959.549652725</v>
      </c>
    </row>
    <row r="36" spans="1:7">
      <c r="B36" s="296">
        <v>43344</v>
      </c>
      <c r="C36" s="287">
        <v>989187977.30205023</v>
      </c>
      <c r="D36" s="287">
        <v>138914283.10312441</v>
      </c>
      <c r="E36" s="287">
        <v>307354698.65177208</v>
      </c>
      <c r="F36" s="287">
        <v>20160153.459932394</v>
      </c>
      <c r="G36" s="287">
        <v>33958701.899445452</v>
      </c>
    </row>
    <row r="37" spans="1:7">
      <c r="B37" s="296">
        <v>43374</v>
      </c>
      <c r="C37" s="287">
        <v>994049575.41248477</v>
      </c>
      <c r="D37" s="287">
        <v>139570648.50623661</v>
      </c>
      <c r="E37" s="287">
        <v>308599251.53207421</v>
      </c>
      <c r="F37" s="287">
        <v>20280315.642544843</v>
      </c>
      <c r="G37" s="287">
        <v>34034700.435140818</v>
      </c>
    </row>
    <row r="38" spans="1:7">
      <c r="B38" s="296">
        <v>43405</v>
      </c>
      <c r="C38" s="287">
        <v>998554085.55689704</v>
      </c>
      <c r="D38" s="287">
        <v>140119090.74887261</v>
      </c>
      <c r="E38" s="287">
        <v>309663210.17372859</v>
      </c>
      <c r="F38" s="287">
        <v>20388457.223318785</v>
      </c>
      <c r="G38" s="287">
        <v>34122228.315784171</v>
      </c>
    </row>
    <row r="39" spans="1:7">
      <c r="B39" s="296">
        <v>43435</v>
      </c>
      <c r="C39" s="287">
        <v>1002704805.3842884</v>
      </c>
      <c r="D39" s="287">
        <v>140622028.04391897</v>
      </c>
      <c r="E39" s="287">
        <v>310694293.63125229</v>
      </c>
      <c r="F39" s="287">
        <v>20101212.516223177</v>
      </c>
      <c r="G39" s="287">
        <v>34155336.55601611</v>
      </c>
    </row>
    <row r="40" spans="1:7">
      <c r="B40" s="296"/>
      <c r="C40" s="286"/>
      <c r="D40" s="286"/>
      <c r="E40" s="286"/>
      <c r="F40" s="286"/>
      <c r="G40" s="286"/>
    </row>
    <row r="41" spans="1:7">
      <c r="B41" s="297" t="s">
        <v>380</v>
      </c>
      <c r="C41" s="288">
        <f>SUM(C27:C39)/13</f>
        <v>974612938.00397789</v>
      </c>
      <c r="D41" s="288">
        <f>SUM(D27:D39)/13</f>
        <v>137750383.38706234</v>
      </c>
      <c r="E41" s="288">
        <f>SUM(E27:E39)/13</f>
        <v>303818758.40819114</v>
      </c>
      <c r="F41" s="288">
        <f>SUM(F27:F39)/13</f>
        <v>19894850.547838673</v>
      </c>
      <c r="G41" s="288">
        <f>SUM(G27:G39)/13</f>
        <v>33819935.157002918</v>
      </c>
    </row>
    <row r="42" spans="1:7">
      <c r="B42" s="297"/>
      <c r="C42" s="298"/>
      <c r="D42" s="298"/>
      <c r="E42" s="298"/>
      <c r="F42" s="298"/>
      <c r="G42" s="298"/>
    </row>
    <row r="43" spans="1:7">
      <c r="B43" s="289"/>
      <c r="C43" s="332">
        <f>+C21-C41</f>
        <v>641417704.71500814</v>
      </c>
      <c r="D43" s="332">
        <f t="shared" ref="D43:G43" si="0">+D21-D41</f>
        <v>361030306.44621122</v>
      </c>
      <c r="E43" s="332">
        <f t="shared" si="0"/>
        <v>427452880.2852667</v>
      </c>
      <c r="F43" s="332">
        <f t="shared" si="0"/>
        <v>27403343.839551948</v>
      </c>
      <c r="G43" s="332">
        <f t="shared" si="0"/>
        <v>27256061.39037323</v>
      </c>
    </row>
    <row r="44" spans="1:7" ht="18.75">
      <c r="A44" s="169" t="s">
        <v>373</v>
      </c>
      <c r="B44" s="289"/>
      <c r="C44" s="287"/>
      <c r="D44" s="287"/>
      <c r="E44" s="287"/>
      <c r="F44" s="287"/>
      <c r="G44" s="287"/>
    </row>
    <row r="45" spans="1:7">
      <c r="A45" s="170" t="s">
        <v>382</v>
      </c>
      <c r="B45" s="289"/>
      <c r="C45" s="289"/>
      <c r="D45" s="289"/>
      <c r="E45" s="289"/>
      <c r="F45" s="289"/>
      <c r="G45" s="289"/>
    </row>
    <row r="46" spans="1:7">
      <c r="A46" s="170" t="s">
        <v>386</v>
      </c>
      <c r="B46" s="289"/>
      <c r="C46" s="289"/>
      <c r="D46" s="289"/>
      <c r="E46" s="289"/>
      <c r="F46" s="289"/>
      <c r="G46" s="289"/>
    </row>
    <row r="47" spans="1:7">
      <c r="B47" s="289"/>
      <c r="C47" s="289"/>
      <c r="D47" s="289"/>
      <c r="E47" s="299"/>
      <c r="F47" s="299"/>
      <c r="G47" s="299"/>
    </row>
    <row r="48" spans="1:7">
      <c r="B48" s="289"/>
      <c r="C48" s="289"/>
      <c r="D48" s="289"/>
      <c r="E48" s="299"/>
      <c r="F48" s="299"/>
      <c r="G48" s="299"/>
    </row>
    <row r="49" spans="2:7">
      <c r="B49" s="300" t="s">
        <v>383</v>
      </c>
      <c r="C49" s="289"/>
      <c r="D49" s="289"/>
      <c r="E49" s="299"/>
      <c r="F49" s="299"/>
      <c r="G49" s="299"/>
    </row>
    <row r="50" spans="2:7">
      <c r="B50" s="300" t="s">
        <v>384</v>
      </c>
      <c r="C50" s="289"/>
      <c r="D50" s="289"/>
      <c r="E50" s="299"/>
      <c r="F50" s="299"/>
      <c r="G50" s="299"/>
    </row>
    <row r="51" spans="2:7">
      <c r="B51" s="300"/>
      <c r="C51" s="289"/>
      <c r="D51" s="289"/>
      <c r="E51" s="299"/>
      <c r="F51" s="299"/>
      <c r="G51" s="299"/>
    </row>
    <row r="52" spans="2:7">
      <c r="B52" s="296">
        <v>43070</v>
      </c>
      <c r="C52" s="301">
        <v>0</v>
      </c>
      <c r="D52" s="289"/>
      <c r="E52" s="301"/>
      <c r="F52" s="302"/>
      <c r="G52" s="299"/>
    </row>
    <row r="53" spans="2:7">
      <c r="B53" s="296">
        <v>43101</v>
      </c>
      <c r="C53" s="301">
        <f t="shared" ref="C53:C61" si="1">+C52+D53</f>
        <v>0</v>
      </c>
      <c r="D53" s="287">
        <v>0</v>
      </c>
      <c r="E53" s="301"/>
      <c r="F53" s="302"/>
      <c r="G53" s="299"/>
    </row>
    <row r="54" spans="2:7">
      <c r="B54" s="296">
        <v>43132</v>
      </c>
      <c r="C54" s="301">
        <f t="shared" si="1"/>
        <v>0</v>
      </c>
      <c r="D54" s="287">
        <v>0</v>
      </c>
      <c r="E54" s="301"/>
      <c r="F54" s="302"/>
      <c r="G54" s="299"/>
    </row>
    <row r="55" spans="2:7">
      <c r="B55" s="296">
        <v>43160</v>
      </c>
      <c r="C55" s="301">
        <f t="shared" si="1"/>
        <v>0</v>
      </c>
      <c r="D55" s="287">
        <v>0</v>
      </c>
      <c r="E55" s="301"/>
      <c r="F55" s="302"/>
      <c r="G55" s="299"/>
    </row>
    <row r="56" spans="2:7">
      <c r="B56" s="296">
        <v>43191</v>
      </c>
      <c r="C56" s="301">
        <f t="shared" si="1"/>
        <v>0</v>
      </c>
      <c r="D56" s="287">
        <v>0</v>
      </c>
      <c r="E56" s="301"/>
      <c r="F56" s="302"/>
      <c r="G56" s="299"/>
    </row>
    <row r="57" spans="2:7">
      <c r="B57" s="296">
        <v>43221</v>
      </c>
      <c r="C57" s="301">
        <f t="shared" si="1"/>
        <v>0</v>
      </c>
      <c r="D57" s="287">
        <v>0</v>
      </c>
      <c r="E57" s="301"/>
      <c r="F57" s="302"/>
      <c r="G57" s="299"/>
    </row>
    <row r="58" spans="2:7">
      <c r="B58" s="296">
        <v>43252</v>
      </c>
      <c r="C58" s="301">
        <f t="shared" si="1"/>
        <v>0</v>
      </c>
      <c r="D58" s="287">
        <v>0</v>
      </c>
      <c r="E58" s="301"/>
      <c r="F58" s="302"/>
      <c r="G58" s="299"/>
    </row>
    <row r="59" spans="2:7">
      <c r="B59" s="296">
        <v>43282</v>
      </c>
      <c r="C59" s="301">
        <f t="shared" si="1"/>
        <v>0</v>
      </c>
      <c r="D59" s="287">
        <v>0</v>
      </c>
      <c r="E59" s="301"/>
      <c r="F59" s="302"/>
      <c r="G59" s="299"/>
    </row>
    <row r="60" spans="2:7">
      <c r="B60" s="296">
        <v>43313</v>
      </c>
      <c r="C60" s="301">
        <f t="shared" si="1"/>
        <v>0</v>
      </c>
      <c r="D60" s="287">
        <v>0</v>
      </c>
      <c r="E60" s="301"/>
      <c r="F60" s="302"/>
      <c r="G60" s="299"/>
    </row>
    <row r="61" spans="2:7">
      <c r="B61" s="296">
        <v>43344</v>
      </c>
      <c r="C61" s="301">
        <f t="shared" si="1"/>
        <v>0</v>
      </c>
      <c r="D61" s="287">
        <v>0</v>
      </c>
      <c r="E61" s="301"/>
      <c r="F61" s="302"/>
      <c r="G61" s="299"/>
    </row>
    <row r="62" spans="2:7">
      <c r="B62" s="296">
        <v>43374</v>
      </c>
      <c r="C62" s="301">
        <v>0</v>
      </c>
      <c r="D62" s="287">
        <v>0</v>
      </c>
      <c r="E62" s="301"/>
      <c r="F62" s="302"/>
      <c r="G62" s="299"/>
    </row>
    <row r="63" spans="2:7">
      <c r="B63" s="296">
        <v>43405</v>
      </c>
      <c r="C63" s="301">
        <v>0</v>
      </c>
      <c r="D63" s="287">
        <v>0</v>
      </c>
      <c r="E63" s="301"/>
      <c r="F63" s="302"/>
      <c r="G63" s="299"/>
    </row>
    <row r="64" spans="2:7">
      <c r="B64" s="296">
        <v>43435</v>
      </c>
      <c r="C64" s="301">
        <v>0</v>
      </c>
      <c r="D64" s="287">
        <v>0</v>
      </c>
      <c r="E64" s="301"/>
      <c r="F64" s="302"/>
      <c r="G64" s="299"/>
    </row>
    <row r="65" spans="1:7">
      <c r="B65" s="303"/>
      <c r="C65" s="300"/>
      <c r="D65" s="289"/>
      <c r="E65" s="304"/>
      <c r="F65" s="305"/>
      <c r="G65" s="299"/>
    </row>
    <row r="66" spans="1:7">
      <c r="B66" s="297" t="s">
        <v>380</v>
      </c>
      <c r="C66" s="306">
        <f>AVERAGE(C52:C64)</f>
        <v>0</v>
      </c>
      <c r="D66" s="289">
        <f>SUM(D52:D65)</f>
        <v>0</v>
      </c>
      <c r="E66" s="307"/>
      <c r="F66" s="308"/>
      <c r="G66" s="299"/>
    </row>
    <row r="67" spans="1:7">
      <c r="B67" s="289"/>
      <c r="C67" s="289"/>
      <c r="D67" s="289"/>
      <c r="E67" s="299"/>
      <c r="F67" s="299"/>
      <c r="G67" s="299"/>
    </row>
    <row r="68" spans="1:7">
      <c r="B68" s="289"/>
      <c r="C68" s="289"/>
      <c r="D68" s="289"/>
      <c r="E68" s="289"/>
      <c r="F68" s="289"/>
      <c r="G68" s="289"/>
    </row>
    <row r="69" spans="1:7">
      <c r="B69" s="289"/>
      <c r="C69" s="289"/>
      <c r="D69" s="289"/>
      <c r="E69" s="289"/>
      <c r="F69" s="289"/>
      <c r="G69" s="289"/>
    </row>
    <row r="70" spans="1:7" ht="18.75">
      <c r="A70" s="169" t="s">
        <v>373</v>
      </c>
      <c r="B70" s="289"/>
      <c r="C70" s="289"/>
      <c r="D70" s="289"/>
      <c r="E70" s="289"/>
      <c r="F70" s="289"/>
      <c r="G70" s="289"/>
    </row>
    <row r="71" spans="1:7">
      <c r="A71" s="170" t="s">
        <v>385</v>
      </c>
      <c r="B71" s="289"/>
      <c r="C71" s="289"/>
      <c r="D71" s="289"/>
      <c r="E71" s="289"/>
      <c r="F71" s="289"/>
      <c r="G71" s="289"/>
    </row>
    <row r="72" spans="1:7">
      <c r="A72" s="170" t="s">
        <v>386</v>
      </c>
      <c r="B72" s="289"/>
      <c r="C72" s="289"/>
      <c r="D72" s="289"/>
      <c r="E72" s="289"/>
      <c r="F72" s="289"/>
      <c r="G72" s="289"/>
    </row>
    <row r="73" spans="1:7">
      <c r="B73" s="289"/>
      <c r="C73" s="289"/>
      <c r="D73" s="289"/>
      <c r="E73" s="289"/>
      <c r="F73" s="289"/>
      <c r="G73" s="289"/>
    </row>
    <row r="74" spans="1:7">
      <c r="B74" s="289"/>
      <c r="C74" s="289"/>
      <c r="D74" s="309">
        <v>282</v>
      </c>
      <c r="E74" s="309">
        <v>283</v>
      </c>
      <c r="F74" s="309">
        <v>190</v>
      </c>
      <c r="G74" s="309">
        <v>255</v>
      </c>
    </row>
    <row r="75" spans="1:7">
      <c r="B75" s="289" t="s">
        <v>387</v>
      </c>
      <c r="C75" s="289"/>
      <c r="D75" s="289"/>
      <c r="E75" s="289"/>
      <c r="F75" s="289"/>
      <c r="G75" s="289"/>
    </row>
    <row r="76" spans="1:7">
      <c r="B76" s="296">
        <v>43070</v>
      </c>
      <c r="C76" s="310">
        <v>0</v>
      </c>
      <c r="D76" s="311">
        <f>+'Workpaper (Page 5)'!L18</f>
        <v>-326197121.05739021</v>
      </c>
      <c r="E76" s="311">
        <f>+'Workpaper (Page 5)'!L38</f>
        <v>-26969355.278063752</v>
      </c>
      <c r="F76" s="311">
        <f>+'Workpaper (Page 5)'!L58+'Workpaper (Page 5)'!L78</f>
        <v>14716268.978684103</v>
      </c>
      <c r="G76" s="310">
        <v>0</v>
      </c>
    </row>
    <row r="77" spans="1:7">
      <c r="B77" s="296">
        <v>43101</v>
      </c>
      <c r="C77" s="312">
        <v>0</v>
      </c>
      <c r="D77" s="313">
        <v>0</v>
      </c>
      <c r="E77" s="313">
        <v>0</v>
      </c>
      <c r="F77" s="313">
        <v>0</v>
      </c>
      <c r="G77" s="310">
        <v>0</v>
      </c>
    </row>
    <row r="78" spans="1:7">
      <c r="B78" s="296">
        <v>43132</v>
      </c>
      <c r="C78" s="312">
        <v>0</v>
      </c>
      <c r="D78" s="313">
        <v>0</v>
      </c>
      <c r="E78" s="313">
        <v>0</v>
      </c>
      <c r="F78" s="313">
        <v>0</v>
      </c>
      <c r="G78" s="310">
        <v>0</v>
      </c>
    </row>
    <row r="79" spans="1:7">
      <c r="B79" s="296">
        <v>43160</v>
      </c>
      <c r="C79" s="312">
        <v>0</v>
      </c>
      <c r="D79" s="313">
        <v>0</v>
      </c>
      <c r="E79" s="313">
        <v>0</v>
      </c>
      <c r="F79" s="313">
        <v>0</v>
      </c>
      <c r="G79" s="310">
        <v>0</v>
      </c>
    </row>
    <row r="80" spans="1:7">
      <c r="B80" s="296">
        <v>43191</v>
      </c>
      <c r="C80" s="312">
        <v>0</v>
      </c>
      <c r="D80" s="313">
        <v>0</v>
      </c>
      <c r="E80" s="313">
        <v>0</v>
      </c>
      <c r="F80" s="313">
        <v>0</v>
      </c>
      <c r="G80" s="310">
        <v>0</v>
      </c>
    </row>
    <row r="81" spans="1:7">
      <c r="B81" s="296">
        <v>43221</v>
      </c>
      <c r="C81" s="312">
        <v>0</v>
      </c>
      <c r="D81" s="313">
        <v>0</v>
      </c>
      <c r="E81" s="313">
        <v>0</v>
      </c>
      <c r="F81" s="313">
        <v>0</v>
      </c>
      <c r="G81" s="310">
        <v>0</v>
      </c>
    </row>
    <row r="82" spans="1:7">
      <c r="B82" s="296">
        <v>43252</v>
      </c>
      <c r="C82" s="312">
        <v>0</v>
      </c>
      <c r="D82" s="313">
        <v>0</v>
      </c>
      <c r="E82" s="313">
        <v>0</v>
      </c>
      <c r="F82" s="313">
        <v>0</v>
      </c>
      <c r="G82" s="310">
        <v>0</v>
      </c>
    </row>
    <row r="83" spans="1:7">
      <c r="B83" s="296">
        <v>43282</v>
      </c>
      <c r="C83" s="312">
        <v>0</v>
      </c>
      <c r="D83" s="313">
        <v>0</v>
      </c>
      <c r="E83" s="313">
        <v>0</v>
      </c>
      <c r="F83" s="313">
        <v>0</v>
      </c>
      <c r="G83" s="310">
        <v>0</v>
      </c>
    </row>
    <row r="84" spans="1:7">
      <c r="B84" s="296">
        <v>43313</v>
      </c>
      <c r="C84" s="312">
        <v>0</v>
      </c>
      <c r="D84" s="313">
        <v>0</v>
      </c>
      <c r="E84" s="313">
        <v>0</v>
      </c>
      <c r="F84" s="313">
        <v>0</v>
      </c>
      <c r="G84" s="310">
        <v>0</v>
      </c>
    </row>
    <row r="85" spans="1:7">
      <c r="B85" s="296">
        <v>43344</v>
      </c>
      <c r="C85" s="312">
        <v>0</v>
      </c>
      <c r="D85" s="313">
        <v>0</v>
      </c>
      <c r="E85" s="313">
        <v>0</v>
      </c>
      <c r="F85" s="313">
        <v>0</v>
      </c>
      <c r="G85" s="310">
        <v>0</v>
      </c>
    </row>
    <row r="86" spans="1:7">
      <c r="B86" s="296">
        <v>43374</v>
      </c>
      <c r="C86" s="312">
        <v>0</v>
      </c>
      <c r="D86" s="313">
        <v>0</v>
      </c>
      <c r="E86" s="313">
        <v>0</v>
      </c>
      <c r="F86" s="313">
        <v>0</v>
      </c>
      <c r="G86" s="310">
        <v>0</v>
      </c>
    </row>
    <row r="87" spans="1:7">
      <c r="B87" s="296">
        <v>43405</v>
      </c>
      <c r="C87" s="312">
        <v>0</v>
      </c>
      <c r="D87" s="313">
        <v>0</v>
      </c>
      <c r="E87" s="313">
        <v>0</v>
      </c>
      <c r="F87" s="313">
        <v>0</v>
      </c>
      <c r="G87" s="310">
        <v>0</v>
      </c>
    </row>
    <row r="88" spans="1:7">
      <c r="B88" s="296">
        <v>43435</v>
      </c>
      <c r="C88" s="314">
        <v>0</v>
      </c>
      <c r="D88" s="288">
        <f>+'Workpaper (Page 5)'!L30</f>
        <v>-334872947.14938742</v>
      </c>
      <c r="E88" s="288">
        <f>+'Workpaper (Page 5)'!L50</f>
        <v>-23522716.019032918</v>
      </c>
      <c r="F88" s="288">
        <f>+'Workpaper (Page 5)'!L70+'Workpaper (Page 5)'!L90</f>
        <v>14451391.658503324</v>
      </c>
      <c r="G88" s="311">
        <v>0</v>
      </c>
    </row>
    <row r="89" spans="1:7">
      <c r="B89" s="296"/>
      <c r="C89" s="315"/>
      <c r="D89" s="315"/>
      <c r="E89" s="315"/>
      <c r="F89" s="315"/>
      <c r="G89" s="315"/>
    </row>
    <row r="90" spans="1:7">
      <c r="B90" s="297" t="s">
        <v>388</v>
      </c>
      <c r="C90" s="316">
        <f>SUM(C76:C88)/13</f>
        <v>0</v>
      </c>
      <c r="D90" s="288">
        <f>SUM(D76:D88)/2</f>
        <v>-330535034.10338879</v>
      </c>
      <c r="E90" s="288">
        <f>SUM(E76:E88)/2</f>
        <v>-25246035.648548335</v>
      </c>
      <c r="F90" s="288">
        <f>SUM(F76:F88)/2</f>
        <v>14583830.318593714</v>
      </c>
      <c r="G90" s="316">
        <f>SUM(G76:G88)/13</f>
        <v>0</v>
      </c>
    </row>
    <row r="91" spans="1:7">
      <c r="B91" s="289"/>
      <c r="C91" s="289"/>
      <c r="D91" s="289"/>
      <c r="E91" s="289"/>
      <c r="F91" s="289"/>
      <c r="G91" s="289"/>
    </row>
    <row r="92" spans="1:7">
      <c r="B92" s="289"/>
      <c r="C92" s="289"/>
      <c r="D92" s="289"/>
      <c r="E92" s="289"/>
      <c r="F92" s="289"/>
      <c r="G92" s="289"/>
    </row>
    <row r="93" spans="1:7" ht="18.75">
      <c r="A93" s="169" t="s">
        <v>373</v>
      </c>
      <c r="B93" s="289"/>
      <c r="C93" s="289"/>
      <c r="D93" s="289"/>
      <c r="E93" s="289"/>
      <c r="F93" s="289"/>
      <c r="G93" s="289"/>
    </row>
    <row r="94" spans="1:7">
      <c r="A94" s="170" t="s">
        <v>389</v>
      </c>
      <c r="B94" s="289"/>
      <c r="C94" s="289"/>
      <c r="D94" s="289"/>
      <c r="E94" s="289"/>
      <c r="F94" s="289"/>
      <c r="G94" s="289"/>
    </row>
    <row r="95" spans="1:7">
      <c r="A95" s="170" t="s">
        <v>386</v>
      </c>
      <c r="B95" s="289"/>
      <c r="C95" s="289"/>
      <c r="D95" s="289"/>
      <c r="E95" s="289"/>
      <c r="F95" s="289"/>
      <c r="G95" s="289"/>
    </row>
    <row r="96" spans="1:7">
      <c r="B96" s="289"/>
      <c r="C96" s="289"/>
      <c r="D96" s="289"/>
      <c r="E96" s="289"/>
      <c r="F96" s="289"/>
      <c r="G96" s="289"/>
    </row>
    <row r="97" spans="2:7">
      <c r="B97" s="289" t="s">
        <v>389</v>
      </c>
      <c r="C97" s="289"/>
      <c r="D97" s="289"/>
      <c r="E97" s="289"/>
      <c r="F97" s="289"/>
      <c r="G97" s="317" t="s">
        <v>9</v>
      </c>
    </row>
    <row r="98" spans="2:7">
      <c r="B98" s="289"/>
      <c r="C98" s="318" t="s">
        <v>390</v>
      </c>
      <c r="D98" s="289"/>
      <c r="E98" s="319" t="s">
        <v>8</v>
      </c>
      <c r="F98" s="319" t="s">
        <v>541</v>
      </c>
      <c r="G98" s="319" t="s">
        <v>542</v>
      </c>
    </row>
    <row r="99" spans="2:7">
      <c r="B99" s="296">
        <v>43070</v>
      </c>
      <c r="C99" s="320">
        <v>27268</v>
      </c>
      <c r="D99" s="289"/>
      <c r="E99" s="288">
        <v>27268</v>
      </c>
      <c r="F99" s="288">
        <v>778197</v>
      </c>
      <c r="G99" s="288">
        <f>+E99+F99</f>
        <v>805465</v>
      </c>
    </row>
    <row r="100" spans="2:7">
      <c r="B100" s="296">
        <v>43101</v>
      </c>
      <c r="C100" s="287">
        <v>0</v>
      </c>
      <c r="D100" s="289"/>
      <c r="E100" s="287">
        <v>0</v>
      </c>
      <c r="F100" s="287">
        <v>0</v>
      </c>
      <c r="G100" s="287"/>
    </row>
    <row r="101" spans="2:7">
      <c r="B101" s="296">
        <v>43132</v>
      </c>
      <c r="C101" s="287">
        <v>0</v>
      </c>
      <c r="D101" s="289"/>
      <c r="E101" s="287">
        <v>0</v>
      </c>
      <c r="F101" s="287">
        <v>0</v>
      </c>
      <c r="G101" s="287"/>
    </row>
    <row r="102" spans="2:7">
      <c r="B102" s="296">
        <v>43160</v>
      </c>
      <c r="C102" s="287">
        <v>0</v>
      </c>
      <c r="D102" s="289"/>
      <c r="E102" s="287">
        <v>0</v>
      </c>
      <c r="F102" s="287">
        <v>0</v>
      </c>
      <c r="G102" s="287"/>
    </row>
    <row r="103" spans="2:7">
      <c r="B103" s="296">
        <v>43191</v>
      </c>
      <c r="C103" s="287">
        <v>0</v>
      </c>
      <c r="D103" s="289"/>
      <c r="E103" s="287">
        <v>0</v>
      </c>
      <c r="F103" s="287">
        <v>0</v>
      </c>
      <c r="G103" s="287"/>
    </row>
    <row r="104" spans="2:7">
      <c r="B104" s="296">
        <v>43221</v>
      </c>
      <c r="C104" s="287">
        <v>0</v>
      </c>
      <c r="D104" s="289"/>
      <c r="E104" s="287">
        <v>0</v>
      </c>
      <c r="F104" s="287">
        <v>0</v>
      </c>
      <c r="G104" s="287"/>
    </row>
    <row r="105" spans="2:7">
      <c r="B105" s="296">
        <v>43252</v>
      </c>
      <c r="C105" s="287">
        <v>0</v>
      </c>
      <c r="D105" s="289"/>
      <c r="E105" s="287">
        <v>0</v>
      </c>
      <c r="F105" s="287">
        <v>0</v>
      </c>
      <c r="G105" s="287"/>
    </row>
    <row r="106" spans="2:7">
      <c r="B106" s="296">
        <v>43282</v>
      </c>
      <c r="C106" s="287">
        <v>0</v>
      </c>
      <c r="D106" s="289"/>
      <c r="E106" s="287">
        <v>0</v>
      </c>
      <c r="F106" s="287">
        <v>0</v>
      </c>
      <c r="G106" s="287"/>
    </row>
    <row r="107" spans="2:7">
      <c r="B107" s="296">
        <v>43313</v>
      </c>
      <c r="C107" s="287">
        <v>0</v>
      </c>
      <c r="D107" s="289"/>
      <c r="E107" s="287">
        <v>0</v>
      </c>
      <c r="F107" s="287">
        <v>0</v>
      </c>
      <c r="G107" s="287"/>
    </row>
    <row r="108" spans="2:7">
      <c r="B108" s="296">
        <v>43344</v>
      </c>
      <c r="C108" s="287">
        <v>0</v>
      </c>
      <c r="D108" s="289"/>
      <c r="E108" s="287">
        <v>0</v>
      </c>
      <c r="F108" s="287">
        <v>0</v>
      </c>
      <c r="G108" s="287"/>
    </row>
    <row r="109" spans="2:7">
      <c r="B109" s="296">
        <v>43374</v>
      </c>
      <c r="C109" s="287">
        <v>0</v>
      </c>
      <c r="D109" s="289"/>
      <c r="E109" s="287"/>
      <c r="F109" s="287"/>
      <c r="G109" s="287"/>
    </row>
    <row r="110" spans="2:7">
      <c r="B110" s="296">
        <v>43405</v>
      </c>
      <c r="C110" s="287">
        <v>0</v>
      </c>
      <c r="D110" s="289"/>
      <c r="E110" s="287">
        <v>0</v>
      </c>
      <c r="F110" s="287">
        <v>0</v>
      </c>
      <c r="G110" s="287"/>
    </row>
    <row r="111" spans="2:7">
      <c r="B111" s="296">
        <v>43435</v>
      </c>
      <c r="C111" s="321">
        <f>+C99</f>
        <v>27268</v>
      </c>
      <c r="D111" s="289"/>
      <c r="E111" s="287">
        <v>27268</v>
      </c>
      <c r="F111" s="287">
        <v>778197</v>
      </c>
      <c r="G111" s="288">
        <f>+E111+F111</f>
        <v>805465</v>
      </c>
    </row>
    <row r="112" spans="2:7">
      <c r="B112" s="296"/>
      <c r="C112" s="289"/>
      <c r="D112" s="289"/>
      <c r="E112" s="286"/>
      <c r="F112" s="286"/>
      <c r="G112" s="286"/>
    </row>
    <row r="113" spans="1:7">
      <c r="B113" s="297" t="s">
        <v>388</v>
      </c>
      <c r="C113" s="298">
        <f>(C99+C111)/2</f>
        <v>27268</v>
      </c>
      <c r="D113" s="289"/>
      <c r="E113" s="287">
        <f>(E99+E111)/2</f>
        <v>27268</v>
      </c>
      <c r="F113" s="287">
        <f>(F99+F111)/2</f>
        <v>778197</v>
      </c>
      <c r="G113" s="287">
        <f>(G99+G111)/2</f>
        <v>805465</v>
      </c>
    </row>
    <row r="114" spans="1:7">
      <c r="B114" s="322" t="s">
        <v>391</v>
      </c>
      <c r="C114" s="298"/>
      <c r="D114" s="289"/>
      <c r="E114" s="289"/>
      <c r="F114" s="289"/>
      <c r="G114" s="289"/>
    </row>
    <row r="115" spans="1:7">
      <c r="B115" s="289"/>
      <c r="C115" s="289"/>
      <c r="D115" s="289"/>
      <c r="E115" s="289"/>
      <c r="F115" s="289"/>
      <c r="G115" s="289"/>
    </row>
    <row r="116" spans="1:7">
      <c r="B116" s="289"/>
      <c r="C116" s="289"/>
      <c r="D116" s="289"/>
      <c r="E116" s="289"/>
      <c r="F116" s="289"/>
      <c r="G116" s="289"/>
    </row>
    <row r="117" spans="1:7">
      <c r="B117" s="289"/>
      <c r="C117" s="289"/>
      <c r="D117" s="289"/>
      <c r="E117" s="289"/>
      <c r="F117" s="289"/>
      <c r="G117" s="289"/>
    </row>
    <row r="118" spans="1:7">
      <c r="B118" s="289"/>
      <c r="C118" s="289"/>
      <c r="D118" s="289"/>
      <c r="E118" s="289"/>
      <c r="F118" s="289"/>
      <c r="G118" s="289"/>
    </row>
    <row r="119" spans="1:7" ht="18.75">
      <c r="A119" s="169" t="s">
        <v>373</v>
      </c>
      <c r="B119" s="289"/>
      <c r="C119" s="289"/>
      <c r="D119" s="289"/>
      <c r="E119" s="289"/>
      <c r="F119" s="289"/>
      <c r="G119" s="289"/>
    </row>
    <row r="120" spans="1:7">
      <c r="A120" s="170" t="s">
        <v>392</v>
      </c>
      <c r="B120" s="289"/>
      <c r="C120" s="289"/>
      <c r="D120" s="289"/>
      <c r="E120" s="289"/>
      <c r="F120" s="289"/>
      <c r="G120" s="289"/>
    </row>
    <row r="121" spans="1:7">
      <c r="A121" s="170" t="s">
        <v>386</v>
      </c>
      <c r="B121" s="289"/>
      <c r="C121" s="289"/>
      <c r="D121" s="289"/>
      <c r="E121" s="289"/>
      <c r="F121" s="289"/>
      <c r="G121" s="289"/>
    </row>
    <row r="122" spans="1:7">
      <c r="B122" s="289"/>
      <c r="C122" s="289"/>
      <c r="D122" s="289"/>
      <c r="E122" s="289"/>
      <c r="F122" s="289"/>
      <c r="G122" s="289"/>
    </row>
    <row r="123" spans="1:7">
      <c r="B123" s="323" t="s">
        <v>393</v>
      </c>
      <c r="C123" s="289"/>
      <c r="D123" s="289"/>
      <c r="E123" s="289"/>
      <c r="F123" s="289"/>
      <c r="G123" s="289"/>
    </row>
    <row r="124" spans="1:7">
      <c r="B124" s="289"/>
      <c r="C124" s="289"/>
      <c r="D124" s="289"/>
      <c r="E124" s="289"/>
      <c r="F124" s="289"/>
      <c r="G124" s="289"/>
    </row>
    <row r="125" spans="1:7">
      <c r="B125" s="289"/>
      <c r="C125" s="324" t="s">
        <v>394</v>
      </c>
      <c r="D125" s="324" t="s">
        <v>395</v>
      </c>
      <c r="E125" s="289"/>
      <c r="F125" s="289"/>
      <c r="G125" s="289"/>
    </row>
    <row r="126" spans="1:7">
      <c r="B126" s="296">
        <v>43070</v>
      </c>
      <c r="C126" s="301">
        <v>2000000</v>
      </c>
      <c r="D126" s="301">
        <v>300000</v>
      </c>
      <c r="E126" s="289"/>
      <c r="F126" s="289"/>
      <c r="G126" s="289"/>
    </row>
    <row r="127" spans="1:7">
      <c r="B127" s="296">
        <v>43101</v>
      </c>
      <c r="C127" s="287">
        <v>0</v>
      </c>
      <c r="D127" s="287">
        <v>0</v>
      </c>
      <c r="E127" s="289"/>
      <c r="F127" s="289"/>
      <c r="G127" s="289"/>
    </row>
    <row r="128" spans="1:7">
      <c r="B128" s="296">
        <v>43132</v>
      </c>
      <c r="C128" s="287">
        <v>0</v>
      </c>
      <c r="D128" s="287">
        <v>0</v>
      </c>
      <c r="E128" s="289"/>
      <c r="F128" s="289"/>
      <c r="G128" s="289"/>
    </row>
    <row r="129" spans="1:7">
      <c r="B129" s="296">
        <v>43160</v>
      </c>
      <c r="C129" s="287">
        <v>0</v>
      </c>
      <c r="D129" s="287">
        <v>0</v>
      </c>
      <c r="E129" s="289"/>
      <c r="F129" s="289"/>
      <c r="G129" s="289"/>
    </row>
    <row r="130" spans="1:7">
      <c r="B130" s="296">
        <v>43191</v>
      </c>
      <c r="C130" s="287">
        <v>0</v>
      </c>
      <c r="D130" s="287">
        <v>0</v>
      </c>
      <c r="E130" s="289"/>
      <c r="F130" s="289"/>
      <c r="G130" s="289"/>
    </row>
    <row r="131" spans="1:7">
      <c r="B131" s="296">
        <v>43221</v>
      </c>
      <c r="C131" s="287">
        <v>0</v>
      </c>
      <c r="D131" s="287">
        <v>0</v>
      </c>
      <c r="E131" s="289"/>
      <c r="F131" s="289"/>
      <c r="G131" s="289"/>
    </row>
    <row r="132" spans="1:7">
      <c r="B132" s="296">
        <v>43252</v>
      </c>
      <c r="C132" s="287">
        <v>0</v>
      </c>
      <c r="D132" s="287">
        <v>0</v>
      </c>
      <c r="E132" s="289"/>
      <c r="F132" s="289"/>
      <c r="G132" s="289"/>
    </row>
    <row r="133" spans="1:7">
      <c r="B133" s="296">
        <v>43282</v>
      </c>
      <c r="C133" s="287">
        <v>0</v>
      </c>
      <c r="D133" s="287">
        <v>0</v>
      </c>
      <c r="E133" s="289"/>
      <c r="F133" s="289"/>
      <c r="G133" s="289"/>
    </row>
    <row r="134" spans="1:7">
      <c r="B134" s="296">
        <v>43313</v>
      </c>
      <c r="C134" s="287">
        <v>0</v>
      </c>
      <c r="D134" s="287">
        <v>0</v>
      </c>
      <c r="E134" s="289"/>
      <c r="F134" s="289"/>
      <c r="G134" s="289"/>
    </row>
    <row r="135" spans="1:7">
      <c r="B135" s="296">
        <v>43344</v>
      </c>
      <c r="C135" s="287">
        <v>0</v>
      </c>
      <c r="D135" s="287">
        <v>0</v>
      </c>
      <c r="E135" s="289"/>
      <c r="F135" s="289"/>
      <c r="G135" s="289"/>
    </row>
    <row r="136" spans="1:7">
      <c r="B136" s="296">
        <v>43374</v>
      </c>
      <c r="C136" s="287">
        <v>0</v>
      </c>
      <c r="D136" s="287">
        <v>0</v>
      </c>
      <c r="E136" s="289"/>
      <c r="F136" s="289"/>
      <c r="G136" s="289"/>
    </row>
    <row r="137" spans="1:7">
      <c r="B137" s="296">
        <v>43405</v>
      </c>
      <c r="C137" s="287">
        <v>0</v>
      </c>
      <c r="D137" s="287">
        <v>0</v>
      </c>
      <c r="E137" s="289"/>
      <c r="F137" s="289"/>
      <c r="G137" s="289"/>
    </row>
    <row r="138" spans="1:7">
      <c r="B138" s="296">
        <v>43435</v>
      </c>
      <c r="C138" s="301">
        <v>2000000</v>
      </c>
      <c r="D138" s="301">
        <v>300000</v>
      </c>
      <c r="E138" s="289"/>
      <c r="F138" s="289"/>
      <c r="G138" s="289"/>
    </row>
    <row r="139" spans="1:7">
      <c r="B139" s="296"/>
      <c r="C139" s="289"/>
      <c r="D139" s="289"/>
      <c r="E139" s="289"/>
      <c r="F139" s="289"/>
      <c r="G139" s="289"/>
    </row>
    <row r="140" spans="1:7">
      <c r="B140" s="297" t="s">
        <v>388</v>
      </c>
      <c r="C140" s="298">
        <f>(C138+C126)/2</f>
        <v>2000000</v>
      </c>
      <c r="D140" s="298">
        <f>(D138+D126)/2</f>
        <v>300000</v>
      </c>
      <c r="E140" s="320">
        <f>+C140+D140</f>
        <v>2300000</v>
      </c>
      <c r="F140" s="289"/>
      <c r="G140" s="289"/>
    </row>
    <row r="141" spans="1:7">
      <c r="B141" s="289"/>
      <c r="C141" s="289"/>
      <c r="D141" s="289"/>
      <c r="E141" s="289"/>
      <c r="F141" s="289"/>
      <c r="G141" s="289"/>
    </row>
    <row r="142" spans="1:7">
      <c r="B142" s="289"/>
      <c r="C142" s="325"/>
      <c r="D142" s="325"/>
      <c r="E142" s="289"/>
      <c r="F142" s="289"/>
      <c r="G142" s="289"/>
    </row>
    <row r="143" spans="1:7">
      <c r="A143" s="171"/>
      <c r="B143" s="299"/>
      <c r="C143" s="299"/>
      <c r="D143" s="299"/>
      <c r="E143" s="299"/>
      <c r="F143" s="299"/>
      <c r="G143" s="299"/>
    </row>
    <row r="144" spans="1:7">
      <c r="A144" s="171"/>
      <c r="B144" s="307"/>
      <c r="C144" s="326"/>
      <c r="D144" s="326"/>
      <c r="E144" s="299"/>
      <c r="F144" s="299"/>
      <c r="G144" s="299"/>
    </row>
    <row r="145" spans="1:7">
      <c r="A145" s="171"/>
      <c r="B145" s="299"/>
      <c r="C145" s="327"/>
      <c r="D145" s="328"/>
      <c r="E145" s="299"/>
      <c r="F145" s="299"/>
      <c r="G145" s="299"/>
    </row>
    <row r="146" spans="1:7">
      <c r="A146" s="171"/>
      <c r="B146" s="299"/>
      <c r="C146" s="326"/>
      <c r="D146" s="299"/>
      <c r="E146" s="299"/>
      <c r="F146" s="299"/>
      <c r="G146" s="299"/>
    </row>
    <row r="147" spans="1:7">
      <c r="A147" s="171"/>
      <c r="B147" s="299"/>
      <c r="C147" s="326"/>
      <c r="D147" s="299"/>
      <c r="E147" s="299"/>
      <c r="F147" s="299"/>
      <c r="G147" s="299"/>
    </row>
    <row r="148" spans="1:7">
      <c r="A148" s="171"/>
      <c r="B148" s="328"/>
      <c r="C148" s="299"/>
      <c r="D148" s="299"/>
      <c r="E148" s="299"/>
      <c r="F148" s="299"/>
      <c r="G148" s="299"/>
    </row>
    <row r="149" spans="1:7">
      <c r="B149" s="289"/>
      <c r="C149" s="289"/>
      <c r="D149" s="289"/>
      <c r="E149" s="289"/>
      <c r="F149" s="289"/>
      <c r="G149" s="289"/>
    </row>
    <row r="150" spans="1:7" ht="18.75">
      <c r="A150" s="169" t="s">
        <v>373</v>
      </c>
      <c r="B150" s="289"/>
      <c r="C150" s="289"/>
      <c r="D150" s="289"/>
      <c r="E150" s="289"/>
      <c r="F150" s="289"/>
      <c r="G150" s="289"/>
    </row>
    <row r="151" spans="1:7">
      <c r="A151" s="170" t="s">
        <v>396</v>
      </c>
      <c r="B151" s="289"/>
      <c r="C151" s="289"/>
      <c r="D151" s="289"/>
      <c r="E151" s="289"/>
      <c r="F151" s="289"/>
      <c r="G151" s="289"/>
    </row>
    <row r="152" spans="1:7">
      <c r="A152" s="170" t="s">
        <v>386</v>
      </c>
      <c r="B152" s="289"/>
      <c r="C152" s="289"/>
      <c r="D152" s="289"/>
      <c r="E152" s="289"/>
      <c r="F152" s="289"/>
      <c r="G152" s="289"/>
    </row>
    <row r="153" spans="1:7">
      <c r="B153" s="289"/>
      <c r="C153" s="289"/>
      <c r="D153" s="289"/>
      <c r="E153" s="289"/>
      <c r="F153" s="289"/>
      <c r="G153" s="289"/>
    </row>
    <row r="154" spans="1:7">
      <c r="B154" s="289" t="s">
        <v>397</v>
      </c>
      <c r="C154" s="289"/>
      <c r="D154" s="289"/>
      <c r="E154" s="289"/>
      <c r="F154" s="289"/>
      <c r="G154" s="289"/>
    </row>
    <row r="155" spans="1:7">
      <c r="B155" s="323" t="s">
        <v>398</v>
      </c>
      <c r="C155" s="289"/>
      <c r="D155" s="289"/>
      <c r="E155" s="289"/>
      <c r="F155" s="289"/>
      <c r="G155" s="289"/>
    </row>
    <row r="156" spans="1:7">
      <c r="B156" s="289"/>
      <c r="C156" s="289"/>
      <c r="D156" s="289"/>
      <c r="E156" s="289"/>
      <c r="F156" s="289"/>
      <c r="G156" s="289"/>
    </row>
    <row r="157" spans="1:7">
      <c r="B157" s="289"/>
      <c r="C157" s="318" t="s">
        <v>396</v>
      </c>
      <c r="D157" s="329"/>
      <c r="E157" s="289"/>
      <c r="F157" s="289"/>
      <c r="G157" s="289"/>
    </row>
    <row r="158" spans="1:7">
      <c r="B158" s="296">
        <v>43070</v>
      </c>
      <c r="C158" s="288">
        <v>0</v>
      </c>
      <c r="D158" s="330"/>
      <c r="E158" s="289"/>
      <c r="F158" s="289"/>
      <c r="G158" s="289"/>
    </row>
    <row r="159" spans="1:7">
      <c r="B159" s="296">
        <v>43101</v>
      </c>
      <c r="C159" s="287">
        <v>0</v>
      </c>
      <c r="D159" s="301"/>
      <c r="E159" s="289"/>
      <c r="F159" s="289"/>
      <c r="G159" s="289"/>
    </row>
    <row r="160" spans="1:7">
      <c r="B160" s="296">
        <v>43132</v>
      </c>
      <c r="C160" s="287">
        <v>0</v>
      </c>
      <c r="D160" s="301"/>
      <c r="E160" s="289"/>
      <c r="F160" s="289"/>
      <c r="G160" s="289"/>
    </row>
    <row r="161" spans="2:7">
      <c r="B161" s="296">
        <v>43160</v>
      </c>
      <c r="C161" s="287">
        <v>0</v>
      </c>
      <c r="D161" s="301"/>
      <c r="E161" s="289"/>
      <c r="F161" s="289"/>
      <c r="G161" s="289"/>
    </row>
    <row r="162" spans="2:7">
      <c r="B162" s="296">
        <v>43191</v>
      </c>
      <c r="C162" s="287">
        <v>0</v>
      </c>
      <c r="D162" s="301"/>
      <c r="E162" s="289"/>
      <c r="F162" s="289"/>
      <c r="G162" s="289"/>
    </row>
    <row r="163" spans="2:7">
      <c r="B163" s="296">
        <v>43221</v>
      </c>
      <c r="C163" s="287">
        <v>0</v>
      </c>
      <c r="D163" s="301"/>
      <c r="E163" s="289"/>
      <c r="F163" s="289"/>
      <c r="G163" s="289"/>
    </row>
    <row r="164" spans="2:7">
      <c r="B164" s="296">
        <v>43252</v>
      </c>
      <c r="C164" s="287">
        <v>0</v>
      </c>
      <c r="D164" s="301"/>
      <c r="E164" s="289"/>
      <c r="F164" s="289"/>
      <c r="G164" s="289"/>
    </row>
    <row r="165" spans="2:7">
      <c r="B165" s="296">
        <v>43282</v>
      </c>
      <c r="C165" s="287">
        <v>0</v>
      </c>
      <c r="D165" s="301"/>
      <c r="E165" s="289"/>
      <c r="F165" s="289"/>
      <c r="G165" s="289"/>
    </row>
    <row r="166" spans="2:7">
      <c r="B166" s="296">
        <v>43313</v>
      </c>
      <c r="C166" s="287">
        <v>0</v>
      </c>
      <c r="D166" s="301"/>
      <c r="E166" s="289"/>
      <c r="F166" s="289"/>
      <c r="G166" s="289"/>
    </row>
    <row r="167" spans="2:7">
      <c r="B167" s="296">
        <v>43344</v>
      </c>
      <c r="C167" s="287">
        <v>0</v>
      </c>
      <c r="D167" s="301"/>
      <c r="E167" s="289"/>
      <c r="F167" s="289"/>
      <c r="G167" s="289"/>
    </row>
    <row r="168" spans="2:7">
      <c r="B168" s="296">
        <v>43374</v>
      </c>
      <c r="C168" s="287">
        <v>0</v>
      </c>
      <c r="D168" s="301"/>
      <c r="E168" s="289"/>
      <c r="F168" s="289"/>
      <c r="G168" s="289"/>
    </row>
    <row r="169" spans="2:7">
      <c r="B169" s="296">
        <v>43405</v>
      </c>
      <c r="C169" s="287">
        <v>0</v>
      </c>
      <c r="D169" s="301"/>
      <c r="E169" s="289"/>
      <c r="F169" s="289"/>
      <c r="G169" s="289"/>
    </row>
    <row r="170" spans="2:7">
      <c r="B170" s="296">
        <v>43435</v>
      </c>
      <c r="C170" s="321">
        <v>0</v>
      </c>
      <c r="D170" s="301"/>
      <c r="E170" s="289"/>
      <c r="F170" s="289"/>
      <c r="G170" s="289"/>
    </row>
    <row r="171" spans="2:7">
      <c r="B171" s="296"/>
      <c r="C171" s="289"/>
      <c r="D171" s="299"/>
      <c r="E171" s="289"/>
      <c r="F171" s="289"/>
      <c r="G171" s="289"/>
    </row>
    <row r="172" spans="2:7">
      <c r="B172" s="297" t="s">
        <v>388</v>
      </c>
      <c r="C172" s="298">
        <f>(C158+C170)/2</f>
        <v>0</v>
      </c>
      <c r="D172" s="326"/>
      <c r="E172" s="289"/>
      <c r="F172" s="289"/>
      <c r="G172" s="289"/>
    </row>
    <row r="173" spans="2:7">
      <c r="B173" s="289"/>
      <c r="C173" s="327"/>
      <c r="D173" s="289"/>
      <c r="E173" s="289"/>
      <c r="F173" s="289"/>
      <c r="G173" s="289"/>
    </row>
    <row r="174" spans="2:7">
      <c r="B174" s="289"/>
      <c r="C174" s="326"/>
      <c r="D174" s="289"/>
      <c r="E174" s="289"/>
      <c r="F174" s="289"/>
      <c r="G174" s="289"/>
    </row>
    <row r="175" spans="2:7">
      <c r="B175" s="289"/>
      <c r="C175" s="298"/>
      <c r="D175" s="289"/>
      <c r="E175" s="289"/>
      <c r="F175" s="289"/>
      <c r="G175" s="289"/>
    </row>
    <row r="176" spans="2:7">
      <c r="B176" s="179"/>
    </row>
  </sheetData>
  <phoneticPr fontId="48" type="noConversion"/>
  <pageMargins left="0.5" right="0.75" top="1" bottom="1" header="0.5" footer="0.5"/>
  <pageSetup scale="60" fitToHeight="4" orientation="portrait" r:id="rId1"/>
  <headerFooter alignWithMargins="0"/>
  <rowBreaks count="3" manualBreakCount="3">
    <brk id="43" max="16383" man="1"/>
    <brk id="69" max="16383" man="1"/>
    <brk id="1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zoomScale="80" zoomScaleNormal="80" workbookViewId="0"/>
  </sheetViews>
  <sheetFormatPr defaultRowHeight="17.25"/>
  <cols>
    <col min="1" max="1" width="8.88671875" style="181"/>
    <col min="2" max="3" width="9" style="192" bestFit="1" customWidth="1"/>
    <col min="4" max="4" width="9" style="181" bestFit="1" customWidth="1"/>
    <col min="5" max="5" width="18.77734375" style="181" customWidth="1"/>
    <col min="6" max="6" width="12.77734375" style="181" customWidth="1"/>
    <col min="7" max="7" width="12.77734375" style="192" customWidth="1"/>
    <col min="8" max="9" width="12.77734375" style="181" customWidth="1"/>
    <col min="10" max="10" width="18.77734375" style="181" customWidth="1"/>
    <col min="11" max="11" width="6.77734375" style="181" customWidth="1"/>
    <col min="12" max="12" width="18.77734375" style="181" customWidth="1"/>
    <col min="13" max="16384" width="8.88671875" style="181"/>
  </cols>
  <sheetData>
    <row r="1" spans="1:12" ht="18.75">
      <c r="A1" s="169" t="s">
        <v>373</v>
      </c>
    </row>
    <row r="2" spans="1:12">
      <c r="A2" s="170" t="s">
        <v>385</v>
      </c>
    </row>
    <row r="3" spans="1:12">
      <c r="A3" s="170" t="s">
        <v>386</v>
      </c>
    </row>
    <row r="5" spans="1:12">
      <c r="B5" s="170" t="s">
        <v>387</v>
      </c>
    </row>
    <row r="6" spans="1:12">
      <c r="B6" s="199"/>
      <c r="C6" s="199"/>
      <c r="D6" s="259"/>
      <c r="E6" s="260" t="s">
        <v>569</v>
      </c>
      <c r="F6" s="259"/>
      <c r="G6" s="199"/>
      <c r="H6" s="259"/>
      <c r="I6" s="259"/>
      <c r="J6" s="259"/>
      <c r="K6" s="259"/>
      <c r="L6" s="259"/>
    </row>
    <row r="7" spans="1:12">
      <c r="B7" s="199"/>
      <c r="C7" s="199" t="s">
        <v>570</v>
      </c>
      <c r="D7" s="261">
        <v>190</v>
      </c>
      <c r="E7" s="262">
        <f>L72+L92</f>
        <v>14583830.318593714</v>
      </c>
      <c r="F7" s="259"/>
      <c r="G7" s="199"/>
      <c r="H7" s="259"/>
      <c r="I7" s="259"/>
      <c r="J7" s="259"/>
      <c r="K7" s="259"/>
      <c r="L7" s="259"/>
    </row>
    <row r="8" spans="1:12">
      <c r="B8" s="199"/>
      <c r="C8" s="199" t="s">
        <v>570</v>
      </c>
      <c r="D8" s="261">
        <v>255</v>
      </c>
      <c r="E8" s="262">
        <v>0</v>
      </c>
      <c r="F8" s="259"/>
      <c r="G8" s="199"/>
      <c r="H8" s="259"/>
      <c r="I8" s="259"/>
      <c r="J8" s="259"/>
      <c r="K8" s="259"/>
      <c r="L8" s="259"/>
    </row>
    <row r="9" spans="1:12">
      <c r="B9" s="199"/>
      <c r="C9" s="199" t="s">
        <v>570</v>
      </c>
      <c r="D9" s="261">
        <v>281</v>
      </c>
      <c r="E9" s="262">
        <v>0</v>
      </c>
      <c r="F9" s="259"/>
      <c r="G9" s="199"/>
      <c r="H9" s="259"/>
      <c r="I9" s="259"/>
      <c r="J9" s="259"/>
      <c r="K9" s="259"/>
      <c r="L9" s="259"/>
    </row>
    <row r="10" spans="1:12">
      <c r="B10" s="199"/>
      <c r="C10" s="199" t="s">
        <v>570</v>
      </c>
      <c r="D10" s="261">
        <v>282</v>
      </c>
      <c r="E10" s="262">
        <f>L32</f>
        <v>-330535034.10338879</v>
      </c>
      <c r="F10" s="259"/>
      <c r="G10" s="199"/>
      <c r="H10" s="259"/>
      <c r="I10" s="259"/>
      <c r="J10" s="259"/>
      <c r="K10" s="259"/>
      <c r="L10" s="259"/>
    </row>
    <row r="11" spans="1:12">
      <c r="B11" s="199"/>
      <c r="C11" s="199" t="s">
        <v>570</v>
      </c>
      <c r="D11" s="261">
        <v>283</v>
      </c>
      <c r="E11" s="262">
        <f>L52</f>
        <v>-25246035.648548335</v>
      </c>
      <c r="F11" s="259"/>
      <c r="G11" s="199"/>
      <c r="H11" s="259"/>
      <c r="I11" s="259"/>
      <c r="J11" s="259"/>
      <c r="K11" s="259"/>
      <c r="L11" s="259"/>
    </row>
    <row r="12" spans="1:12" ht="18" thickBot="1">
      <c r="B12" s="199"/>
      <c r="C12" s="199"/>
      <c r="D12" s="259"/>
      <c r="E12" s="263">
        <f>SUM(E7:E11)</f>
        <v>-341197239.43334341</v>
      </c>
      <c r="F12" s="259"/>
      <c r="G12" s="199"/>
      <c r="H12" s="259"/>
      <c r="I12" s="259"/>
      <c r="J12" s="259"/>
      <c r="K12" s="259"/>
      <c r="L12" s="259"/>
    </row>
    <row r="13" spans="1:12" ht="18" thickTop="1">
      <c r="B13" s="199"/>
      <c r="C13" s="199"/>
      <c r="D13" s="259"/>
      <c r="E13" s="259"/>
      <c r="F13" s="259"/>
      <c r="G13" s="199"/>
      <c r="H13" s="259"/>
      <c r="I13" s="259"/>
      <c r="J13" s="259"/>
      <c r="K13" s="259"/>
      <c r="L13" s="259"/>
    </row>
    <row r="14" spans="1:12">
      <c r="B14" s="199"/>
      <c r="C14" s="199"/>
      <c r="D14" s="259"/>
      <c r="E14" s="259"/>
      <c r="F14" s="259"/>
      <c r="G14" s="199"/>
      <c r="H14" s="259"/>
      <c r="I14" s="264">
        <v>282</v>
      </c>
      <c r="J14" s="264">
        <v>282</v>
      </c>
      <c r="K14" s="265"/>
      <c r="L14" s="259"/>
    </row>
    <row r="15" spans="1:12">
      <c r="B15" s="266"/>
      <c r="C15" s="266"/>
      <c r="D15" s="267"/>
      <c r="E15" s="264">
        <v>282</v>
      </c>
      <c r="F15" s="264">
        <v>282</v>
      </c>
      <c r="G15" s="266" t="s">
        <v>571</v>
      </c>
      <c r="H15" s="267"/>
      <c r="I15" s="267" t="s">
        <v>572</v>
      </c>
      <c r="J15" s="267" t="s">
        <v>573</v>
      </c>
      <c r="K15" s="267"/>
      <c r="L15" s="267" t="s">
        <v>574</v>
      </c>
    </row>
    <row r="16" spans="1:12" ht="18" thickBot="1">
      <c r="B16" s="268" t="s">
        <v>263</v>
      </c>
      <c r="C16" s="268" t="s">
        <v>575</v>
      </c>
      <c r="D16" s="269" t="s">
        <v>576</v>
      </c>
      <c r="E16" s="269" t="s">
        <v>570</v>
      </c>
      <c r="F16" s="269" t="s">
        <v>577</v>
      </c>
      <c r="G16" s="268" t="s">
        <v>578</v>
      </c>
      <c r="H16" s="269" t="s">
        <v>579</v>
      </c>
      <c r="I16" s="269" t="s">
        <v>577</v>
      </c>
      <c r="J16" s="269" t="s">
        <v>570</v>
      </c>
      <c r="K16" s="269"/>
      <c r="L16" s="269" t="s">
        <v>580</v>
      </c>
    </row>
    <row r="17" spans="2:15">
      <c r="B17" s="199"/>
      <c r="C17" s="199"/>
      <c r="D17" s="259"/>
      <c r="E17" s="259"/>
      <c r="F17" s="259"/>
      <c r="G17" s="199"/>
      <c r="H17" s="259"/>
      <c r="I17" s="259"/>
      <c r="J17" s="259"/>
      <c r="K17" s="259"/>
      <c r="L17" s="259"/>
    </row>
    <row r="18" spans="2:15">
      <c r="B18" s="199">
        <v>1</v>
      </c>
      <c r="C18" s="199">
        <v>2017</v>
      </c>
      <c r="D18" s="270" t="s">
        <v>581</v>
      </c>
      <c r="E18" s="271">
        <v>-326197121.05739021</v>
      </c>
      <c r="F18" s="262"/>
      <c r="G18" s="199"/>
      <c r="H18" s="259"/>
      <c r="I18" s="262"/>
      <c r="J18" s="262">
        <f>E18</f>
        <v>-326197121.05739021</v>
      </c>
      <c r="K18" s="262"/>
      <c r="L18" s="262">
        <f>+J18</f>
        <v>-326197121.05739021</v>
      </c>
      <c r="O18" s="181" t="s">
        <v>595</v>
      </c>
    </row>
    <row r="19" spans="2:15">
      <c r="B19" s="199">
        <v>2</v>
      </c>
      <c r="C19" s="199">
        <v>2018</v>
      </c>
      <c r="D19" s="270" t="s">
        <v>582</v>
      </c>
      <c r="E19" s="271">
        <f>+(($E$30-$E$18)/12)+E18</f>
        <v>-327757829.05323988</v>
      </c>
      <c r="F19" s="262">
        <f>E19-E18</f>
        <v>-1560707.995849669</v>
      </c>
      <c r="G19" s="199">
        <v>335</v>
      </c>
      <c r="H19" s="272">
        <f>G19/365</f>
        <v>0.9178082191780822</v>
      </c>
      <c r="I19" s="262">
        <f>H19*F19</f>
        <v>-1432430.6263277784</v>
      </c>
      <c r="J19" s="262">
        <f>J18+I19</f>
        <v>-327629551.68371797</v>
      </c>
      <c r="K19" s="262"/>
      <c r="L19" s="259"/>
    </row>
    <row r="20" spans="2:15">
      <c r="B20" s="199">
        <v>3</v>
      </c>
      <c r="C20" s="199">
        <v>2018</v>
      </c>
      <c r="D20" s="270" t="s">
        <v>583</v>
      </c>
      <c r="E20" s="271">
        <f t="shared" ref="E20:E29" si="0">+(($E$30-$E$18)/12)+E19</f>
        <v>-329318537.04908955</v>
      </c>
      <c r="F20" s="262">
        <f>E20-E19</f>
        <v>-1560707.995849669</v>
      </c>
      <c r="G20" s="199">
        <v>307</v>
      </c>
      <c r="H20" s="272">
        <f t="shared" ref="H20:H30" si="1">G20/365</f>
        <v>0.84109589041095889</v>
      </c>
      <c r="I20" s="262">
        <f t="shared" ref="I20:I30" si="2">H20*F20</f>
        <v>-1312705.0814406804</v>
      </c>
      <c r="J20" s="262">
        <f>J19+I20</f>
        <v>-328942256.76515865</v>
      </c>
      <c r="K20" s="262"/>
      <c r="L20" s="259"/>
    </row>
    <row r="21" spans="2:15">
      <c r="B21" s="199">
        <v>4</v>
      </c>
      <c r="C21" s="199">
        <v>2018</v>
      </c>
      <c r="D21" s="270" t="s">
        <v>584</v>
      </c>
      <c r="E21" s="271">
        <f t="shared" si="0"/>
        <v>-330879245.04493922</v>
      </c>
      <c r="F21" s="262">
        <f t="shared" ref="F21:F30" si="3">E21-E20</f>
        <v>-1560707.995849669</v>
      </c>
      <c r="G21" s="199">
        <v>276</v>
      </c>
      <c r="H21" s="272">
        <f t="shared" si="1"/>
        <v>0.75616438356164384</v>
      </c>
      <c r="I21" s="262">
        <f t="shared" si="2"/>
        <v>-1180151.7996013935</v>
      </c>
      <c r="J21" s="262">
        <f t="shared" ref="J21:J30" si="4">J20+I21</f>
        <v>-330122408.56476003</v>
      </c>
      <c r="K21" s="262"/>
      <c r="L21" s="259"/>
    </row>
    <row r="22" spans="2:15">
      <c r="B22" s="199">
        <v>5</v>
      </c>
      <c r="C22" s="199">
        <v>2018</v>
      </c>
      <c r="D22" s="270" t="s">
        <v>585</v>
      </c>
      <c r="E22" s="271">
        <f t="shared" si="0"/>
        <v>-332439953.04078889</v>
      </c>
      <c r="F22" s="262">
        <f t="shared" si="3"/>
        <v>-1560707.995849669</v>
      </c>
      <c r="G22" s="199">
        <v>246</v>
      </c>
      <c r="H22" s="272">
        <f t="shared" si="1"/>
        <v>0.67397260273972603</v>
      </c>
      <c r="I22" s="262">
        <f t="shared" si="2"/>
        <v>-1051874.430079503</v>
      </c>
      <c r="J22" s="262">
        <f t="shared" si="4"/>
        <v>-331174282.99483955</v>
      </c>
      <c r="K22" s="262"/>
      <c r="L22" s="259"/>
    </row>
    <row r="23" spans="2:15">
      <c r="B23" s="199">
        <v>6</v>
      </c>
      <c r="C23" s="199">
        <v>2018</v>
      </c>
      <c r="D23" s="270" t="s">
        <v>445</v>
      </c>
      <c r="E23" s="271">
        <f t="shared" si="0"/>
        <v>-334000661.03663856</v>
      </c>
      <c r="F23" s="262">
        <f t="shared" si="3"/>
        <v>-1560707.995849669</v>
      </c>
      <c r="G23" s="199">
        <v>215</v>
      </c>
      <c r="H23" s="272">
        <f t="shared" si="1"/>
        <v>0.58904109589041098</v>
      </c>
      <c r="I23" s="262">
        <f t="shared" si="2"/>
        <v>-919321.14824021596</v>
      </c>
      <c r="J23" s="262">
        <f t="shared" si="4"/>
        <v>-332093604.14307976</v>
      </c>
      <c r="K23" s="262"/>
      <c r="L23" s="259"/>
    </row>
    <row r="24" spans="2:15">
      <c r="B24" s="199">
        <v>7</v>
      </c>
      <c r="C24" s="199">
        <v>2018</v>
      </c>
      <c r="D24" s="270" t="s">
        <v>586</v>
      </c>
      <c r="E24" s="271">
        <f t="shared" si="0"/>
        <v>-335561369.03248823</v>
      </c>
      <c r="F24" s="262">
        <f t="shared" si="3"/>
        <v>-1560707.995849669</v>
      </c>
      <c r="G24" s="199">
        <v>185</v>
      </c>
      <c r="H24" s="272">
        <f t="shared" si="1"/>
        <v>0.50684931506849318</v>
      </c>
      <c r="I24" s="262">
        <f t="shared" si="2"/>
        <v>-791043.77871832543</v>
      </c>
      <c r="J24" s="262">
        <f t="shared" si="4"/>
        <v>-332884647.92179811</v>
      </c>
      <c r="K24" s="262"/>
      <c r="L24" s="259"/>
    </row>
    <row r="25" spans="2:15">
      <c r="B25" s="199">
        <v>8</v>
      </c>
      <c r="C25" s="199">
        <v>2018</v>
      </c>
      <c r="D25" s="270" t="s">
        <v>587</v>
      </c>
      <c r="E25" s="271">
        <f t="shared" si="0"/>
        <v>-337122077.0283379</v>
      </c>
      <c r="F25" s="262">
        <f t="shared" si="3"/>
        <v>-1560707.995849669</v>
      </c>
      <c r="G25" s="199">
        <v>154</v>
      </c>
      <c r="H25" s="272">
        <f t="shared" si="1"/>
        <v>0.42191780821917807</v>
      </c>
      <c r="I25" s="262">
        <f t="shared" si="2"/>
        <v>-658490.4968790384</v>
      </c>
      <c r="J25" s="262">
        <f t="shared" si="4"/>
        <v>-333543138.41867715</v>
      </c>
      <c r="K25" s="262"/>
      <c r="L25" s="259"/>
    </row>
    <row r="26" spans="2:15">
      <c r="B26" s="199">
        <v>9</v>
      </c>
      <c r="C26" s="199">
        <v>2018</v>
      </c>
      <c r="D26" s="270" t="s">
        <v>588</v>
      </c>
      <c r="E26" s="271">
        <f t="shared" si="0"/>
        <v>-338682785.02418756</v>
      </c>
      <c r="F26" s="262">
        <f t="shared" si="3"/>
        <v>-1560707.995849669</v>
      </c>
      <c r="G26" s="199">
        <v>123</v>
      </c>
      <c r="H26" s="272">
        <f t="shared" si="1"/>
        <v>0.33698630136986302</v>
      </c>
      <c r="I26" s="262">
        <f t="shared" si="2"/>
        <v>-525937.21503975149</v>
      </c>
      <c r="J26" s="262">
        <f t="shared" si="4"/>
        <v>-334069075.63371688</v>
      </c>
      <c r="K26" s="262"/>
      <c r="L26" s="259"/>
    </row>
    <row r="27" spans="2:15">
      <c r="B27" s="199">
        <v>10</v>
      </c>
      <c r="C27" s="199">
        <v>2018</v>
      </c>
      <c r="D27" s="270" t="s">
        <v>589</v>
      </c>
      <c r="E27" s="271">
        <f t="shared" si="0"/>
        <v>-340243493.02003723</v>
      </c>
      <c r="F27" s="262">
        <f t="shared" si="3"/>
        <v>-1560707.995849669</v>
      </c>
      <c r="G27" s="199">
        <v>93</v>
      </c>
      <c r="H27" s="272">
        <f t="shared" si="1"/>
        <v>0.25479452054794521</v>
      </c>
      <c r="I27" s="262">
        <f t="shared" si="2"/>
        <v>-397659.8455178609</v>
      </c>
      <c r="J27" s="262">
        <f t="shared" si="4"/>
        <v>-334466735.47923476</v>
      </c>
      <c r="K27" s="262"/>
      <c r="L27" s="259"/>
    </row>
    <row r="28" spans="2:15">
      <c r="B28" s="199">
        <v>11</v>
      </c>
      <c r="C28" s="199">
        <v>2018</v>
      </c>
      <c r="D28" s="270" t="s">
        <v>590</v>
      </c>
      <c r="E28" s="271">
        <f t="shared" si="0"/>
        <v>-341804201.0158869</v>
      </c>
      <c r="F28" s="262">
        <f t="shared" si="3"/>
        <v>-1560707.995849669</v>
      </c>
      <c r="G28" s="199">
        <v>62</v>
      </c>
      <c r="H28" s="272">
        <f t="shared" si="1"/>
        <v>0.16986301369863013</v>
      </c>
      <c r="I28" s="262">
        <f t="shared" si="2"/>
        <v>-265106.56367857388</v>
      </c>
      <c r="J28" s="262">
        <f t="shared" si="4"/>
        <v>-334731842.04291332</v>
      </c>
      <c r="K28" s="262"/>
      <c r="L28" s="259"/>
    </row>
    <row r="29" spans="2:15">
      <c r="B29" s="199">
        <v>12</v>
      </c>
      <c r="C29" s="199">
        <v>2018</v>
      </c>
      <c r="D29" s="270" t="s">
        <v>591</v>
      </c>
      <c r="E29" s="271">
        <f t="shared" si="0"/>
        <v>-343364909.01173657</v>
      </c>
      <c r="F29" s="262">
        <f t="shared" si="3"/>
        <v>-1560707.995849669</v>
      </c>
      <c r="G29" s="199">
        <v>32</v>
      </c>
      <c r="H29" s="272">
        <f t="shared" si="1"/>
        <v>8.7671232876712329E-2</v>
      </c>
      <c r="I29" s="262">
        <f t="shared" si="2"/>
        <v>-136829.19415668331</v>
      </c>
      <c r="J29" s="262">
        <f t="shared" si="4"/>
        <v>-334868671.23707002</v>
      </c>
      <c r="K29" s="262"/>
      <c r="L29" s="259"/>
    </row>
    <row r="30" spans="2:15">
      <c r="B30" s="199">
        <v>13</v>
      </c>
      <c r="C30" s="199">
        <v>2018</v>
      </c>
      <c r="D30" s="270" t="s">
        <v>581</v>
      </c>
      <c r="E30" s="271">
        <v>-344925617.0075863</v>
      </c>
      <c r="F30" s="262">
        <f t="shared" si="3"/>
        <v>-1560707.9958497286</v>
      </c>
      <c r="G30" s="199">
        <v>1</v>
      </c>
      <c r="H30" s="272">
        <f t="shared" si="1"/>
        <v>2.7397260273972603E-3</v>
      </c>
      <c r="I30" s="262">
        <f t="shared" si="2"/>
        <v>-4275.9123173965163</v>
      </c>
      <c r="J30" s="262">
        <f t="shared" si="4"/>
        <v>-334872947.14938742</v>
      </c>
      <c r="K30" s="262"/>
      <c r="L30" s="262">
        <f>+J30</f>
        <v>-334872947.14938742</v>
      </c>
    </row>
    <row r="31" spans="2:15">
      <c r="B31" s="199"/>
      <c r="C31" s="199"/>
      <c r="D31" s="259"/>
      <c r="E31" s="273"/>
      <c r="F31" s="259"/>
      <c r="G31" s="199"/>
      <c r="H31" s="259"/>
      <c r="I31" s="259"/>
      <c r="J31" s="259"/>
      <c r="K31" s="274" t="s">
        <v>592</v>
      </c>
      <c r="L31" s="275">
        <f>SUM(L18:L30)</f>
        <v>-661070068.20677757</v>
      </c>
    </row>
    <row r="32" spans="2:15">
      <c r="B32" s="199"/>
      <c r="C32" s="199"/>
      <c r="D32" s="259"/>
      <c r="E32" s="273"/>
      <c r="F32" s="259"/>
      <c r="G32" s="199"/>
      <c r="H32" s="259"/>
      <c r="I32" s="259"/>
      <c r="J32" s="259"/>
      <c r="K32" s="276" t="s">
        <v>580</v>
      </c>
      <c r="L32" s="277">
        <f>+L31/2</f>
        <v>-330535034.10338879</v>
      </c>
    </row>
    <row r="33" spans="2:12">
      <c r="B33" s="199"/>
      <c r="C33" s="199"/>
      <c r="D33" s="259"/>
      <c r="E33" s="273"/>
      <c r="F33" s="259"/>
      <c r="G33" s="199"/>
      <c r="H33" s="259"/>
      <c r="I33" s="259"/>
      <c r="J33" s="259"/>
      <c r="K33" s="276"/>
      <c r="L33" s="285"/>
    </row>
    <row r="34" spans="2:12">
      <c r="B34" s="199"/>
      <c r="C34" s="199"/>
      <c r="D34" s="259"/>
      <c r="E34" s="273"/>
      <c r="F34" s="259"/>
      <c r="G34" s="199"/>
      <c r="H34" s="259"/>
      <c r="I34" s="264">
        <v>283</v>
      </c>
      <c r="J34" s="264">
        <v>283</v>
      </c>
      <c r="K34" s="265"/>
      <c r="L34" s="259"/>
    </row>
    <row r="35" spans="2:12">
      <c r="B35" s="266"/>
      <c r="C35" s="266"/>
      <c r="D35" s="267"/>
      <c r="E35" s="278">
        <v>283</v>
      </c>
      <c r="F35" s="264">
        <v>283</v>
      </c>
      <c r="G35" s="266" t="s">
        <v>571</v>
      </c>
      <c r="H35" s="267"/>
      <c r="I35" s="267" t="s">
        <v>572</v>
      </c>
      <c r="J35" s="267" t="s">
        <v>573</v>
      </c>
      <c r="K35" s="267"/>
      <c r="L35" s="267" t="s">
        <v>574</v>
      </c>
    </row>
    <row r="36" spans="2:12" ht="18" thickBot="1">
      <c r="B36" s="268" t="s">
        <v>263</v>
      </c>
      <c r="C36" s="268" t="s">
        <v>575</v>
      </c>
      <c r="D36" s="269" t="s">
        <v>576</v>
      </c>
      <c r="E36" s="279" t="s">
        <v>570</v>
      </c>
      <c r="F36" s="269" t="s">
        <v>577</v>
      </c>
      <c r="G36" s="268" t="s">
        <v>578</v>
      </c>
      <c r="H36" s="269" t="s">
        <v>579</v>
      </c>
      <c r="I36" s="269" t="s">
        <v>577</v>
      </c>
      <c r="J36" s="269" t="s">
        <v>570</v>
      </c>
      <c r="K36" s="269"/>
      <c r="L36" s="269" t="s">
        <v>580</v>
      </c>
    </row>
    <row r="37" spans="2:12">
      <c r="B37" s="199"/>
      <c r="C37" s="199"/>
      <c r="D37" s="259"/>
      <c r="E37" s="273"/>
      <c r="F37" s="259"/>
      <c r="G37" s="199"/>
      <c r="H37" s="259"/>
      <c r="I37" s="259"/>
      <c r="J37" s="259"/>
      <c r="K37" s="259"/>
      <c r="L37" s="259"/>
    </row>
    <row r="38" spans="2:12">
      <c r="B38" s="199">
        <v>1</v>
      </c>
      <c r="C38" s="199">
        <v>2017</v>
      </c>
      <c r="D38" s="270" t="s">
        <v>581</v>
      </c>
      <c r="E38" s="271">
        <v>-26969355.278063752</v>
      </c>
      <c r="F38" s="280"/>
      <c r="G38" s="281"/>
      <c r="H38" s="282"/>
      <c r="I38" s="280"/>
      <c r="J38" s="262">
        <f>E38</f>
        <v>-26969355.278063752</v>
      </c>
      <c r="K38" s="262"/>
      <c r="L38" s="262">
        <f>+J38</f>
        <v>-26969355.278063752</v>
      </c>
    </row>
    <row r="39" spans="2:12">
      <c r="B39" s="199">
        <v>2</v>
      </c>
      <c r="C39" s="199">
        <v>2018</v>
      </c>
      <c r="D39" s="270" t="s">
        <v>582</v>
      </c>
      <c r="E39" s="271">
        <f>+(($E$50-$E$38)/12)+E38</f>
        <v>-26682135.339811184</v>
      </c>
      <c r="F39" s="280"/>
      <c r="G39" s="281"/>
      <c r="H39" s="283"/>
      <c r="I39" s="280"/>
      <c r="J39" s="262">
        <f t="shared" ref="J39:J50" si="5">E39</f>
        <v>-26682135.339811184</v>
      </c>
      <c r="K39" s="262"/>
      <c r="L39" s="259"/>
    </row>
    <row r="40" spans="2:12">
      <c r="B40" s="199">
        <v>3</v>
      </c>
      <c r="C40" s="199">
        <v>2018</v>
      </c>
      <c r="D40" s="270" t="s">
        <v>583</v>
      </c>
      <c r="E40" s="271">
        <f>+(($E$50-$E$38)/12)+E39</f>
        <v>-26394915.401558615</v>
      </c>
      <c r="F40" s="280"/>
      <c r="G40" s="281"/>
      <c r="H40" s="283"/>
      <c r="I40" s="280"/>
      <c r="J40" s="262">
        <f t="shared" si="5"/>
        <v>-26394915.401558615</v>
      </c>
      <c r="K40" s="262"/>
      <c r="L40" s="259"/>
    </row>
    <row r="41" spans="2:12">
      <c r="B41" s="199">
        <v>4</v>
      </c>
      <c r="C41" s="199">
        <v>2018</v>
      </c>
      <c r="D41" s="270" t="s">
        <v>584</v>
      </c>
      <c r="E41" s="271">
        <f t="shared" ref="E41:E49" si="6">+(($E$50-$E$38)/12)+E40</f>
        <v>-26107695.463306047</v>
      </c>
      <c r="F41" s="280"/>
      <c r="G41" s="281"/>
      <c r="H41" s="283"/>
      <c r="I41" s="280"/>
      <c r="J41" s="262">
        <f t="shared" si="5"/>
        <v>-26107695.463306047</v>
      </c>
      <c r="K41" s="262"/>
      <c r="L41" s="259"/>
    </row>
    <row r="42" spans="2:12">
      <c r="B42" s="199">
        <v>5</v>
      </c>
      <c r="C42" s="199">
        <v>2018</v>
      </c>
      <c r="D42" s="270" t="s">
        <v>585</v>
      </c>
      <c r="E42" s="271">
        <f t="shared" si="6"/>
        <v>-25820475.525053479</v>
      </c>
      <c r="F42" s="280"/>
      <c r="G42" s="281"/>
      <c r="H42" s="283"/>
      <c r="I42" s="280"/>
      <c r="J42" s="262">
        <f t="shared" si="5"/>
        <v>-25820475.525053479</v>
      </c>
      <c r="K42" s="262"/>
      <c r="L42" s="259"/>
    </row>
    <row r="43" spans="2:12">
      <c r="B43" s="199">
        <v>6</v>
      </c>
      <c r="C43" s="199">
        <v>2018</v>
      </c>
      <c r="D43" s="270" t="s">
        <v>445</v>
      </c>
      <c r="E43" s="271">
        <f t="shared" si="6"/>
        <v>-25533255.586800911</v>
      </c>
      <c r="F43" s="280"/>
      <c r="G43" s="281"/>
      <c r="H43" s="283"/>
      <c r="I43" s="280"/>
      <c r="J43" s="262">
        <f t="shared" si="5"/>
        <v>-25533255.586800911</v>
      </c>
      <c r="K43" s="262"/>
      <c r="L43" s="259"/>
    </row>
    <row r="44" spans="2:12">
      <c r="B44" s="199">
        <v>7</v>
      </c>
      <c r="C44" s="199">
        <v>2018</v>
      </c>
      <c r="D44" s="270" t="s">
        <v>586</v>
      </c>
      <c r="E44" s="271">
        <f t="shared" si="6"/>
        <v>-25246035.648548342</v>
      </c>
      <c r="F44" s="280"/>
      <c r="G44" s="281"/>
      <c r="H44" s="283"/>
      <c r="I44" s="280"/>
      <c r="J44" s="262">
        <f t="shared" si="5"/>
        <v>-25246035.648548342</v>
      </c>
      <c r="K44" s="262"/>
      <c r="L44" s="259"/>
    </row>
    <row r="45" spans="2:12">
      <c r="B45" s="199">
        <v>8</v>
      </c>
      <c r="C45" s="199">
        <v>2018</v>
      </c>
      <c r="D45" s="270" t="s">
        <v>587</v>
      </c>
      <c r="E45" s="271">
        <f t="shared" si="6"/>
        <v>-24958815.710295774</v>
      </c>
      <c r="F45" s="280"/>
      <c r="G45" s="281"/>
      <c r="H45" s="283"/>
      <c r="I45" s="280"/>
      <c r="J45" s="262">
        <f t="shared" si="5"/>
        <v>-24958815.710295774</v>
      </c>
      <c r="K45" s="262"/>
      <c r="L45" s="259"/>
    </row>
    <row r="46" spans="2:12">
      <c r="B46" s="199">
        <v>9</v>
      </c>
      <c r="C46" s="199">
        <v>2018</v>
      </c>
      <c r="D46" s="270" t="s">
        <v>588</v>
      </c>
      <c r="E46" s="271">
        <f t="shared" si="6"/>
        <v>-24671595.772043206</v>
      </c>
      <c r="F46" s="280"/>
      <c r="G46" s="281"/>
      <c r="H46" s="283"/>
      <c r="I46" s="280"/>
      <c r="J46" s="262">
        <f t="shared" si="5"/>
        <v>-24671595.772043206</v>
      </c>
      <c r="K46" s="262"/>
      <c r="L46" s="259"/>
    </row>
    <row r="47" spans="2:12">
      <c r="B47" s="199">
        <v>10</v>
      </c>
      <c r="C47" s="199">
        <v>2018</v>
      </c>
      <c r="D47" s="270" t="s">
        <v>589</v>
      </c>
      <c r="E47" s="271">
        <f t="shared" si="6"/>
        <v>-24384375.833790638</v>
      </c>
      <c r="F47" s="280"/>
      <c r="G47" s="281"/>
      <c r="H47" s="283"/>
      <c r="I47" s="280"/>
      <c r="J47" s="262">
        <f t="shared" si="5"/>
        <v>-24384375.833790638</v>
      </c>
      <c r="K47" s="262"/>
      <c r="L47" s="259"/>
    </row>
    <row r="48" spans="2:12">
      <c r="B48" s="199">
        <v>11</v>
      </c>
      <c r="C48" s="199">
        <v>2018</v>
      </c>
      <c r="D48" s="270" t="s">
        <v>590</v>
      </c>
      <c r="E48" s="271">
        <f t="shared" si="6"/>
        <v>-24097155.895538069</v>
      </c>
      <c r="F48" s="280"/>
      <c r="G48" s="281"/>
      <c r="H48" s="283"/>
      <c r="I48" s="280"/>
      <c r="J48" s="262">
        <f t="shared" si="5"/>
        <v>-24097155.895538069</v>
      </c>
      <c r="K48" s="262"/>
      <c r="L48" s="259"/>
    </row>
    <row r="49" spans="2:12">
      <c r="B49" s="199">
        <v>12</v>
      </c>
      <c r="C49" s="199">
        <v>2018</v>
      </c>
      <c r="D49" s="270" t="s">
        <v>591</v>
      </c>
      <c r="E49" s="271">
        <f t="shared" si="6"/>
        <v>-23809935.957285501</v>
      </c>
      <c r="F49" s="280"/>
      <c r="G49" s="281"/>
      <c r="H49" s="283"/>
      <c r="I49" s="280"/>
      <c r="J49" s="262">
        <f t="shared" si="5"/>
        <v>-23809935.957285501</v>
      </c>
      <c r="K49" s="262"/>
      <c r="L49" s="259"/>
    </row>
    <row r="50" spans="2:12">
      <c r="B50" s="199">
        <v>13</v>
      </c>
      <c r="C50" s="199">
        <v>2018</v>
      </c>
      <c r="D50" s="270" t="s">
        <v>581</v>
      </c>
      <c r="E50" s="271">
        <v>-23522716.019032918</v>
      </c>
      <c r="F50" s="280"/>
      <c r="G50" s="281"/>
      <c r="H50" s="283"/>
      <c r="I50" s="280"/>
      <c r="J50" s="262">
        <f t="shared" si="5"/>
        <v>-23522716.019032918</v>
      </c>
      <c r="K50" s="262"/>
      <c r="L50" s="262">
        <f>+J50</f>
        <v>-23522716.019032918</v>
      </c>
    </row>
    <row r="51" spans="2:12">
      <c r="B51" s="199"/>
      <c r="C51" s="199"/>
      <c r="D51" s="259"/>
      <c r="E51" s="273"/>
      <c r="F51" s="259"/>
      <c r="G51" s="199"/>
      <c r="H51" s="259"/>
      <c r="I51" s="262"/>
      <c r="J51" s="259"/>
      <c r="K51" s="274" t="s">
        <v>592</v>
      </c>
      <c r="L51" s="275">
        <f>SUM(L38:L50)</f>
        <v>-50492071.29709667</v>
      </c>
    </row>
    <row r="52" spans="2:12">
      <c r="B52" s="199"/>
      <c r="C52" s="199"/>
      <c r="D52" s="259"/>
      <c r="E52" s="273"/>
      <c r="F52" s="259"/>
      <c r="G52" s="199"/>
      <c r="H52" s="259"/>
      <c r="I52" s="259"/>
      <c r="J52" s="259"/>
      <c r="K52" s="276" t="s">
        <v>580</v>
      </c>
      <c r="L52" s="277">
        <f>+L51/2</f>
        <v>-25246035.648548335</v>
      </c>
    </row>
    <row r="53" spans="2:12">
      <c r="B53" s="199"/>
      <c r="C53" s="199"/>
      <c r="D53" s="259"/>
      <c r="E53" s="273"/>
      <c r="F53" s="259"/>
      <c r="G53" s="199"/>
      <c r="H53" s="259"/>
      <c r="I53" s="259"/>
      <c r="J53" s="259"/>
      <c r="K53" s="276"/>
      <c r="L53" s="285"/>
    </row>
    <row r="54" spans="2:12" hidden="1">
      <c r="B54" s="284" t="s">
        <v>593</v>
      </c>
      <c r="C54" s="199"/>
      <c r="D54" s="259"/>
      <c r="E54" s="273"/>
      <c r="F54" s="259"/>
      <c r="G54" s="199"/>
      <c r="H54" s="259"/>
      <c r="I54" s="264">
        <v>190</v>
      </c>
      <c r="J54" s="264">
        <v>190</v>
      </c>
      <c r="K54" s="265"/>
      <c r="L54" s="259"/>
    </row>
    <row r="55" spans="2:12" hidden="1">
      <c r="B55" s="266"/>
      <c r="C55" s="266"/>
      <c r="D55" s="267"/>
      <c r="E55" s="278">
        <v>190</v>
      </c>
      <c r="F55" s="264">
        <v>190</v>
      </c>
      <c r="G55" s="266" t="s">
        <v>571</v>
      </c>
      <c r="H55" s="267"/>
      <c r="I55" s="267" t="s">
        <v>572</v>
      </c>
      <c r="J55" s="267" t="s">
        <v>573</v>
      </c>
      <c r="K55" s="267"/>
      <c r="L55" s="267" t="s">
        <v>574</v>
      </c>
    </row>
    <row r="56" spans="2:12" ht="18" hidden="1" thickBot="1">
      <c r="B56" s="268" t="s">
        <v>263</v>
      </c>
      <c r="C56" s="268" t="s">
        <v>575</v>
      </c>
      <c r="D56" s="269" t="s">
        <v>576</v>
      </c>
      <c r="E56" s="279" t="s">
        <v>570</v>
      </c>
      <c r="F56" s="269" t="s">
        <v>577</v>
      </c>
      <c r="G56" s="268" t="s">
        <v>578</v>
      </c>
      <c r="H56" s="269" t="s">
        <v>579</v>
      </c>
      <c r="I56" s="269" t="s">
        <v>577</v>
      </c>
      <c r="J56" s="269" t="s">
        <v>570</v>
      </c>
      <c r="K56" s="269"/>
      <c r="L56" s="269" t="s">
        <v>580</v>
      </c>
    </row>
    <row r="57" spans="2:12" hidden="1">
      <c r="B57" s="199"/>
      <c r="C57" s="199"/>
      <c r="D57" s="259"/>
      <c r="E57" s="273"/>
      <c r="F57" s="259"/>
      <c r="G57" s="199"/>
      <c r="H57" s="259"/>
      <c r="I57" s="259"/>
      <c r="J57" s="259"/>
      <c r="K57" s="259"/>
      <c r="L57" s="259"/>
    </row>
    <row r="58" spans="2:12" hidden="1">
      <c r="B58" s="199">
        <v>1</v>
      </c>
      <c r="C58" s="199">
        <v>2016</v>
      </c>
      <c r="D58" s="270" t="s">
        <v>581</v>
      </c>
      <c r="E58" s="271">
        <v>0</v>
      </c>
      <c r="F58" s="262"/>
      <c r="G58" s="199"/>
      <c r="H58" s="259"/>
      <c r="I58" s="262"/>
      <c r="J58" s="262">
        <f>E58</f>
        <v>0</v>
      </c>
      <c r="K58" s="262"/>
      <c r="L58" s="262">
        <f>+J58</f>
        <v>0</v>
      </c>
    </row>
    <row r="59" spans="2:12" hidden="1">
      <c r="B59" s="199">
        <v>2</v>
      </c>
      <c r="C59" s="199">
        <v>2017</v>
      </c>
      <c r="D59" s="270" t="s">
        <v>582</v>
      </c>
      <c r="E59" s="271">
        <f>+(($E$70-$E$58)/12)+E58</f>
        <v>0</v>
      </c>
      <c r="F59" s="262">
        <f>E59-E58</f>
        <v>0</v>
      </c>
      <c r="G59" s="199">
        <v>335</v>
      </c>
      <c r="H59" s="272">
        <f>G59/365</f>
        <v>0.9178082191780822</v>
      </c>
      <c r="I59" s="262">
        <f>H59*F59</f>
        <v>0</v>
      </c>
      <c r="J59" s="262">
        <f>J58+I59</f>
        <v>0</v>
      </c>
      <c r="K59" s="262"/>
      <c r="L59" s="259"/>
    </row>
    <row r="60" spans="2:12" hidden="1">
      <c r="B60" s="199">
        <v>3</v>
      </c>
      <c r="C60" s="199">
        <v>2017</v>
      </c>
      <c r="D60" s="270" t="s">
        <v>583</v>
      </c>
      <c r="E60" s="271">
        <f t="shared" ref="E60:E69" si="7">+(($E$70-$E$58)/12)+E59</f>
        <v>0</v>
      </c>
      <c r="F60" s="262">
        <f>E60-E59</f>
        <v>0</v>
      </c>
      <c r="G60" s="199">
        <v>307</v>
      </c>
      <c r="H60" s="272">
        <f t="shared" ref="H60:H70" si="8">G60/365</f>
        <v>0.84109589041095889</v>
      </c>
      <c r="I60" s="262">
        <f t="shared" ref="I60:I70" si="9">H60*F60</f>
        <v>0</v>
      </c>
      <c r="J60" s="262">
        <f>J59+I60</f>
        <v>0</v>
      </c>
      <c r="K60" s="262"/>
      <c r="L60" s="259"/>
    </row>
    <row r="61" spans="2:12" hidden="1">
      <c r="B61" s="199">
        <v>4</v>
      </c>
      <c r="C61" s="199">
        <v>2017</v>
      </c>
      <c r="D61" s="270" t="s">
        <v>584</v>
      </c>
      <c r="E61" s="271">
        <f t="shared" si="7"/>
        <v>0</v>
      </c>
      <c r="F61" s="262">
        <f t="shared" ref="F61:F70" si="10">E61-E60</f>
        <v>0</v>
      </c>
      <c r="G61" s="199">
        <v>276</v>
      </c>
      <c r="H61" s="272">
        <f t="shared" si="8"/>
        <v>0.75616438356164384</v>
      </c>
      <c r="I61" s="262">
        <f t="shared" si="9"/>
        <v>0</v>
      </c>
      <c r="J61" s="262">
        <f t="shared" ref="J61:J70" si="11">J60+I61</f>
        <v>0</v>
      </c>
      <c r="K61" s="262"/>
      <c r="L61" s="259"/>
    </row>
    <row r="62" spans="2:12" hidden="1">
      <c r="B62" s="199">
        <v>5</v>
      </c>
      <c r="C62" s="199">
        <v>2017</v>
      </c>
      <c r="D62" s="270" t="s">
        <v>585</v>
      </c>
      <c r="E62" s="271">
        <f t="shared" si="7"/>
        <v>0</v>
      </c>
      <c r="F62" s="262">
        <f t="shared" si="10"/>
        <v>0</v>
      </c>
      <c r="G62" s="199">
        <v>246</v>
      </c>
      <c r="H62" s="272">
        <f t="shared" si="8"/>
        <v>0.67397260273972603</v>
      </c>
      <c r="I62" s="262">
        <f t="shared" si="9"/>
        <v>0</v>
      </c>
      <c r="J62" s="262">
        <f t="shared" si="11"/>
        <v>0</v>
      </c>
      <c r="K62" s="262"/>
      <c r="L62" s="259"/>
    </row>
    <row r="63" spans="2:12" hidden="1">
      <c r="B63" s="199">
        <v>6</v>
      </c>
      <c r="C63" s="199">
        <v>2017</v>
      </c>
      <c r="D63" s="270" t="s">
        <v>445</v>
      </c>
      <c r="E63" s="271">
        <f t="shared" si="7"/>
        <v>0</v>
      </c>
      <c r="F63" s="262">
        <f t="shared" si="10"/>
        <v>0</v>
      </c>
      <c r="G63" s="199">
        <v>215</v>
      </c>
      <c r="H63" s="272">
        <f t="shared" si="8"/>
        <v>0.58904109589041098</v>
      </c>
      <c r="I63" s="262">
        <f t="shared" si="9"/>
        <v>0</v>
      </c>
      <c r="J63" s="262">
        <f t="shared" si="11"/>
        <v>0</v>
      </c>
      <c r="K63" s="262"/>
      <c r="L63" s="259"/>
    </row>
    <row r="64" spans="2:12" hidden="1">
      <c r="B64" s="199">
        <v>7</v>
      </c>
      <c r="C64" s="199">
        <v>2017</v>
      </c>
      <c r="D64" s="270" t="s">
        <v>586</v>
      </c>
      <c r="E64" s="271">
        <f t="shared" si="7"/>
        <v>0</v>
      </c>
      <c r="F64" s="262">
        <f t="shared" si="10"/>
        <v>0</v>
      </c>
      <c r="G64" s="199">
        <v>185</v>
      </c>
      <c r="H64" s="272">
        <f t="shared" si="8"/>
        <v>0.50684931506849318</v>
      </c>
      <c r="I64" s="262">
        <f t="shared" si="9"/>
        <v>0</v>
      </c>
      <c r="J64" s="262">
        <f t="shared" si="11"/>
        <v>0</v>
      </c>
      <c r="K64" s="262"/>
      <c r="L64" s="259"/>
    </row>
    <row r="65" spans="2:12" hidden="1">
      <c r="B65" s="199">
        <v>8</v>
      </c>
      <c r="C65" s="199">
        <v>2017</v>
      </c>
      <c r="D65" s="270" t="s">
        <v>587</v>
      </c>
      <c r="E65" s="271">
        <f t="shared" si="7"/>
        <v>0</v>
      </c>
      <c r="F65" s="262">
        <f t="shared" si="10"/>
        <v>0</v>
      </c>
      <c r="G65" s="199">
        <v>154</v>
      </c>
      <c r="H65" s="272">
        <f t="shared" si="8"/>
        <v>0.42191780821917807</v>
      </c>
      <c r="I65" s="262">
        <f t="shared" si="9"/>
        <v>0</v>
      </c>
      <c r="J65" s="262">
        <f t="shared" si="11"/>
        <v>0</v>
      </c>
      <c r="K65" s="262"/>
      <c r="L65" s="259"/>
    </row>
    <row r="66" spans="2:12" hidden="1">
      <c r="B66" s="199">
        <v>9</v>
      </c>
      <c r="C66" s="199">
        <v>2017</v>
      </c>
      <c r="D66" s="270" t="s">
        <v>588</v>
      </c>
      <c r="E66" s="271">
        <f t="shared" si="7"/>
        <v>0</v>
      </c>
      <c r="F66" s="262">
        <f t="shared" si="10"/>
        <v>0</v>
      </c>
      <c r="G66" s="199">
        <v>123</v>
      </c>
      <c r="H66" s="272">
        <f t="shared" si="8"/>
        <v>0.33698630136986302</v>
      </c>
      <c r="I66" s="262">
        <f t="shared" si="9"/>
        <v>0</v>
      </c>
      <c r="J66" s="262">
        <f t="shared" si="11"/>
        <v>0</v>
      </c>
      <c r="K66" s="262"/>
      <c r="L66" s="259"/>
    </row>
    <row r="67" spans="2:12" hidden="1">
      <c r="B67" s="199">
        <v>10</v>
      </c>
      <c r="C67" s="199">
        <v>2017</v>
      </c>
      <c r="D67" s="270" t="s">
        <v>589</v>
      </c>
      <c r="E67" s="271">
        <f t="shared" si="7"/>
        <v>0</v>
      </c>
      <c r="F67" s="262">
        <f t="shared" si="10"/>
        <v>0</v>
      </c>
      <c r="G67" s="199">
        <v>93</v>
      </c>
      <c r="H67" s="272">
        <f t="shared" si="8"/>
        <v>0.25479452054794521</v>
      </c>
      <c r="I67" s="262">
        <f t="shared" si="9"/>
        <v>0</v>
      </c>
      <c r="J67" s="262">
        <f t="shared" si="11"/>
        <v>0</v>
      </c>
      <c r="K67" s="262"/>
      <c r="L67" s="259"/>
    </row>
    <row r="68" spans="2:12" hidden="1">
      <c r="B68" s="199">
        <v>11</v>
      </c>
      <c r="C68" s="199">
        <v>2017</v>
      </c>
      <c r="D68" s="270" t="s">
        <v>590</v>
      </c>
      <c r="E68" s="271">
        <f t="shared" si="7"/>
        <v>0</v>
      </c>
      <c r="F68" s="262">
        <f t="shared" si="10"/>
        <v>0</v>
      </c>
      <c r="G68" s="199">
        <v>62</v>
      </c>
      <c r="H68" s="272">
        <f t="shared" si="8"/>
        <v>0.16986301369863013</v>
      </c>
      <c r="I68" s="262">
        <f t="shared" si="9"/>
        <v>0</v>
      </c>
      <c r="J68" s="262">
        <f t="shared" si="11"/>
        <v>0</v>
      </c>
      <c r="K68" s="262"/>
      <c r="L68" s="259"/>
    </row>
    <row r="69" spans="2:12" hidden="1">
      <c r="B69" s="199">
        <v>12</v>
      </c>
      <c r="C69" s="199">
        <v>2017</v>
      </c>
      <c r="D69" s="270" t="s">
        <v>591</v>
      </c>
      <c r="E69" s="271">
        <f t="shared" si="7"/>
        <v>0</v>
      </c>
      <c r="F69" s="262">
        <f t="shared" si="10"/>
        <v>0</v>
      </c>
      <c r="G69" s="199">
        <v>32</v>
      </c>
      <c r="H69" s="272">
        <f t="shared" si="8"/>
        <v>8.7671232876712329E-2</v>
      </c>
      <c r="I69" s="262">
        <f t="shared" si="9"/>
        <v>0</v>
      </c>
      <c r="J69" s="262">
        <f t="shared" si="11"/>
        <v>0</v>
      </c>
      <c r="K69" s="262"/>
      <c r="L69" s="259"/>
    </row>
    <row r="70" spans="2:12" hidden="1">
      <c r="B70" s="199">
        <v>13</v>
      </c>
      <c r="C70" s="199">
        <v>2017</v>
      </c>
      <c r="D70" s="270" t="s">
        <v>581</v>
      </c>
      <c r="E70" s="271">
        <v>0</v>
      </c>
      <c r="F70" s="262">
        <f t="shared" si="10"/>
        <v>0</v>
      </c>
      <c r="G70" s="199">
        <v>1</v>
      </c>
      <c r="H70" s="272">
        <f t="shared" si="8"/>
        <v>2.7397260273972603E-3</v>
      </c>
      <c r="I70" s="262">
        <f t="shared" si="9"/>
        <v>0</v>
      </c>
      <c r="J70" s="262">
        <f t="shared" si="11"/>
        <v>0</v>
      </c>
      <c r="K70" s="262"/>
      <c r="L70" s="262">
        <f>+J70</f>
        <v>0</v>
      </c>
    </row>
    <row r="71" spans="2:12" hidden="1">
      <c r="B71" s="199"/>
      <c r="C71" s="199"/>
      <c r="D71" s="259"/>
      <c r="E71" s="259"/>
      <c r="F71" s="259"/>
      <c r="G71" s="199"/>
      <c r="H71" s="259"/>
      <c r="I71" s="259"/>
      <c r="J71" s="259"/>
      <c r="K71" s="274" t="s">
        <v>592</v>
      </c>
      <c r="L71" s="275">
        <f>SUM(L58:L70)</f>
        <v>0</v>
      </c>
    </row>
    <row r="72" spans="2:12" hidden="1">
      <c r="B72" s="199"/>
      <c r="C72" s="199"/>
      <c r="D72" s="259"/>
      <c r="E72" s="259"/>
      <c r="F72" s="259"/>
      <c r="G72" s="199"/>
      <c r="H72" s="259"/>
      <c r="I72" s="259"/>
      <c r="J72" s="259"/>
      <c r="K72" s="276" t="s">
        <v>580</v>
      </c>
      <c r="L72" s="277">
        <f>+L71/2</f>
        <v>0</v>
      </c>
    </row>
    <row r="73" spans="2:12" hidden="1">
      <c r="B73" s="199"/>
      <c r="C73" s="199"/>
      <c r="D73" s="259"/>
      <c r="E73" s="259"/>
      <c r="F73" s="259"/>
      <c r="G73" s="199"/>
      <c r="H73" s="259"/>
      <c r="I73" s="259"/>
      <c r="J73" s="259"/>
      <c r="K73" s="259"/>
      <c r="L73" s="259"/>
    </row>
    <row r="74" spans="2:12">
      <c r="B74" s="284" t="s">
        <v>594</v>
      </c>
      <c r="C74" s="199"/>
      <c r="D74" s="259"/>
      <c r="E74" s="273"/>
      <c r="F74" s="259"/>
      <c r="G74" s="199"/>
      <c r="H74" s="259"/>
      <c r="I74" s="264">
        <v>190</v>
      </c>
      <c r="J74" s="264">
        <v>190</v>
      </c>
      <c r="K74" s="265"/>
      <c r="L74" s="259"/>
    </row>
    <row r="75" spans="2:12">
      <c r="B75" s="266"/>
      <c r="C75" s="266"/>
      <c r="D75" s="267"/>
      <c r="E75" s="278">
        <v>190</v>
      </c>
      <c r="F75" s="264">
        <v>190</v>
      </c>
      <c r="G75" s="266" t="s">
        <v>571</v>
      </c>
      <c r="H75" s="267"/>
      <c r="I75" s="267" t="s">
        <v>572</v>
      </c>
      <c r="J75" s="267" t="s">
        <v>573</v>
      </c>
      <c r="K75" s="267"/>
      <c r="L75" s="267" t="s">
        <v>574</v>
      </c>
    </row>
    <row r="76" spans="2:12" ht="18" thickBot="1">
      <c r="B76" s="268" t="s">
        <v>263</v>
      </c>
      <c r="C76" s="268" t="s">
        <v>575</v>
      </c>
      <c r="D76" s="269" t="s">
        <v>576</v>
      </c>
      <c r="E76" s="279" t="s">
        <v>570</v>
      </c>
      <c r="F76" s="269" t="s">
        <v>577</v>
      </c>
      <c r="G76" s="268" t="s">
        <v>578</v>
      </c>
      <c r="H76" s="269" t="s">
        <v>579</v>
      </c>
      <c r="I76" s="269" t="s">
        <v>577</v>
      </c>
      <c r="J76" s="269" t="s">
        <v>570</v>
      </c>
      <c r="K76" s="269"/>
      <c r="L76" s="269" t="s">
        <v>580</v>
      </c>
    </row>
    <row r="77" spans="2:12">
      <c r="B77" s="199"/>
      <c r="C77" s="199"/>
      <c r="D77" s="259"/>
      <c r="E77" s="273"/>
      <c r="F77" s="259"/>
      <c r="G77" s="199"/>
      <c r="H77" s="259"/>
      <c r="I77" s="259"/>
      <c r="J77" s="259"/>
      <c r="K77" s="259"/>
      <c r="L77" s="259"/>
    </row>
    <row r="78" spans="2:12">
      <c r="B78" s="199">
        <v>1</v>
      </c>
      <c r="C78" s="199">
        <v>2017</v>
      </c>
      <c r="D78" s="270" t="s">
        <v>581</v>
      </c>
      <c r="E78" s="271">
        <v>14716268.978684103</v>
      </c>
      <c r="F78" s="262"/>
      <c r="G78" s="199"/>
      <c r="H78" s="259"/>
      <c r="I78" s="262"/>
      <c r="J78" s="262">
        <f>E78</f>
        <v>14716268.978684103</v>
      </c>
      <c r="K78" s="262"/>
      <c r="L78" s="262">
        <f>+J78</f>
        <v>14716268.978684103</v>
      </c>
    </row>
    <row r="79" spans="2:12">
      <c r="B79" s="199">
        <v>2</v>
      </c>
      <c r="C79" s="199">
        <v>2018</v>
      </c>
      <c r="D79" s="270" t="s">
        <v>582</v>
      </c>
      <c r="E79" s="271">
        <f>+(($E$90-$E$78)/12)+E78</f>
        <v>14694195.868669039</v>
      </c>
      <c r="F79" s="280"/>
      <c r="G79" s="281"/>
      <c r="H79" s="282"/>
      <c r="I79" s="280"/>
      <c r="J79" s="262">
        <f>E79</f>
        <v>14694195.868669039</v>
      </c>
      <c r="K79" s="262"/>
      <c r="L79" s="259"/>
    </row>
    <row r="80" spans="2:12">
      <c r="B80" s="199">
        <v>3</v>
      </c>
      <c r="C80" s="199">
        <v>2018</v>
      </c>
      <c r="D80" s="270" t="s">
        <v>583</v>
      </c>
      <c r="E80" s="271">
        <f>+(($E$90-$E$78)/12)+E79</f>
        <v>14672122.758653974</v>
      </c>
      <c r="F80" s="280"/>
      <c r="G80" s="281"/>
      <c r="H80" s="283"/>
      <c r="I80" s="280"/>
      <c r="J80" s="262">
        <f t="shared" ref="J80:J90" si="12">E80</f>
        <v>14672122.758653974</v>
      </c>
      <c r="K80" s="262"/>
      <c r="L80" s="259"/>
    </row>
    <row r="81" spans="2:12">
      <c r="B81" s="199">
        <v>4</v>
      </c>
      <c r="C81" s="199">
        <v>2018</v>
      </c>
      <c r="D81" s="270" t="s">
        <v>584</v>
      </c>
      <c r="E81" s="271">
        <f t="shared" ref="E81:E89" si="13">+(($E$90-$E$78)/12)+E80</f>
        <v>14650049.64863891</v>
      </c>
      <c r="F81" s="280"/>
      <c r="G81" s="281"/>
      <c r="H81" s="283"/>
      <c r="I81" s="280"/>
      <c r="J81" s="262">
        <f t="shared" si="12"/>
        <v>14650049.64863891</v>
      </c>
      <c r="K81" s="262"/>
      <c r="L81" s="259"/>
    </row>
    <row r="82" spans="2:12">
      <c r="B82" s="199">
        <v>5</v>
      </c>
      <c r="C82" s="199">
        <v>2018</v>
      </c>
      <c r="D82" s="270" t="s">
        <v>585</v>
      </c>
      <c r="E82" s="271">
        <f t="shared" si="13"/>
        <v>14627976.538623845</v>
      </c>
      <c r="F82" s="280"/>
      <c r="G82" s="281"/>
      <c r="H82" s="283"/>
      <c r="I82" s="280"/>
      <c r="J82" s="262">
        <f t="shared" si="12"/>
        <v>14627976.538623845</v>
      </c>
      <c r="K82" s="262"/>
      <c r="L82" s="259"/>
    </row>
    <row r="83" spans="2:12">
      <c r="B83" s="199">
        <v>6</v>
      </c>
      <c r="C83" s="199">
        <v>2018</v>
      </c>
      <c r="D83" s="270" t="s">
        <v>445</v>
      </c>
      <c r="E83" s="271">
        <f t="shared" si="13"/>
        <v>14605903.428608781</v>
      </c>
      <c r="F83" s="280"/>
      <c r="G83" s="281"/>
      <c r="H83" s="283"/>
      <c r="I83" s="280"/>
      <c r="J83" s="262">
        <f t="shared" si="12"/>
        <v>14605903.428608781</v>
      </c>
      <c r="K83" s="262"/>
      <c r="L83" s="259"/>
    </row>
    <row r="84" spans="2:12">
      <c r="B84" s="199">
        <v>7</v>
      </c>
      <c r="C84" s="199">
        <v>2018</v>
      </c>
      <c r="D84" s="270" t="s">
        <v>586</v>
      </c>
      <c r="E84" s="271">
        <f t="shared" si="13"/>
        <v>14583830.318593716</v>
      </c>
      <c r="F84" s="280"/>
      <c r="G84" s="281"/>
      <c r="H84" s="283"/>
      <c r="I84" s="280"/>
      <c r="J84" s="262">
        <f t="shared" si="12"/>
        <v>14583830.318593716</v>
      </c>
      <c r="K84" s="262"/>
      <c r="L84" s="259"/>
    </row>
    <row r="85" spans="2:12">
      <c r="B85" s="199">
        <v>8</v>
      </c>
      <c r="C85" s="199">
        <v>2018</v>
      </c>
      <c r="D85" s="270" t="s">
        <v>587</v>
      </c>
      <c r="E85" s="271">
        <f t="shared" si="13"/>
        <v>14561757.208578652</v>
      </c>
      <c r="F85" s="280"/>
      <c r="G85" s="281"/>
      <c r="H85" s="283"/>
      <c r="I85" s="280"/>
      <c r="J85" s="262">
        <f t="shared" si="12"/>
        <v>14561757.208578652</v>
      </c>
      <c r="K85" s="262"/>
      <c r="L85" s="259"/>
    </row>
    <row r="86" spans="2:12">
      <c r="B86" s="199">
        <v>9</v>
      </c>
      <c r="C86" s="199">
        <v>2018</v>
      </c>
      <c r="D86" s="270" t="s">
        <v>588</v>
      </c>
      <c r="E86" s="271">
        <f t="shared" si="13"/>
        <v>14539684.098563587</v>
      </c>
      <c r="F86" s="280"/>
      <c r="G86" s="281"/>
      <c r="H86" s="283"/>
      <c r="I86" s="280"/>
      <c r="J86" s="262">
        <f t="shared" si="12"/>
        <v>14539684.098563587</v>
      </c>
      <c r="K86" s="262"/>
      <c r="L86" s="259"/>
    </row>
    <row r="87" spans="2:12">
      <c r="B87" s="199">
        <v>10</v>
      </c>
      <c r="C87" s="199">
        <v>2018</v>
      </c>
      <c r="D87" s="270" t="s">
        <v>589</v>
      </c>
      <c r="E87" s="271">
        <f t="shared" si="13"/>
        <v>14517610.988548523</v>
      </c>
      <c r="F87" s="280"/>
      <c r="G87" s="281"/>
      <c r="H87" s="283"/>
      <c r="I87" s="280"/>
      <c r="J87" s="262">
        <f t="shared" si="12"/>
        <v>14517610.988548523</v>
      </c>
      <c r="K87" s="262"/>
      <c r="L87" s="259"/>
    </row>
    <row r="88" spans="2:12">
      <c r="B88" s="199">
        <v>11</v>
      </c>
      <c r="C88" s="199">
        <v>2018</v>
      </c>
      <c r="D88" s="270" t="s">
        <v>590</v>
      </c>
      <c r="E88" s="271">
        <f t="shared" si="13"/>
        <v>14495537.878533458</v>
      </c>
      <c r="F88" s="280"/>
      <c r="G88" s="281"/>
      <c r="H88" s="283"/>
      <c r="I88" s="280"/>
      <c r="J88" s="262">
        <f t="shared" si="12"/>
        <v>14495537.878533458</v>
      </c>
      <c r="K88" s="262"/>
      <c r="L88" s="259"/>
    </row>
    <row r="89" spans="2:12">
      <c r="B89" s="199">
        <v>12</v>
      </c>
      <c r="C89" s="199">
        <v>2018</v>
      </c>
      <c r="D89" s="270" t="s">
        <v>591</v>
      </c>
      <c r="E89" s="271">
        <f t="shared" si="13"/>
        <v>14473464.768518394</v>
      </c>
      <c r="F89" s="280"/>
      <c r="G89" s="281"/>
      <c r="H89" s="283"/>
      <c r="I89" s="280"/>
      <c r="J89" s="262">
        <f t="shared" si="12"/>
        <v>14473464.768518394</v>
      </c>
      <c r="K89" s="262"/>
      <c r="L89" s="259"/>
    </row>
    <row r="90" spans="2:12">
      <c r="B90" s="199">
        <v>13</v>
      </c>
      <c r="C90" s="199">
        <v>2018</v>
      </c>
      <c r="D90" s="270" t="s">
        <v>581</v>
      </c>
      <c r="E90" s="271">
        <v>14451391.658503324</v>
      </c>
      <c r="F90" s="280"/>
      <c r="G90" s="281"/>
      <c r="H90" s="283"/>
      <c r="I90" s="280"/>
      <c r="J90" s="262">
        <f t="shared" si="12"/>
        <v>14451391.658503324</v>
      </c>
      <c r="K90" s="262"/>
      <c r="L90" s="262">
        <f>+J90</f>
        <v>14451391.658503324</v>
      </c>
    </row>
    <row r="91" spans="2:12">
      <c r="B91" s="199"/>
      <c r="C91" s="199"/>
      <c r="D91" s="259"/>
      <c r="E91" s="259"/>
      <c r="F91" s="259"/>
      <c r="G91" s="199"/>
      <c r="H91" s="259"/>
      <c r="I91" s="259"/>
      <c r="J91" s="259"/>
      <c r="K91" s="274" t="s">
        <v>592</v>
      </c>
      <c r="L91" s="275">
        <f>SUM(L78:L90)</f>
        <v>29167660.637187429</v>
      </c>
    </row>
    <row r="92" spans="2:12">
      <c r="B92" s="199"/>
      <c r="C92" s="199"/>
      <c r="D92" s="259"/>
      <c r="E92" s="259"/>
      <c r="F92" s="259"/>
      <c r="G92" s="199"/>
      <c r="H92" s="259"/>
      <c r="I92" s="259"/>
      <c r="J92" s="259"/>
      <c r="K92" s="276" t="s">
        <v>580</v>
      </c>
      <c r="L92" s="277">
        <f>+L91/2</f>
        <v>14583830.318593714</v>
      </c>
    </row>
  </sheetData>
  <pageMargins left="0.7" right="0.7" top="0.75" bottom="0.75" header="0.3" footer="0.3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2"/>
  <sheetViews>
    <sheetView zoomScale="75" zoomScaleNormal="75" workbookViewId="0"/>
  </sheetViews>
  <sheetFormatPr defaultRowHeight="17.25"/>
  <cols>
    <col min="1" max="1" width="8.88671875" style="182"/>
    <col min="2" max="2" width="9" style="182" bestFit="1" customWidth="1"/>
    <col min="3" max="3" width="3.33203125" style="182" customWidth="1"/>
    <col min="4" max="4" width="52.6640625" style="182" customWidth="1"/>
    <col min="5" max="6" width="12.77734375" style="182" customWidth="1"/>
    <col min="7" max="16384" width="8.88671875" style="181"/>
  </cols>
  <sheetData>
    <row r="1" spans="1:5" ht="18.75">
      <c r="A1" s="169" t="s">
        <v>373</v>
      </c>
    </row>
    <row r="2" spans="1:5">
      <c r="A2" s="170" t="s">
        <v>399</v>
      </c>
    </row>
    <row r="3" spans="1:5">
      <c r="A3" s="170" t="s">
        <v>597</v>
      </c>
    </row>
    <row r="5" spans="1:5" ht="34.5">
      <c r="B5" s="186" t="s">
        <v>400</v>
      </c>
    </row>
    <row r="6" spans="1:5">
      <c r="B6" s="186"/>
      <c r="C6" s="187" t="s">
        <v>401</v>
      </c>
    </row>
    <row r="7" spans="1:5">
      <c r="B7" s="176">
        <v>560</v>
      </c>
      <c r="D7" s="182" t="s">
        <v>402</v>
      </c>
      <c r="E7" s="173">
        <v>49.462530000000001</v>
      </c>
    </row>
    <row r="8" spans="1:5">
      <c r="B8" s="184">
        <v>561.1</v>
      </c>
      <c r="D8" s="182" t="s">
        <v>403</v>
      </c>
      <c r="E8" s="176">
        <v>904.3513200000001</v>
      </c>
    </row>
    <row r="9" spans="1:5">
      <c r="B9" s="184">
        <v>561.20000000000005</v>
      </c>
      <c r="D9" s="182" t="s">
        <v>404</v>
      </c>
      <c r="E9" s="176">
        <f>1686.65201-453.066</f>
        <v>1233.58601</v>
      </c>
    </row>
    <row r="10" spans="1:5">
      <c r="B10" s="184">
        <v>561.29999999999995</v>
      </c>
      <c r="D10" s="182" t="s">
        <v>405</v>
      </c>
      <c r="E10" s="176">
        <v>310.26807000000002</v>
      </c>
    </row>
    <row r="11" spans="1:5" ht="16.5" customHeight="1">
      <c r="B11" s="184">
        <v>561.4</v>
      </c>
      <c r="D11" s="182" t="s">
        <v>406</v>
      </c>
      <c r="E11" s="176">
        <v>16215.555</v>
      </c>
    </row>
    <row r="12" spans="1:5">
      <c r="B12" s="184">
        <v>562</v>
      </c>
      <c r="D12" s="182" t="s">
        <v>407</v>
      </c>
      <c r="E12" s="176">
        <v>91.587229999999977</v>
      </c>
    </row>
    <row r="13" spans="1:5">
      <c r="B13" s="184">
        <v>563</v>
      </c>
      <c r="D13" s="182" t="s">
        <v>408</v>
      </c>
      <c r="E13" s="176">
        <v>55.092060000000004</v>
      </c>
    </row>
    <row r="14" spans="1:5">
      <c r="B14" s="184">
        <v>566</v>
      </c>
      <c r="D14" s="182" t="s">
        <v>409</v>
      </c>
      <c r="E14" s="176">
        <v>10.258139999999999</v>
      </c>
    </row>
    <row r="15" spans="1:5">
      <c r="B15" s="184">
        <v>567</v>
      </c>
      <c r="C15" s="185"/>
      <c r="D15" s="185" t="s">
        <v>410</v>
      </c>
      <c r="E15" s="176">
        <v>7.9999799999999999</v>
      </c>
    </row>
    <row r="16" spans="1:5">
      <c r="B16" s="184"/>
      <c r="D16" s="182" t="s">
        <v>411</v>
      </c>
      <c r="E16" s="191">
        <f>SUM(E7:E15)</f>
        <v>18878.160340000002</v>
      </c>
    </row>
    <row r="17" spans="2:5">
      <c r="B17" s="184"/>
    </row>
    <row r="18" spans="2:5">
      <c r="B18" s="186"/>
      <c r="C18" s="187" t="s">
        <v>412</v>
      </c>
      <c r="E18" s="177"/>
    </row>
    <row r="19" spans="2:5">
      <c r="B19" s="176">
        <v>568</v>
      </c>
      <c r="D19" s="182" t="s">
        <v>402</v>
      </c>
      <c r="E19" s="173">
        <v>38.450139999999998</v>
      </c>
    </row>
    <row r="20" spans="2:5">
      <c r="B20" s="184">
        <v>569</v>
      </c>
      <c r="D20" s="182" t="s">
        <v>413</v>
      </c>
      <c r="E20" s="176">
        <v>180.66068999999999</v>
      </c>
    </row>
    <row r="21" spans="2:5">
      <c r="B21" s="184">
        <v>569.1</v>
      </c>
      <c r="D21" s="182" t="s">
        <v>414</v>
      </c>
      <c r="E21" s="176">
        <v>0</v>
      </c>
    </row>
    <row r="22" spans="2:5">
      <c r="B22" s="184">
        <v>569.20000000000005</v>
      </c>
      <c r="D22" s="182" t="s">
        <v>415</v>
      </c>
      <c r="E22" s="176">
        <v>741.44500000000005</v>
      </c>
    </row>
    <row r="23" spans="2:5">
      <c r="B23" s="184">
        <v>569.29999999999995</v>
      </c>
      <c r="D23" s="182" t="s">
        <v>416</v>
      </c>
      <c r="E23" s="176">
        <v>149.64526000000001</v>
      </c>
    </row>
    <row r="24" spans="2:5">
      <c r="B24" s="184">
        <v>570</v>
      </c>
      <c r="D24" s="182" t="s">
        <v>417</v>
      </c>
      <c r="E24" s="176">
        <v>515.36086</v>
      </c>
    </row>
    <row r="25" spans="2:5">
      <c r="B25" s="184">
        <v>571</v>
      </c>
      <c r="D25" s="185" t="s">
        <v>418</v>
      </c>
      <c r="E25" s="176">
        <v>1120.3004099999998</v>
      </c>
    </row>
    <row r="26" spans="2:5">
      <c r="D26" s="182" t="s">
        <v>419</v>
      </c>
      <c r="E26" s="191">
        <f>SUM(E18:E25)</f>
        <v>2745.8623600000001</v>
      </c>
    </row>
    <row r="28" spans="2:5">
      <c r="C28" s="182" t="s">
        <v>420</v>
      </c>
      <c r="E28" s="177">
        <f>E26+E16</f>
        <v>21624.022700000001</v>
      </c>
    </row>
    <row r="29" spans="2:5">
      <c r="E29" s="177"/>
    </row>
    <row r="30" spans="2:5">
      <c r="C30" s="182" t="s">
        <v>421</v>
      </c>
    </row>
    <row r="31" spans="2:5">
      <c r="B31" s="184">
        <v>928</v>
      </c>
      <c r="D31" s="182" t="s">
        <v>422</v>
      </c>
      <c r="E31" s="173">
        <v>730.28632999999979</v>
      </c>
    </row>
    <row r="32" spans="2:5">
      <c r="E32" s="177"/>
    </row>
    <row r="33" spans="1:5">
      <c r="E33" s="177"/>
    </row>
    <row r="34" spans="1:5">
      <c r="E34" s="177"/>
    </row>
    <row r="35" spans="1:5">
      <c r="E35" s="177"/>
    </row>
    <row r="36" spans="1:5" ht="18.75">
      <c r="A36" s="169" t="s">
        <v>373</v>
      </c>
      <c r="E36" s="177"/>
    </row>
    <row r="37" spans="1:5">
      <c r="A37" s="170" t="s">
        <v>423</v>
      </c>
      <c r="E37" s="177"/>
    </row>
    <row r="38" spans="1:5">
      <c r="A38" s="170" t="s">
        <v>424</v>
      </c>
      <c r="E38" s="177"/>
    </row>
    <row r="39" spans="1:5">
      <c r="A39" s="170" t="s">
        <v>597</v>
      </c>
    </row>
    <row r="41" spans="1:5" ht="34.5">
      <c r="B41" s="186" t="s">
        <v>400</v>
      </c>
    </row>
    <row r="42" spans="1:5">
      <c r="B42" s="186"/>
      <c r="C42" s="187" t="s">
        <v>425</v>
      </c>
    </row>
    <row r="43" spans="1:5">
      <c r="B43" s="184">
        <v>920</v>
      </c>
      <c r="D43" s="182" t="s">
        <v>426</v>
      </c>
      <c r="E43" s="173">
        <v>16503.681250288009</v>
      </c>
    </row>
    <row r="44" spans="1:5">
      <c r="B44" s="184">
        <v>921</v>
      </c>
      <c r="D44" s="182" t="s">
        <v>427</v>
      </c>
      <c r="E44" s="176">
        <v>6318.6387274799954</v>
      </c>
    </row>
    <row r="45" spans="1:5">
      <c r="A45" s="226" t="s">
        <v>428</v>
      </c>
      <c r="B45" s="184">
        <v>922</v>
      </c>
      <c r="D45" s="182" t="s">
        <v>429</v>
      </c>
      <c r="E45" s="176">
        <v>-2599.1999999999998</v>
      </c>
    </row>
    <row r="46" spans="1:5">
      <c r="B46" s="184">
        <v>923</v>
      </c>
      <c r="D46" s="182" t="s">
        <v>430</v>
      </c>
      <c r="E46" s="176">
        <v>13512.121577484</v>
      </c>
    </row>
    <row r="47" spans="1:5">
      <c r="B47" s="184">
        <v>924</v>
      </c>
      <c r="D47" s="182" t="s">
        <v>431</v>
      </c>
      <c r="E47" s="176">
        <v>878.36699999999996</v>
      </c>
    </row>
    <row r="48" spans="1:5">
      <c r="B48" s="184">
        <v>925</v>
      </c>
      <c r="D48" s="182" t="s">
        <v>432</v>
      </c>
      <c r="E48" s="176">
        <v>1439.3138102400001</v>
      </c>
    </row>
    <row r="49" spans="2:6">
      <c r="B49" s="184">
        <v>926</v>
      </c>
      <c r="D49" s="182" t="s">
        <v>433</v>
      </c>
      <c r="E49" s="176">
        <v>40.383887408</v>
      </c>
    </row>
    <row r="50" spans="2:6">
      <c r="B50" s="184">
        <v>928</v>
      </c>
      <c r="D50" s="182" t="s">
        <v>434</v>
      </c>
      <c r="E50" s="176">
        <v>730.28632999999979</v>
      </c>
    </row>
    <row r="51" spans="2:6">
      <c r="B51" s="184">
        <v>930.2</v>
      </c>
      <c r="D51" s="182" t="s">
        <v>435</v>
      </c>
      <c r="E51" s="176">
        <v>3061.9579589800001</v>
      </c>
    </row>
    <row r="52" spans="2:6">
      <c r="B52" s="184">
        <v>931</v>
      </c>
      <c r="D52" s="182" t="s">
        <v>410</v>
      </c>
      <c r="E52" s="176">
        <v>47.830478399999997</v>
      </c>
    </row>
    <row r="53" spans="2:6">
      <c r="B53" s="184">
        <v>935</v>
      </c>
      <c r="D53" s="185" t="s">
        <v>436</v>
      </c>
      <c r="E53" s="176">
        <v>388.59834078400013</v>
      </c>
    </row>
    <row r="54" spans="2:6">
      <c r="B54" s="184"/>
      <c r="D54" s="182" t="s">
        <v>437</v>
      </c>
      <c r="E54" s="172">
        <f>SUM(E43:E53)</f>
        <v>40321.979361064004</v>
      </c>
    </row>
    <row r="55" spans="2:6">
      <c r="B55" s="184"/>
      <c r="D55" s="331"/>
      <c r="E55" s="331"/>
      <c r="F55" s="331"/>
    </row>
    <row r="56" spans="2:6">
      <c r="D56" s="331"/>
      <c r="E56" s="331"/>
      <c r="F56" s="331"/>
    </row>
    <row r="57" spans="2:6">
      <c r="C57" s="187" t="s">
        <v>77</v>
      </c>
      <c r="D57" s="331"/>
      <c r="F57" s="331"/>
    </row>
    <row r="58" spans="2:6">
      <c r="D58" s="331" t="s">
        <v>8</v>
      </c>
      <c r="E58" s="173">
        <v>10345.915999999999</v>
      </c>
      <c r="F58" s="331"/>
    </row>
    <row r="59" spans="2:6">
      <c r="D59" s="331" t="s">
        <v>540</v>
      </c>
      <c r="E59" s="176">
        <v>1973.1389999999999</v>
      </c>
      <c r="F59" s="331"/>
    </row>
    <row r="60" spans="2:6">
      <c r="D60" s="331" t="s">
        <v>379</v>
      </c>
      <c r="E60" s="176">
        <v>1544.5319999999999</v>
      </c>
      <c r="F60" s="331"/>
    </row>
    <row r="61" spans="2:6">
      <c r="D61" s="331"/>
      <c r="F61" s="331"/>
    </row>
    <row r="62" spans="2:6">
      <c r="B62" s="226"/>
      <c r="D62" s="331"/>
      <c r="F62" s="331"/>
    </row>
    <row r="63" spans="2:6">
      <c r="C63" s="189" t="s">
        <v>438</v>
      </c>
      <c r="D63" s="331"/>
      <c r="F63" s="331"/>
    </row>
    <row r="64" spans="2:6">
      <c r="E64" s="190" t="s">
        <v>439</v>
      </c>
      <c r="F64" s="190" t="s">
        <v>440</v>
      </c>
    </row>
    <row r="65" spans="4:6">
      <c r="D65" s="182" t="s">
        <v>543</v>
      </c>
      <c r="E65" s="176">
        <v>8410.4361224330696</v>
      </c>
      <c r="F65" s="176"/>
    </row>
    <row r="66" spans="4:6">
      <c r="D66" s="182" t="s">
        <v>544</v>
      </c>
      <c r="E66" s="176">
        <v>0</v>
      </c>
      <c r="F66" s="176"/>
    </row>
    <row r="67" spans="4:6">
      <c r="D67" s="182" t="s">
        <v>545</v>
      </c>
      <c r="E67" s="176"/>
      <c r="F67" s="176">
        <v>7280</v>
      </c>
    </row>
    <row r="68" spans="4:6">
      <c r="E68" s="191">
        <f>SUM(E65:E67)</f>
        <v>8410.4361224330696</v>
      </c>
      <c r="F68" s="191">
        <f>SUM(F65:F67)</f>
        <v>7280</v>
      </c>
    </row>
    <row r="69" spans="4:6">
      <c r="E69" s="178">
        <v>0</v>
      </c>
      <c r="F69" s="178">
        <v>0</v>
      </c>
    </row>
    <row r="70" spans="4:6">
      <c r="E70" s="177">
        <f>+E68+E69</f>
        <v>8410.4361224330696</v>
      </c>
      <c r="F70" s="177">
        <f>+F68+F69</f>
        <v>7280</v>
      </c>
    </row>
    <row r="72" spans="4:6">
      <c r="D72" s="258" t="s">
        <v>453</v>
      </c>
      <c r="E72" s="176">
        <f>+'Workpapers (Page 12)'!O20/1000</f>
        <v>396.16199999999998</v>
      </c>
    </row>
  </sheetData>
  <phoneticPr fontId="48" type="noConversion"/>
  <pageMargins left="0.75" right="0.75" top="1" bottom="1" header="0.5" footer="0.5"/>
  <pageSetup scale="59" fitToHeight="2" orientation="portrait" r:id="rId1"/>
  <headerFooter alignWithMargins="0"/>
  <rowBreaks count="1" manualBreakCount="1">
    <brk id="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E17"/>
  <sheetViews>
    <sheetView zoomScale="80" zoomScaleNormal="80" workbookViewId="0"/>
  </sheetViews>
  <sheetFormatPr defaultRowHeight="17.25"/>
  <cols>
    <col min="1" max="2" width="8.88671875" style="181"/>
    <col min="3" max="3" width="3.33203125" style="181" customWidth="1"/>
    <col min="4" max="4" width="43.5546875" style="181" customWidth="1"/>
    <col min="5" max="5" width="22.33203125" style="182" bestFit="1" customWidth="1"/>
    <col min="6" max="16384" width="8.88671875" style="181"/>
  </cols>
  <sheetData>
    <row r="1" spans="1:5" ht="18.75">
      <c r="A1" s="169" t="s">
        <v>373</v>
      </c>
    </row>
    <row r="2" spans="1:5">
      <c r="A2" s="181" t="s">
        <v>454</v>
      </c>
    </row>
    <row r="5" spans="1:5">
      <c r="C5" s="193" t="s">
        <v>87</v>
      </c>
    </row>
    <row r="6" spans="1:5">
      <c r="C6" s="170" t="s">
        <v>597</v>
      </c>
      <c r="E6" s="182" t="s">
        <v>455</v>
      </c>
    </row>
    <row r="7" spans="1:5">
      <c r="B7" s="194"/>
      <c r="D7" s="192" t="s">
        <v>250</v>
      </c>
      <c r="E7" s="177">
        <v>13592.27007</v>
      </c>
    </row>
    <row r="8" spans="1:5">
      <c r="B8" s="194"/>
      <c r="D8" s="192" t="s">
        <v>13</v>
      </c>
      <c r="E8" s="176">
        <v>2089.8161</v>
      </c>
    </row>
    <row r="9" spans="1:5">
      <c r="B9" s="194"/>
      <c r="D9" s="192" t="s">
        <v>252</v>
      </c>
      <c r="E9" s="176">
        <v>5603.0893333719987</v>
      </c>
    </row>
    <row r="10" spans="1:5">
      <c r="B10" s="194"/>
      <c r="D10" s="192" t="s">
        <v>116</v>
      </c>
      <c r="E10" s="176">
        <v>2392.5093861239998</v>
      </c>
    </row>
    <row r="11" spans="1:5">
      <c r="B11" s="194"/>
      <c r="D11" s="192"/>
      <c r="E11" s="176"/>
    </row>
    <row r="12" spans="1:5">
      <c r="B12" s="194"/>
      <c r="C12" s="193" t="s">
        <v>456</v>
      </c>
      <c r="E12" s="182" t="s">
        <v>457</v>
      </c>
    </row>
    <row r="13" spans="1:5">
      <c r="C13" s="195" t="s">
        <v>598</v>
      </c>
      <c r="D13" s="192"/>
      <c r="E13" s="176"/>
    </row>
    <row r="14" spans="1:5">
      <c r="B14" s="196"/>
      <c r="D14" s="192" t="s">
        <v>120</v>
      </c>
      <c r="E14" s="177">
        <v>2227.5330100000001</v>
      </c>
    </row>
    <row r="15" spans="1:5">
      <c r="B15" s="196"/>
      <c r="D15" s="192" t="s">
        <v>121</v>
      </c>
      <c r="E15" s="176">
        <v>270.26486</v>
      </c>
    </row>
    <row r="16" spans="1:5">
      <c r="B16" s="197"/>
      <c r="D16" s="198" t="s">
        <v>123</v>
      </c>
      <c r="E16" s="178">
        <v>0</v>
      </c>
    </row>
    <row r="17" spans="5:5">
      <c r="E17" s="177">
        <f>SUM(E14:E16)</f>
        <v>2497.7978700000003</v>
      </c>
    </row>
  </sheetData>
  <phoneticPr fontId="48" type="noConversion"/>
  <pageMargins left="0.75" right="1" top="1" bottom="1" header="0.5" footer="0.5"/>
  <pageSetup scale="5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0"/>
  <sheetViews>
    <sheetView zoomScale="80" zoomScaleNormal="80" workbookViewId="0"/>
  </sheetViews>
  <sheetFormatPr defaultRowHeight="17.25"/>
  <cols>
    <col min="1" max="1" width="8.5546875" style="199" customWidth="1"/>
    <col min="2" max="2" width="7.33203125" style="199" customWidth="1"/>
    <col min="3" max="3" width="17" style="199" bestFit="1" customWidth="1"/>
    <col min="4" max="4" width="2" style="199" customWidth="1"/>
    <col min="5" max="5" width="15.21875" style="174" customWidth="1"/>
    <col min="6" max="6" width="9.33203125" style="199" customWidth="1"/>
    <col min="7" max="7" width="8.88671875" style="199"/>
    <col min="8" max="8" width="10.6640625" style="199" customWidth="1"/>
    <col min="9" max="16384" width="8.88671875" style="199"/>
  </cols>
  <sheetData>
    <row r="1" spans="1:7" ht="18.75">
      <c r="A1" s="169" t="s">
        <v>373</v>
      </c>
    </row>
    <row r="2" spans="1:7">
      <c r="A2" s="181" t="s">
        <v>458</v>
      </c>
    </row>
    <row r="3" spans="1:7">
      <c r="A3" s="181" t="s">
        <v>599</v>
      </c>
    </row>
    <row r="5" spans="1:7">
      <c r="B5" s="200" t="s">
        <v>459</v>
      </c>
      <c r="C5" s="200"/>
      <c r="F5" s="174"/>
      <c r="G5" s="174"/>
    </row>
    <row r="6" spans="1:7">
      <c r="C6" s="201" t="s">
        <v>460</v>
      </c>
      <c r="E6" s="256">
        <v>691345.28022000007</v>
      </c>
      <c r="F6" s="174"/>
      <c r="G6" s="174"/>
    </row>
    <row r="7" spans="1:7">
      <c r="C7" s="201" t="s">
        <v>461</v>
      </c>
      <c r="E7" s="202">
        <v>30439.293219701089</v>
      </c>
      <c r="F7" s="174"/>
      <c r="G7" s="174"/>
    </row>
    <row r="8" spans="1:7">
      <c r="C8" s="203" t="s">
        <v>462</v>
      </c>
      <c r="E8" s="204">
        <f>+E7/E6</f>
        <v>4.402907503760594E-2</v>
      </c>
      <c r="F8" s="174"/>
      <c r="G8" s="174"/>
    </row>
    <row r="9" spans="1:7">
      <c r="F9" s="174"/>
      <c r="G9" s="174"/>
    </row>
    <row r="10" spans="1:7">
      <c r="F10" s="174"/>
      <c r="G10" s="174"/>
    </row>
    <row r="11" spans="1:7">
      <c r="F11" s="174"/>
      <c r="G11" s="174"/>
    </row>
    <row r="12" spans="1:7">
      <c r="B12" s="200" t="s">
        <v>463</v>
      </c>
      <c r="C12" s="200"/>
      <c r="F12" s="174"/>
      <c r="G12" s="174"/>
    </row>
    <row r="13" spans="1:7">
      <c r="C13" s="199" t="s">
        <v>463</v>
      </c>
      <c r="E13" s="256">
        <f>996847+30548.568+6131.825</f>
        <v>1033527.3929999999</v>
      </c>
      <c r="F13" s="174"/>
      <c r="G13" s="174"/>
    </row>
    <row r="14" spans="1:7" hidden="1">
      <c r="C14" s="199" t="s">
        <v>464</v>
      </c>
      <c r="E14" s="205">
        <v>0</v>
      </c>
      <c r="F14" s="174"/>
      <c r="G14" s="174"/>
    </row>
    <row r="15" spans="1:7" hidden="1">
      <c r="C15" s="200" t="s">
        <v>465</v>
      </c>
      <c r="D15" s="200"/>
      <c r="E15" s="206">
        <v>0</v>
      </c>
      <c r="F15" s="174"/>
      <c r="G15" s="174"/>
    </row>
    <row r="16" spans="1:7" ht="18" thickBot="1">
      <c r="E16" s="207">
        <f>SUM(E13:E15)</f>
        <v>1033527.3929999999</v>
      </c>
      <c r="F16" s="174"/>
      <c r="G16" s="174"/>
    </row>
    <row r="17" spans="2:8" ht="18" thickTop="1">
      <c r="F17" s="174"/>
      <c r="G17" s="174"/>
    </row>
    <row r="18" spans="2:8">
      <c r="F18" s="174"/>
      <c r="G18" s="174"/>
    </row>
    <row r="19" spans="2:8">
      <c r="F19" s="174"/>
      <c r="G19" s="174"/>
    </row>
    <row r="20" spans="2:8">
      <c r="B20" s="199" t="s">
        <v>458</v>
      </c>
      <c r="E20" s="174" t="s">
        <v>466</v>
      </c>
      <c r="F20" s="174" t="s">
        <v>467</v>
      </c>
      <c r="G20" s="174" t="s">
        <v>92</v>
      </c>
      <c r="H20" s="199" t="s">
        <v>94</v>
      </c>
    </row>
    <row r="21" spans="2:8">
      <c r="C21" s="199" t="s">
        <v>459</v>
      </c>
      <c r="E21" s="208">
        <f>E6</f>
        <v>691345.28022000007</v>
      </c>
      <c r="F21" s="209">
        <f>E21/E24</f>
        <v>0.4008094573899148</v>
      </c>
      <c r="G21" s="209">
        <f>E8</f>
        <v>4.402907503760594E-2</v>
      </c>
      <c r="H21" s="210">
        <f>G21*F21</f>
        <v>1.7647269675202679E-2</v>
      </c>
    </row>
    <row r="22" spans="2:8" hidden="1">
      <c r="C22" s="199" t="s">
        <v>468</v>
      </c>
      <c r="E22" s="211">
        <v>0</v>
      </c>
      <c r="F22" s="204">
        <v>0</v>
      </c>
      <c r="G22" s="212">
        <v>0</v>
      </c>
      <c r="H22" s="213">
        <f>G22*F22</f>
        <v>0</v>
      </c>
    </row>
    <row r="23" spans="2:8">
      <c r="C23" s="199" t="s">
        <v>463</v>
      </c>
      <c r="E23" s="214">
        <f>E16</f>
        <v>1033527.3929999999</v>
      </c>
      <c r="F23" s="215">
        <f>E23/E24</f>
        <v>0.5991905426100852</v>
      </c>
      <c r="G23" s="215">
        <v>0.1082</v>
      </c>
      <c r="H23" s="216">
        <f>F23*G23</f>
        <v>6.483241671041122E-2</v>
      </c>
    </row>
    <row r="24" spans="2:8">
      <c r="C24" s="199" t="s">
        <v>469</v>
      </c>
      <c r="E24" s="208">
        <f>SUM(E21:E23)</f>
        <v>1724872.67322</v>
      </c>
      <c r="F24" s="209">
        <f>SUM(F21:F23)</f>
        <v>1</v>
      </c>
      <c r="G24" s="174"/>
      <c r="H24" s="217">
        <f>SUM(H21:H23)</f>
        <v>8.2479686385613898E-2</v>
      </c>
    </row>
    <row r="30" spans="2:8">
      <c r="C30" s="218"/>
    </row>
  </sheetData>
  <phoneticPr fontId="48" type="noConversion"/>
  <pageMargins left="0.75" right="0.75" top="1" bottom="1" header="0.5" footer="0.5"/>
  <pageSetup scale="7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F29"/>
  <sheetViews>
    <sheetView zoomScale="75" zoomScaleNormal="75" workbookViewId="0"/>
  </sheetViews>
  <sheetFormatPr defaultRowHeight="17.25"/>
  <cols>
    <col min="1" max="1" width="8.88671875" style="181"/>
    <col min="2" max="2" width="3.21875" style="181" customWidth="1"/>
    <col min="3" max="3" width="16.5546875" style="181" customWidth="1"/>
    <col min="4" max="4" width="12.5546875" style="182" bestFit="1" customWidth="1"/>
    <col min="5" max="5" width="8.88671875" style="181"/>
    <col min="6" max="6" width="9.44140625" style="181" bestFit="1" customWidth="1"/>
    <col min="7" max="8" width="8.88671875" style="181"/>
    <col min="9" max="9" width="10.109375" style="181" customWidth="1"/>
    <col min="10" max="10" width="8.88671875" style="181"/>
    <col min="11" max="11" width="3.77734375" style="181" customWidth="1"/>
    <col min="12" max="12" width="3.21875" style="181" customWidth="1"/>
    <col min="13" max="13" width="8.88671875" style="181"/>
    <col min="14" max="14" width="10.5546875" style="181" customWidth="1"/>
    <col min="15" max="15" width="8.88671875" style="181"/>
    <col min="16" max="16" width="3.88671875" style="181" customWidth="1"/>
    <col min="17" max="16384" width="8.88671875" style="181"/>
  </cols>
  <sheetData>
    <row r="1" spans="1:6" ht="18.75">
      <c r="A1" s="169" t="s">
        <v>373</v>
      </c>
    </row>
    <row r="2" spans="1:6">
      <c r="A2" s="199" t="s">
        <v>470</v>
      </c>
    </row>
    <row r="3" spans="1:6">
      <c r="A3" s="219"/>
    </row>
    <row r="5" spans="1:6">
      <c r="B5" s="183" t="s">
        <v>471</v>
      </c>
    </row>
    <row r="6" spans="1:6">
      <c r="C6" s="199" t="s">
        <v>470</v>
      </c>
      <c r="D6" s="174"/>
    </row>
    <row r="7" spans="1:6">
      <c r="C7" s="199" t="s">
        <v>600</v>
      </c>
      <c r="D7" s="174"/>
    </row>
    <row r="8" spans="1:6">
      <c r="C8" s="199"/>
      <c r="D8" s="174"/>
    </row>
    <row r="9" spans="1:6" ht="21" customHeight="1">
      <c r="C9" s="199" t="s">
        <v>441</v>
      </c>
      <c r="D9" s="202">
        <v>890.28228884522832</v>
      </c>
      <c r="E9" s="220"/>
      <c r="F9" s="188"/>
    </row>
    <row r="10" spans="1:6" ht="22.5">
      <c r="C10" s="199" t="s">
        <v>442</v>
      </c>
      <c r="D10" s="202">
        <v>883.52227617052768</v>
      </c>
      <c r="E10" s="220"/>
      <c r="F10" s="188"/>
    </row>
    <row r="11" spans="1:6" ht="22.5">
      <c r="C11" s="199" t="s">
        <v>443</v>
      </c>
      <c r="D11" s="202">
        <v>800.18356805936776</v>
      </c>
      <c r="E11" s="220"/>
      <c r="F11" s="188"/>
    </row>
    <row r="12" spans="1:6" ht="22.5">
      <c r="C12" s="199" t="s">
        <v>444</v>
      </c>
      <c r="D12" s="202">
        <v>746.54622127819459</v>
      </c>
      <c r="E12" s="220"/>
      <c r="F12" s="188"/>
    </row>
    <row r="13" spans="1:6" ht="22.5">
      <c r="C13" s="199" t="s">
        <v>445</v>
      </c>
      <c r="D13" s="202">
        <v>1003.2075430616488</v>
      </c>
      <c r="E13" s="220"/>
      <c r="F13" s="188"/>
    </row>
    <row r="14" spans="1:6" ht="22.5">
      <c r="C14" s="199" t="s">
        <v>446</v>
      </c>
      <c r="D14" s="202">
        <v>1124.9468169871764</v>
      </c>
      <c r="E14" s="220"/>
      <c r="F14" s="188"/>
    </row>
    <row r="15" spans="1:6" ht="22.5">
      <c r="C15" s="199" t="s">
        <v>447</v>
      </c>
      <c r="D15" s="202">
        <v>1141.6606426644446</v>
      </c>
      <c r="E15" s="220"/>
      <c r="F15" s="188"/>
    </row>
    <row r="16" spans="1:6" ht="22.5">
      <c r="C16" s="199" t="s">
        <v>448</v>
      </c>
      <c r="D16" s="202">
        <v>1182.1890763679344</v>
      </c>
      <c r="E16" s="220"/>
      <c r="F16" s="188"/>
    </row>
    <row r="17" spans="3:6" ht="22.5">
      <c r="C17" s="199" t="s">
        <v>449</v>
      </c>
      <c r="D17" s="202">
        <v>1076.0952002097004</v>
      </c>
      <c r="E17" s="220"/>
      <c r="F17" s="188"/>
    </row>
    <row r="18" spans="3:6" ht="22.5">
      <c r="C18" s="199" t="s">
        <v>450</v>
      </c>
      <c r="D18" s="202">
        <v>753.62840283148671</v>
      </c>
      <c r="E18" s="220"/>
      <c r="F18" s="188"/>
    </row>
    <row r="19" spans="3:6" ht="22.5">
      <c r="C19" s="199" t="s">
        <v>451</v>
      </c>
      <c r="D19" s="202">
        <v>814.69683682659218</v>
      </c>
      <c r="E19" s="220"/>
      <c r="F19" s="188"/>
    </row>
    <row r="20" spans="3:6" ht="22.5">
      <c r="C20" s="199" t="s">
        <v>452</v>
      </c>
      <c r="D20" s="206">
        <v>836.45645697614168</v>
      </c>
      <c r="E20" s="220"/>
      <c r="F20" s="188"/>
    </row>
    <row r="21" spans="3:6">
      <c r="C21" s="199"/>
      <c r="D21" s="202">
        <f>SUM(D9:D20)</f>
        <v>11253.415330278443</v>
      </c>
    </row>
    <row r="22" spans="3:6">
      <c r="C22" s="199" t="s">
        <v>472</v>
      </c>
      <c r="D22" s="205">
        <f>D21/12</f>
        <v>937.78461085653691</v>
      </c>
    </row>
    <row r="23" spans="3:6" ht="18" thickBot="1">
      <c r="C23" s="199" t="s">
        <v>473</v>
      </c>
      <c r="D23" s="221">
        <f>D22*1000</f>
        <v>937784.61085653689</v>
      </c>
    </row>
    <row r="24" spans="3:6" ht="19.5" thickTop="1">
      <c r="C24" s="222"/>
    </row>
    <row r="25" spans="3:6" ht="22.5">
      <c r="C25" s="223"/>
    </row>
    <row r="26" spans="3:6">
      <c r="D26" s="254"/>
    </row>
    <row r="27" spans="3:6">
      <c r="D27" s="254"/>
    </row>
    <row r="29" spans="3:6">
      <c r="D29" s="255"/>
    </row>
  </sheetData>
  <phoneticPr fontId="48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32"/>
  <sheetViews>
    <sheetView zoomScaleNormal="100" workbookViewId="0"/>
  </sheetViews>
  <sheetFormatPr defaultRowHeight="15"/>
  <cols>
    <col min="1" max="1" width="6.44140625" style="224" customWidth="1"/>
    <col min="2" max="2" width="25.44140625" style="224" customWidth="1"/>
    <col min="3" max="8" width="18.77734375" style="224" customWidth="1"/>
    <col min="9" max="11" width="11" style="224" customWidth="1"/>
    <col min="12" max="16384" width="8.88671875" style="224"/>
  </cols>
  <sheetData>
    <row r="1" spans="1:11" ht="18">
      <c r="A1" s="169" t="s">
        <v>373</v>
      </c>
    </row>
    <row r="2" spans="1:11" ht="17.25">
      <c r="A2" s="174" t="s">
        <v>474</v>
      </c>
    </row>
    <row r="4" spans="1:11" s="182" customFormat="1" ht="17.25">
      <c r="B4" s="182" t="s">
        <v>475</v>
      </c>
    </row>
    <row r="5" spans="1:11" s="182" customFormat="1" ht="17.25">
      <c r="B5" s="225"/>
    </row>
    <row r="6" spans="1:11" s="182" customFormat="1" ht="17.25">
      <c r="B6" s="182" t="s">
        <v>476</v>
      </c>
    </row>
    <row r="7" spans="1:11" s="182" customFormat="1" ht="17.25">
      <c r="B7" s="182" t="s">
        <v>477</v>
      </c>
      <c r="C7" s="176">
        <v>1048933</v>
      </c>
    </row>
    <row r="8" spans="1:11" s="182" customFormat="1" ht="17.25">
      <c r="B8" s="182" t="s">
        <v>478</v>
      </c>
      <c r="C8" s="176">
        <v>4223322.5739872064</v>
      </c>
    </row>
    <row r="9" spans="1:11" s="182" customFormat="1" ht="17.25">
      <c r="B9" s="182" t="s">
        <v>479</v>
      </c>
      <c r="C9" s="176">
        <v>18357361.358189084</v>
      </c>
      <c r="D9" s="177"/>
      <c r="G9" s="177"/>
      <c r="H9" s="177"/>
      <c r="I9" s="177"/>
      <c r="J9" s="177"/>
      <c r="K9" s="177"/>
    </row>
    <row r="10" spans="1:11" s="182" customFormat="1" ht="17.25">
      <c r="B10" s="185" t="s">
        <v>480</v>
      </c>
      <c r="C10" s="178">
        <v>0</v>
      </c>
      <c r="D10" s="177"/>
      <c r="G10" s="177"/>
      <c r="H10" s="177"/>
      <c r="I10" s="177"/>
      <c r="J10" s="177"/>
      <c r="K10" s="177"/>
    </row>
    <row r="11" spans="1:11" s="182" customFormat="1" ht="17.25">
      <c r="B11" s="182" t="s">
        <v>210</v>
      </c>
      <c r="C11" s="176">
        <f>SUM(C7:C10)</f>
        <v>23629616.932176292</v>
      </c>
      <c r="D11" s="177"/>
      <c r="G11" s="177"/>
      <c r="H11" s="177"/>
      <c r="I11" s="177"/>
      <c r="J11" s="177"/>
      <c r="K11" s="177"/>
    </row>
    <row r="12" spans="1:11" s="182" customFormat="1" ht="17.25">
      <c r="C12" s="176"/>
      <c r="D12" s="177"/>
      <c r="G12" s="177"/>
      <c r="H12" s="177"/>
      <c r="I12" s="177"/>
      <c r="J12" s="177"/>
      <c r="K12" s="177"/>
    </row>
    <row r="13" spans="1:11" s="182" customFormat="1" ht="17.25">
      <c r="B13" s="182" t="s">
        <v>481</v>
      </c>
      <c r="C13" s="176"/>
      <c r="D13" s="177"/>
      <c r="E13" s="177"/>
      <c r="F13" s="177"/>
      <c r="G13" s="177"/>
      <c r="H13" s="177"/>
      <c r="I13" s="177"/>
      <c r="J13" s="177"/>
      <c r="K13" s="177"/>
    </row>
    <row r="14" spans="1:11" s="182" customFormat="1" ht="17.25">
      <c r="B14" s="182" t="s">
        <v>482</v>
      </c>
      <c r="C14" s="176">
        <v>318103</v>
      </c>
      <c r="D14" s="177"/>
      <c r="E14" s="177"/>
      <c r="F14" s="177"/>
      <c r="G14" s="177"/>
      <c r="H14" s="177"/>
      <c r="I14" s="177"/>
      <c r="J14" s="177"/>
      <c r="K14" s="177"/>
    </row>
    <row r="15" spans="1:11" s="182" customFormat="1" ht="17.25">
      <c r="B15" s="182" t="s">
        <v>483</v>
      </c>
      <c r="C15" s="176">
        <v>262836</v>
      </c>
      <c r="D15" s="176"/>
      <c r="E15" s="176"/>
      <c r="F15" s="176"/>
      <c r="G15" s="176"/>
      <c r="H15" s="176"/>
      <c r="I15" s="176"/>
      <c r="J15" s="176"/>
      <c r="K15" s="176"/>
    </row>
    <row r="16" spans="1:11" s="182" customFormat="1" ht="17.25">
      <c r="B16" s="182" t="s">
        <v>484</v>
      </c>
      <c r="C16" s="175">
        <v>755323.23</v>
      </c>
      <c r="D16" s="175"/>
      <c r="E16" s="175"/>
      <c r="F16" s="175"/>
      <c r="G16" s="175"/>
      <c r="H16" s="175"/>
      <c r="I16" s="175"/>
      <c r="J16" s="175"/>
      <c r="K16" s="175"/>
    </row>
    <row r="17" spans="2:11" s="182" customFormat="1" ht="17.25">
      <c r="C17" s="178"/>
      <c r="D17" s="175"/>
      <c r="E17" s="175"/>
      <c r="F17" s="175"/>
      <c r="G17" s="175"/>
      <c r="H17" s="175"/>
      <c r="I17" s="175"/>
      <c r="J17" s="175"/>
      <c r="K17" s="175"/>
    </row>
    <row r="18" spans="2:11" s="182" customFormat="1" ht="17.25">
      <c r="B18" s="182" t="s">
        <v>485</v>
      </c>
      <c r="C18" s="176">
        <f>SUM(C11:C16)</f>
        <v>24965879.162176292</v>
      </c>
      <c r="D18" s="177"/>
      <c r="E18" s="177"/>
      <c r="F18" s="177"/>
      <c r="G18" s="177"/>
      <c r="H18" s="177"/>
      <c r="I18" s="177"/>
      <c r="J18" s="177"/>
      <c r="K18" s="177"/>
    </row>
    <row r="19" spans="2:11" s="182" customFormat="1" ht="17.25">
      <c r="C19" s="176"/>
    </row>
    <row r="20" spans="2:11" s="182" customFormat="1" ht="17.25">
      <c r="B20" s="182" t="s">
        <v>486</v>
      </c>
      <c r="C20" s="176">
        <f>+C14</f>
        <v>318103</v>
      </c>
    </row>
    <row r="21" spans="2:11" s="182" customFormat="1" ht="17.25">
      <c r="B21" s="182" t="s">
        <v>487</v>
      </c>
      <c r="C21" s="176">
        <f>+C15</f>
        <v>262836</v>
      </c>
    </row>
    <row r="22" spans="2:11" s="182" customFormat="1" ht="17.25">
      <c r="B22" s="182" t="s">
        <v>488</v>
      </c>
      <c r="C22" s="175">
        <f>+C8</f>
        <v>4223322.5739872064</v>
      </c>
    </row>
    <row r="23" spans="2:11" s="182" customFormat="1" ht="17.25">
      <c r="B23" s="182" t="s">
        <v>489</v>
      </c>
      <c r="C23" s="176">
        <f>+C16</f>
        <v>755323.23</v>
      </c>
    </row>
    <row r="24" spans="2:11" s="182" customFormat="1" ht="17.25" hidden="1"/>
    <row r="25" spans="2:11" s="182" customFormat="1" ht="17.25">
      <c r="B25" s="182" t="s">
        <v>490</v>
      </c>
      <c r="C25" s="178">
        <f>+C9</f>
        <v>18357361.358189084</v>
      </c>
      <c r="G25" s="180"/>
    </row>
    <row r="26" spans="2:11" s="182" customFormat="1" ht="17.25">
      <c r="D26" s="180"/>
      <c r="E26" s="180"/>
      <c r="F26" s="180"/>
      <c r="H26" s="180"/>
      <c r="I26" s="180"/>
      <c r="J26" s="180"/>
      <c r="K26" s="180"/>
    </row>
    <row r="27" spans="2:11" s="182" customFormat="1" ht="18" thickBot="1">
      <c r="B27" s="226" t="s">
        <v>491</v>
      </c>
      <c r="C27" s="227">
        <f>C18-SUM(C20:C25)</f>
        <v>1048933.0000000037</v>
      </c>
    </row>
    <row r="28" spans="2:11" s="182" customFormat="1" ht="18" thickTop="1">
      <c r="D28" s="180"/>
      <c r="E28" s="180"/>
      <c r="G28" s="180"/>
      <c r="H28" s="180"/>
      <c r="I28" s="180"/>
      <c r="J28" s="180"/>
      <c r="K28" s="180"/>
    </row>
    <row r="29" spans="2:11" s="182" customFormat="1" ht="17.25"/>
    <row r="30" spans="2:11" s="182" customFormat="1" ht="17.25"/>
    <row r="32" spans="2:11" ht="15.75">
      <c r="B32" s="228"/>
    </row>
  </sheetData>
  <phoneticPr fontId="48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23"/>
  <sheetViews>
    <sheetView zoomScaleNormal="100" workbookViewId="0"/>
  </sheetViews>
  <sheetFormatPr defaultColWidth="7.109375" defaultRowHeight="12.75"/>
  <cols>
    <col min="1" max="1" width="22.21875" style="229" bestFit="1" customWidth="1"/>
    <col min="2" max="3" width="14.5546875" style="229" customWidth="1"/>
    <col min="4" max="13" width="13.44140625" style="229" hidden="1" customWidth="1"/>
    <col min="14" max="15" width="13.44140625" style="229" customWidth="1"/>
    <col min="16" max="16" width="15.6640625" style="229" customWidth="1"/>
    <col min="17" max="17" width="10.21875" style="229" customWidth="1"/>
    <col min="18" max="19" width="8.88671875" style="229" hidden="1" customWidth="1"/>
    <col min="20" max="20" width="9.33203125" style="229" hidden="1" customWidth="1"/>
    <col min="21" max="21" width="13.21875" style="229" hidden="1" customWidth="1"/>
    <col min="22" max="24" width="9.33203125" style="229" hidden="1" customWidth="1"/>
    <col min="25" max="25" width="13.21875" style="229" customWidth="1"/>
    <col min="26" max="27" width="9.33203125" style="229" customWidth="1"/>
    <col min="28" max="16384" width="7.109375" style="229"/>
  </cols>
  <sheetData>
    <row r="1" spans="1:23" ht="18">
      <c r="A1" s="169" t="s">
        <v>373</v>
      </c>
    </row>
    <row r="2" spans="1:23" ht="18">
      <c r="A2" s="169" t="s">
        <v>492</v>
      </c>
    </row>
    <row r="3" spans="1:23">
      <c r="C3" s="230" t="s">
        <v>493</v>
      </c>
      <c r="D3" s="231">
        <v>40543</v>
      </c>
      <c r="E3" s="232"/>
      <c r="F3" s="231">
        <v>40908</v>
      </c>
      <c r="G3" s="232"/>
      <c r="H3" s="231">
        <v>41274</v>
      </c>
      <c r="I3" s="232"/>
      <c r="J3" s="232"/>
      <c r="K3" s="232"/>
      <c r="L3" s="232"/>
      <c r="M3" s="232"/>
      <c r="N3" s="231">
        <v>43100</v>
      </c>
      <c r="O3" s="232"/>
      <c r="P3" s="231">
        <v>43465</v>
      </c>
      <c r="Q3" s="229" t="s">
        <v>494</v>
      </c>
    </row>
    <row r="4" spans="1:23">
      <c r="B4" s="230" t="s">
        <v>495</v>
      </c>
      <c r="C4" s="230" t="s">
        <v>496</v>
      </c>
      <c r="D4" s="233" t="s">
        <v>497</v>
      </c>
      <c r="E4" s="233"/>
      <c r="F4" s="233" t="s">
        <v>497</v>
      </c>
      <c r="G4" s="233"/>
      <c r="H4" s="233" t="s">
        <v>497</v>
      </c>
      <c r="I4" s="233"/>
      <c r="J4" s="233"/>
      <c r="K4" s="233"/>
      <c r="L4" s="233"/>
      <c r="M4" s="233"/>
      <c r="N4" s="233" t="s">
        <v>497</v>
      </c>
      <c r="O4" s="233"/>
      <c r="P4" s="233" t="s">
        <v>497</v>
      </c>
      <c r="Q4" s="229" t="s">
        <v>498</v>
      </c>
      <c r="T4" s="229" t="s">
        <v>499</v>
      </c>
      <c r="U4" s="229" t="s">
        <v>500</v>
      </c>
      <c r="V4" s="229" t="s">
        <v>501</v>
      </c>
      <c r="W4" s="229" t="s">
        <v>502</v>
      </c>
    </row>
    <row r="5" spans="1:23">
      <c r="B5" s="230" t="s">
        <v>503</v>
      </c>
      <c r="C5" s="230" t="s">
        <v>504</v>
      </c>
      <c r="D5" s="233" t="s">
        <v>505</v>
      </c>
      <c r="E5" s="233" t="s">
        <v>506</v>
      </c>
      <c r="F5" s="233" t="s">
        <v>505</v>
      </c>
      <c r="G5" s="233" t="s">
        <v>506</v>
      </c>
      <c r="H5" s="233" t="s">
        <v>505</v>
      </c>
      <c r="I5" s="233" t="s">
        <v>506</v>
      </c>
      <c r="J5" s="233" t="s">
        <v>506</v>
      </c>
      <c r="K5" s="233" t="s">
        <v>506</v>
      </c>
      <c r="L5" s="233" t="s">
        <v>506</v>
      </c>
      <c r="M5" s="233" t="s">
        <v>506</v>
      </c>
      <c r="N5" s="233" t="s">
        <v>505</v>
      </c>
      <c r="O5" s="233" t="s">
        <v>507</v>
      </c>
      <c r="P5" s="233" t="s">
        <v>508</v>
      </c>
      <c r="Q5" s="229" t="s">
        <v>509</v>
      </c>
      <c r="U5" s="229" t="s">
        <v>510</v>
      </c>
    </row>
    <row r="6" spans="1:23">
      <c r="B6" s="230" t="s">
        <v>511</v>
      </c>
      <c r="C6" s="233" t="s">
        <v>512</v>
      </c>
      <c r="D6" s="233" t="s">
        <v>513</v>
      </c>
      <c r="E6" s="233">
        <v>2011</v>
      </c>
      <c r="F6" s="233" t="s">
        <v>513</v>
      </c>
      <c r="G6" s="233">
        <v>2012</v>
      </c>
      <c r="H6" s="233" t="s">
        <v>513</v>
      </c>
      <c r="I6" s="233">
        <v>2013</v>
      </c>
      <c r="J6" s="233">
        <v>2014</v>
      </c>
      <c r="K6" s="233">
        <v>2015</v>
      </c>
      <c r="L6" s="233">
        <v>2016</v>
      </c>
      <c r="M6" s="233">
        <v>2017</v>
      </c>
      <c r="N6" s="233" t="s">
        <v>513</v>
      </c>
      <c r="O6" s="233">
        <v>2018</v>
      </c>
      <c r="P6" s="233" t="s">
        <v>514</v>
      </c>
    </row>
    <row r="7" spans="1:23">
      <c r="A7" s="234" t="s">
        <v>515</v>
      </c>
      <c r="B7" s="235">
        <v>40161.1</v>
      </c>
      <c r="C7" s="236">
        <v>2.1296931181246089E-2</v>
      </c>
      <c r="D7" s="237">
        <v>396.65094338952576</v>
      </c>
      <c r="E7" s="237">
        <v>397</v>
      </c>
      <c r="F7" s="237">
        <v>0</v>
      </c>
      <c r="G7" s="237">
        <v>0</v>
      </c>
      <c r="H7" s="237">
        <f>+F7-G7</f>
        <v>0</v>
      </c>
      <c r="I7" s="237">
        <v>0</v>
      </c>
      <c r="J7" s="237">
        <v>0</v>
      </c>
      <c r="K7" s="237">
        <v>0</v>
      </c>
      <c r="L7" s="237">
        <v>0</v>
      </c>
      <c r="M7" s="237">
        <v>0</v>
      </c>
      <c r="N7" s="237">
        <f>+D7-E7-G7-I7-J7-K7-L7-M7</f>
        <v>-0.34905661047423564</v>
      </c>
      <c r="O7" s="237">
        <v>0</v>
      </c>
      <c r="P7" s="237">
        <f>+D7-E7-G7-I7-J7-K7-L7-M7-O7</f>
        <v>-0.34905661047423564</v>
      </c>
      <c r="Q7" s="238">
        <v>2.6646E-2</v>
      </c>
      <c r="R7" s="237" t="e">
        <f>+B7*Q7-#REF!</f>
        <v>#REF!</v>
      </c>
      <c r="T7" s="229">
        <v>0</v>
      </c>
      <c r="U7" s="229">
        <v>1</v>
      </c>
      <c r="V7" s="229">
        <v>0</v>
      </c>
      <c r="W7" s="229">
        <v>0</v>
      </c>
    </row>
    <row r="8" spans="1:23">
      <c r="A8" s="234" t="s">
        <v>516</v>
      </c>
      <c r="B8" s="235">
        <v>679159.96</v>
      </c>
      <c r="C8" s="236">
        <v>2.1296931181246089E-2</v>
      </c>
      <c r="D8" s="237">
        <v>9431.952706633856</v>
      </c>
      <c r="E8" s="237">
        <v>9432</v>
      </c>
      <c r="F8" s="237">
        <v>0</v>
      </c>
      <c r="G8" s="237">
        <v>0</v>
      </c>
      <c r="H8" s="237">
        <f t="shared" ref="F8:H19" si="0">+F8-G8</f>
        <v>0</v>
      </c>
      <c r="I8" s="237">
        <v>0</v>
      </c>
      <c r="J8" s="237">
        <v>0</v>
      </c>
      <c r="K8" s="237">
        <v>0</v>
      </c>
      <c r="L8" s="237">
        <v>0</v>
      </c>
      <c r="M8" s="237">
        <v>0</v>
      </c>
      <c r="N8" s="237">
        <f t="shared" ref="N8:N19" si="1">+D8-E8-G8-I8-J8-K8-L8-M8</f>
        <v>-4.7293366144003812E-2</v>
      </c>
      <c r="O8" s="237">
        <v>0</v>
      </c>
      <c r="P8" s="237">
        <f t="shared" ref="P8:P19" si="2">+D8-E8-G8-I8-J8-K8-L8-M8-O8</f>
        <v>-4.7293366144003812E-2</v>
      </c>
      <c r="Q8" s="238">
        <v>2.6646E-2</v>
      </c>
      <c r="R8" s="237" t="e">
        <f>+B8*Q8-#REF!</f>
        <v>#REF!</v>
      </c>
      <c r="T8" s="229">
        <v>3.2114700000000003E-2</v>
      </c>
      <c r="U8" s="229">
        <v>0.17142080000000001</v>
      </c>
      <c r="V8" s="229">
        <v>0.28477659999999999</v>
      </c>
      <c r="W8" s="229">
        <v>0.51168789999999997</v>
      </c>
    </row>
    <row r="9" spans="1:23">
      <c r="A9" s="234" t="s">
        <v>517</v>
      </c>
      <c r="B9" s="235">
        <v>1338169.76</v>
      </c>
      <c r="C9" s="236">
        <v>2.1635877596602245E-2</v>
      </c>
      <c r="D9" s="237">
        <v>2566.8866370579999</v>
      </c>
      <c r="E9" s="237">
        <v>2568</v>
      </c>
      <c r="F9" s="237">
        <v>0</v>
      </c>
      <c r="G9" s="237">
        <v>0</v>
      </c>
      <c r="H9" s="237">
        <f t="shared" si="0"/>
        <v>0</v>
      </c>
      <c r="I9" s="237">
        <v>0</v>
      </c>
      <c r="J9" s="237">
        <v>0</v>
      </c>
      <c r="K9" s="237">
        <v>0</v>
      </c>
      <c r="L9" s="237">
        <v>0</v>
      </c>
      <c r="M9" s="237">
        <v>0</v>
      </c>
      <c r="N9" s="237">
        <f t="shared" si="1"/>
        <v>-1.1133629420000943</v>
      </c>
      <c r="O9" s="237">
        <v>0</v>
      </c>
      <c r="P9" s="237">
        <f t="shared" si="2"/>
        <v>-1.1133629420000943</v>
      </c>
      <c r="Q9" s="238">
        <v>3.0998999999999999E-2</v>
      </c>
      <c r="R9" s="237" t="e">
        <f>+B9*Q9-#REF!</f>
        <v>#REF!</v>
      </c>
      <c r="T9" s="229">
        <v>3.2114700000000003E-2</v>
      </c>
      <c r="U9" s="229">
        <v>0.17142080000000001</v>
      </c>
      <c r="V9" s="229">
        <v>0.28477659999999999</v>
      </c>
      <c r="W9" s="229">
        <v>0.51168789999999997</v>
      </c>
    </row>
    <row r="10" spans="1:23">
      <c r="A10" s="234" t="s">
        <v>518</v>
      </c>
      <c r="B10" s="235">
        <v>941009.23</v>
      </c>
      <c r="C10" s="236">
        <v>1.9779533139811716E-2</v>
      </c>
      <c r="D10" s="237">
        <v>69896.225674647663</v>
      </c>
      <c r="E10" s="237">
        <f>+B10*C10</f>
        <v>18612.723249653704</v>
      </c>
      <c r="F10" s="237">
        <f t="shared" si="0"/>
        <v>51283.50242499396</v>
      </c>
      <c r="G10" s="237">
        <f>+B10*C10</f>
        <v>18612.723249653704</v>
      </c>
      <c r="H10" s="237">
        <f t="shared" si="0"/>
        <v>32670.779175340256</v>
      </c>
      <c r="I10" s="237">
        <v>18613</v>
      </c>
      <c r="J10" s="237">
        <v>14058</v>
      </c>
      <c r="K10" s="237">
        <v>0</v>
      </c>
      <c r="L10" s="237">
        <v>0</v>
      </c>
      <c r="M10" s="237">
        <v>0</v>
      </c>
      <c r="N10" s="237">
        <f t="shared" si="1"/>
        <v>-0.22082465974381194</v>
      </c>
      <c r="O10" s="237">
        <v>0</v>
      </c>
      <c r="P10" s="237">
        <f t="shared" si="2"/>
        <v>-0.22082465974381194</v>
      </c>
      <c r="Q10" s="238">
        <v>3.2312E-2</v>
      </c>
      <c r="R10" s="237" t="e">
        <f>+B10*Q10-#REF!</f>
        <v>#REF!</v>
      </c>
      <c r="T10" s="229">
        <v>2.5126650161889169E-2</v>
      </c>
      <c r="U10" s="229">
        <v>0.60726816760903601</v>
      </c>
      <c r="V10" s="229">
        <v>0.14072234097970479</v>
      </c>
      <c r="W10" s="229">
        <v>0.22688284124936994</v>
      </c>
    </row>
    <row r="11" spans="1:23">
      <c r="A11" s="234" t="s">
        <v>519</v>
      </c>
      <c r="B11" s="235">
        <v>2408765.1800000002</v>
      </c>
      <c r="C11" s="236">
        <v>1.5625875888863442E-2</v>
      </c>
      <c r="D11" s="237">
        <v>176663.15788382734</v>
      </c>
      <c r="E11" s="237">
        <f>+C11*B11</f>
        <v>37639.065748095811</v>
      </c>
      <c r="F11" s="237">
        <f t="shared" si="0"/>
        <v>139024.09213573154</v>
      </c>
      <c r="G11" s="237">
        <f>+B11*C11</f>
        <v>37639.065748095811</v>
      </c>
      <c r="H11" s="237">
        <f t="shared" si="0"/>
        <v>101385.02638763573</v>
      </c>
      <c r="I11" s="237">
        <f>+B11*C11</f>
        <v>37639.065748095811</v>
      </c>
      <c r="J11" s="237">
        <f>+B11*C11</f>
        <v>37639.065748095811</v>
      </c>
      <c r="K11" s="237">
        <v>26107</v>
      </c>
      <c r="L11" s="237">
        <v>0</v>
      </c>
      <c r="M11" s="237">
        <v>0</v>
      </c>
      <c r="N11" s="237">
        <f t="shared" si="1"/>
        <v>-0.10510855588654522</v>
      </c>
      <c r="O11" s="237">
        <v>0</v>
      </c>
      <c r="P11" s="237">
        <f t="shared" si="2"/>
        <v>-0.10510855588654522</v>
      </c>
      <c r="Q11" s="238">
        <v>3.6770999999999998E-2</v>
      </c>
      <c r="R11" s="237" t="e">
        <f>+B11*Q11-#REF!</f>
        <v>#REF!</v>
      </c>
      <c r="T11" s="229">
        <v>1</v>
      </c>
      <c r="U11" s="229">
        <v>0</v>
      </c>
      <c r="V11" s="229">
        <v>0</v>
      </c>
      <c r="W11" s="229">
        <v>0</v>
      </c>
    </row>
    <row r="12" spans="1:23">
      <c r="A12" s="234" t="s">
        <v>520</v>
      </c>
      <c r="B12" s="235">
        <v>1066200.17</v>
      </c>
      <c r="C12" s="236">
        <v>2.2306885982023471E-2</v>
      </c>
      <c r="D12" s="237">
        <v>138828.20393777313</v>
      </c>
      <c r="E12" s="237">
        <f>+B12*C12</f>
        <v>23783.60562620404</v>
      </c>
      <c r="F12" s="237">
        <f t="shared" si="0"/>
        <v>115044.59831156909</v>
      </c>
      <c r="G12" s="237">
        <f>+B12*C12</f>
        <v>23783.60562620404</v>
      </c>
      <c r="H12" s="237">
        <f t="shared" si="0"/>
        <v>91260.992685365054</v>
      </c>
      <c r="I12" s="237">
        <f>+B12*C12</f>
        <v>23783.60562620404</v>
      </c>
      <c r="J12" s="237">
        <f>+B12*C12</f>
        <v>23783.60562620404</v>
      </c>
      <c r="K12" s="237">
        <f>+B12*C12</f>
        <v>23783.60562620404</v>
      </c>
      <c r="L12" s="237">
        <v>19910</v>
      </c>
      <c r="M12" s="237">
        <v>0</v>
      </c>
      <c r="N12" s="237">
        <f t="shared" si="1"/>
        <v>0.17580675294084358</v>
      </c>
      <c r="O12" s="237">
        <v>0</v>
      </c>
      <c r="P12" s="237">
        <f t="shared" si="2"/>
        <v>0.17580675294084358</v>
      </c>
      <c r="Q12" s="238">
        <v>3.3896000000000003E-2</v>
      </c>
      <c r="R12" s="237" t="e">
        <f>+B12*Q12-#REF!</f>
        <v>#REF!</v>
      </c>
      <c r="T12" s="229">
        <v>1</v>
      </c>
      <c r="U12" s="229">
        <v>0</v>
      </c>
      <c r="V12" s="229">
        <v>0</v>
      </c>
      <c r="W12" s="229">
        <v>0</v>
      </c>
    </row>
    <row r="13" spans="1:23">
      <c r="A13" s="234" t="s">
        <v>521</v>
      </c>
      <c r="B13" s="235">
        <v>1164745.99</v>
      </c>
      <c r="C13" s="236">
        <v>2.1765153085184924E-2</v>
      </c>
      <c r="D13" s="237">
        <v>254808.35748231577</v>
      </c>
      <c r="E13" s="237">
        <v>25351</v>
      </c>
      <c r="F13" s="237">
        <f t="shared" si="0"/>
        <v>229457.35748231577</v>
      </c>
      <c r="G13" s="237">
        <v>25351</v>
      </c>
      <c r="H13" s="237">
        <f t="shared" si="0"/>
        <v>204106.35748231577</v>
      </c>
      <c r="I13" s="237">
        <v>25351</v>
      </c>
      <c r="J13" s="237">
        <v>25351</v>
      </c>
      <c r="K13" s="237">
        <v>25351</v>
      </c>
      <c r="L13" s="237">
        <v>25351</v>
      </c>
      <c r="M13" s="237">
        <v>25351</v>
      </c>
      <c r="N13" s="237">
        <f t="shared" si="1"/>
        <v>77351.357482315769</v>
      </c>
      <c r="O13" s="237">
        <v>25351</v>
      </c>
      <c r="P13" s="237">
        <f t="shared" si="2"/>
        <v>52000.357482315769</v>
      </c>
      <c r="Q13" s="238">
        <v>3.1200000000000002E-2</v>
      </c>
      <c r="R13" s="237" t="e">
        <f>+B13*Q13-#REF!</f>
        <v>#REF!</v>
      </c>
      <c r="T13" s="229">
        <v>1</v>
      </c>
      <c r="U13" s="229">
        <v>0</v>
      </c>
      <c r="V13" s="229">
        <v>0</v>
      </c>
      <c r="W13" s="229">
        <v>0</v>
      </c>
    </row>
    <row r="14" spans="1:23">
      <c r="A14" s="234" t="s">
        <v>522</v>
      </c>
      <c r="B14" s="235">
        <v>16149807.67</v>
      </c>
      <c r="C14" s="236">
        <v>2.2048237901963131E-2</v>
      </c>
      <c r="D14" s="237">
        <v>3549877.322852904</v>
      </c>
      <c r="E14" s="237">
        <v>356075</v>
      </c>
      <c r="F14" s="237">
        <f t="shared" si="0"/>
        <v>3193802.322852904</v>
      </c>
      <c r="G14" s="237">
        <v>356075</v>
      </c>
      <c r="H14" s="237">
        <f t="shared" si="0"/>
        <v>2837727.322852904</v>
      </c>
      <c r="I14" s="237">
        <v>356075</v>
      </c>
      <c r="J14" s="237">
        <v>356075</v>
      </c>
      <c r="K14" s="237">
        <v>356075</v>
      </c>
      <c r="L14" s="237">
        <v>356075</v>
      </c>
      <c r="M14" s="237">
        <v>356075</v>
      </c>
      <c r="N14" s="237">
        <f t="shared" si="1"/>
        <v>1057352.322852904</v>
      </c>
      <c r="O14" s="237">
        <v>356075</v>
      </c>
      <c r="P14" s="237">
        <f t="shared" si="2"/>
        <v>701277.32285290398</v>
      </c>
      <c r="Q14" s="238">
        <v>2.853E-2</v>
      </c>
      <c r="R14" s="237" t="e">
        <f>+B14*Q14-#REF!</f>
        <v>#REF!</v>
      </c>
      <c r="T14" s="229">
        <v>0</v>
      </c>
      <c r="U14" s="229">
        <v>0</v>
      </c>
      <c r="V14" s="229">
        <v>1</v>
      </c>
      <c r="W14" s="229">
        <v>0</v>
      </c>
    </row>
    <row r="15" spans="1:23">
      <c r="A15" s="234" t="s">
        <v>523</v>
      </c>
      <c r="B15" s="235">
        <v>285248.77</v>
      </c>
      <c r="C15" s="236">
        <v>2.3043080668343041E-2</v>
      </c>
      <c r="D15" s="237">
        <v>49384.550207801221</v>
      </c>
      <c r="E15" s="237">
        <v>6573</v>
      </c>
      <c r="F15" s="237">
        <f t="shared" si="0"/>
        <v>42811.550207801221</v>
      </c>
      <c r="G15" s="237">
        <v>6573</v>
      </c>
      <c r="H15" s="237">
        <f t="shared" si="0"/>
        <v>36238.550207801221</v>
      </c>
      <c r="I15" s="237">
        <v>6573</v>
      </c>
      <c r="J15" s="237">
        <v>6573</v>
      </c>
      <c r="K15" s="237">
        <v>6573</v>
      </c>
      <c r="L15" s="237">
        <v>6573</v>
      </c>
      <c r="M15" s="237">
        <v>6573</v>
      </c>
      <c r="N15" s="237">
        <f t="shared" si="1"/>
        <v>3373.5502078012214</v>
      </c>
      <c r="O15" s="237">
        <v>3374</v>
      </c>
      <c r="P15" s="237">
        <f t="shared" si="2"/>
        <v>-0.44979219877859578</v>
      </c>
      <c r="Q15" s="238">
        <v>3.1626000000000001E-2</v>
      </c>
      <c r="R15" s="237" t="e">
        <f>+B15*Q15-#REF!</f>
        <v>#REF!</v>
      </c>
      <c r="T15" s="229">
        <v>1</v>
      </c>
      <c r="U15" s="229">
        <v>0</v>
      </c>
      <c r="V15" s="229">
        <v>0</v>
      </c>
      <c r="W15" s="229">
        <v>0</v>
      </c>
    </row>
    <row r="16" spans="1:23">
      <c r="A16" s="234" t="s">
        <v>524</v>
      </c>
      <c r="B16" s="235">
        <v>23255.55</v>
      </c>
      <c r="C16" s="236">
        <v>1.7299999999999999E-2</v>
      </c>
      <c r="D16" s="237">
        <v>9958.128200000001</v>
      </c>
      <c r="E16" s="237">
        <v>402</v>
      </c>
      <c r="F16" s="237">
        <f t="shared" si="0"/>
        <v>9556.128200000001</v>
      </c>
      <c r="G16" s="237">
        <v>402</v>
      </c>
      <c r="H16" s="237">
        <f t="shared" si="0"/>
        <v>9154.128200000001</v>
      </c>
      <c r="I16" s="237">
        <v>402</v>
      </c>
      <c r="J16" s="237">
        <v>402</v>
      </c>
      <c r="K16" s="237">
        <v>402</v>
      </c>
      <c r="L16" s="237">
        <v>402</v>
      </c>
      <c r="M16" s="237">
        <v>402</v>
      </c>
      <c r="N16" s="237">
        <f t="shared" si="1"/>
        <v>7144.128200000001</v>
      </c>
      <c r="O16" s="237">
        <v>402</v>
      </c>
      <c r="P16" s="237">
        <f t="shared" si="2"/>
        <v>6742.128200000001</v>
      </c>
      <c r="Q16" s="238">
        <v>2.75E-2</v>
      </c>
      <c r="R16" s="237" t="e">
        <f>+B16*Q16-#REF!</f>
        <v>#REF!</v>
      </c>
      <c r="T16" s="229">
        <v>1</v>
      </c>
      <c r="U16" s="229">
        <v>0</v>
      </c>
      <c r="V16" s="229">
        <v>0</v>
      </c>
      <c r="W16" s="229">
        <v>0</v>
      </c>
    </row>
    <row r="17" spans="1:23">
      <c r="A17" s="234" t="s">
        <v>525</v>
      </c>
      <c r="B17" s="235">
        <v>363814.87</v>
      </c>
      <c r="C17" s="236">
        <v>2.2048237901963131E-2</v>
      </c>
      <c r="D17" s="237">
        <v>101299.34903270072</v>
      </c>
      <c r="E17" s="237">
        <v>8021</v>
      </c>
      <c r="F17" s="237">
        <f t="shared" si="0"/>
        <v>93278.349032700717</v>
      </c>
      <c r="G17" s="237">
        <v>8021</v>
      </c>
      <c r="H17" s="237">
        <f t="shared" si="0"/>
        <v>85257.349032700717</v>
      </c>
      <c r="I17" s="237">
        <v>8021</v>
      </c>
      <c r="J17" s="237">
        <v>8021</v>
      </c>
      <c r="K17" s="237">
        <v>8021</v>
      </c>
      <c r="L17" s="237">
        <v>8021</v>
      </c>
      <c r="M17" s="237">
        <v>8021</v>
      </c>
      <c r="N17" s="237">
        <f t="shared" si="1"/>
        <v>45152.349032700717</v>
      </c>
      <c r="O17" s="237">
        <v>8021</v>
      </c>
      <c r="P17" s="237">
        <f t="shared" si="2"/>
        <v>37131.349032700717</v>
      </c>
      <c r="Q17" s="238">
        <v>2.6417E-2</v>
      </c>
      <c r="R17" s="237" t="e">
        <f>+B17*Q17-#REF!</f>
        <v>#REF!</v>
      </c>
      <c r="T17" s="229">
        <v>0</v>
      </c>
      <c r="U17" s="229">
        <v>0</v>
      </c>
      <c r="V17" s="229">
        <v>0.4542853</v>
      </c>
      <c r="W17" s="229">
        <v>0.5457147</v>
      </c>
    </row>
    <row r="18" spans="1:23">
      <c r="A18" s="234" t="s">
        <v>526</v>
      </c>
      <c r="B18" s="235">
        <v>142703.56</v>
      </c>
      <c r="C18" s="236">
        <v>2.1098284419999339E-2</v>
      </c>
      <c r="D18" s="237">
        <v>39353.448051031861</v>
      </c>
      <c r="E18" s="237">
        <v>3011</v>
      </c>
      <c r="F18" s="237">
        <f t="shared" si="0"/>
        <v>36342.448051031861</v>
      </c>
      <c r="G18" s="237">
        <v>3011</v>
      </c>
      <c r="H18" s="237">
        <f t="shared" si="0"/>
        <v>33331.448051031861</v>
      </c>
      <c r="I18" s="237">
        <v>3011</v>
      </c>
      <c r="J18" s="237">
        <v>3011</v>
      </c>
      <c r="K18" s="237">
        <v>3011</v>
      </c>
      <c r="L18" s="237">
        <v>3011</v>
      </c>
      <c r="M18" s="237">
        <v>3011</v>
      </c>
      <c r="N18" s="237">
        <f t="shared" si="1"/>
        <v>18276.448051031861</v>
      </c>
      <c r="O18" s="237">
        <v>3011</v>
      </c>
      <c r="P18" s="237">
        <f t="shared" si="2"/>
        <v>15265.448051031861</v>
      </c>
      <c r="Q18" s="238">
        <v>3.1472E-2</v>
      </c>
      <c r="R18" s="237" t="e">
        <f>+B18*Q18-#REF!</f>
        <v>#REF!</v>
      </c>
      <c r="T18" s="229">
        <v>1</v>
      </c>
      <c r="U18" s="229">
        <v>0</v>
      </c>
      <c r="V18" s="229">
        <v>0</v>
      </c>
      <c r="W18" s="229">
        <v>0</v>
      </c>
    </row>
    <row r="19" spans="1:23">
      <c r="A19" s="234" t="s">
        <v>527</v>
      </c>
      <c r="B19" s="235">
        <v>-2968.0491999999999</v>
      </c>
      <c r="C19" s="236">
        <v>2.410118733511072E-2</v>
      </c>
      <c r="D19" s="237">
        <v>-1067.3305377549821</v>
      </c>
      <c r="E19" s="237">
        <v>-72</v>
      </c>
      <c r="F19" s="237">
        <f t="shared" si="0"/>
        <v>-995.33053775498206</v>
      </c>
      <c r="G19" s="237">
        <v>-72</v>
      </c>
      <c r="H19" s="237">
        <f t="shared" si="0"/>
        <v>-923.33053775498206</v>
      </c>
      <c r="I19" s="237">
        <v>-72</v>
      </c>
      <c r="J19" s="237">
        <v>-72</v>
      </c>
      <c r="K19" s="237">
        <v>-72</v>
      </c>
      <c r="L19" s="237">
        <v>-72</v>
      </c>
      <c r="M19" s="237">
        <v>-72</v>
      </c>
      <c r="N19" s="237">
        <f t="shared" si="1"/>
        <v>-563.33053775498206</v>
      </c>
      <c r="O19" s="237">
        <v>-72</v>
      </c>
      <c r="P19" s="237">
        <f t="shared" si="2"/>
        <v>-491.33053775498206</v>
      </c>
      <c r="Q19" s="239">
        <v>3.1472E-2</v>
      </c>
      <c r="R19" s="237" t="e">
        <f>+B19*Q19-#REF!</f>
        <v>#REF!</v>
      </c>
    </row>
    <row r="20" spans="1:23" s="241" customFormat="1">
      <c r="A20" s="240" t="s">
        <v>528</v>
      </c>
      <c r="B20" s="240">
        <f>SUM(B7:B19)</f>
        <v>24600073.760800004</v>
      </c>
      <c r="C20" s="240"/>
      <c r="D20" s="240">
        <f t="shared" ref="D20:P20" si="3">SUM(D7:D19)</f>
        <v>4401396.9030723283</v>
      </c>
      <c r="E20" s="240">
        <f t="shared" si="3"/>
        <v>491793.39462395356</v>
      </c>
      <c r="F20" s="240">
        <f t="shared" si="3"/>
        <v>3909605.0181612927</v>
      </c>
      <c r="G20" s="240">
        <f t="shared" si="3"/>
        <v>479396.39462395356</v>
      </c>
      <c r="H20" s="240">
        <f>SUM(H7:H19)</f>
        <v>3430208.6235373393</v>
      </c>
      <c r="I20" s="240">
        <f t="shared" si="3"/>
        <v>479396.67137429985</v>
      </c>
      <c r="J20" s="240">
        <f t="shared" si="3"/>
        <v>474841.67137429985</v>
      </c>
      <c r="K20" s="240">
        <f t="shared" si="3"/>
        <v>449251.60562620405</v>
      </c>
      <c r="L20" s="240">
        <f t="shared" si="3"/>
        <v>419271</v>
      </c>
      <c r="M20" s="240">
        <f t="shared" si="3"/>
        <v>399361</v>
      </c>
      <c r="N20" s="240">
        <f>SUM(N7:N19)</f>
        <v>1208085.1654496172</v>
      </c>
      <c r="O20" s="240">
        <f t="shared" si="3"/>
        <v>396162</v>
      </c>
      <c r="P20" s="240">
        <f t="shared" si="3"/>
        <v>811923.16544961743</v>
      </c>
      <c r="Q20" s="240"/>
      <c r="R20" s="240"/>
      <c r="S20" s="240"/>
      <c r="T20" s="240"/>
      <c r="U20" s="240"/>
      <c r="V20" s="240"/>
      <c r="W20" s="240"/>
    </row>
    <row r="21" spans="1:23">
      <c r="A21" s="242"/>
      <c r="B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</row>
    <row r="22" spans="1:23">
      <c r="D22" s="234"/>
      <c r="F22" s="234"/>
      <c r="H22" s="234"/>
      <c r="N22" s="234"/>
    </row>
    <row r="23" spans="1:23"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</row>
  </sheetData>
  <phoneticPr fontId="48" type="noConversion"/>
  <pageMargins left="0.75" right="0.75" top="1" bottom="1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SIGE</vt:lpstr>
      <vt:lpstr>Workpapers (Pages 1 to 4)</vt:lpstr>
      <vt:lpstr>Workpaper (Page 5)</vt:lpstr>
      <vt:lpstr>Workpapers (Pages 6 and 7)</vt:lpstr>
      <vt:lpstr>Workpapers (Page 8)</vt:lpstr>
      <vt:lpstr>Workpapers (Page 9)</vt:lpstr>
      <vt:lpstr>Workpapers (Page 10)</vt:lpstr>
      <vt:lpstr>Workpapers (Page 11)</vt:lpstr>
      <vt:lpstr>Workpapers (Page 12)</vt:lpstr>
      <vt:lpstr>SIGE!Print_Area</vt:lpstr>
      <vt:lpstr>'Workpaper (Page 5)'!Print_Area</vt:lpstr>
      <vt:lpstr>'Workpapers (Page 10)'!Print_Area</vt:lpstr>
      <vt:lpstr>'Workpapers (Page 11)'!Print_Area</vt:lpstr>
      <vt:lpstr>'Workpapers (Page 12)'!Print_Area</vt:lpstr>
      <vt:lpstr>'Workpapers (Page 9)'!Print_Area</vt:lpstr>
      <vt:lpstr>'Workpapers (Pages 6 and 7)'!Print_Area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McDowell, Matt</dc:creator>
  <cp:lastModifiedBy>mmcdowell</cp:lastModifiedBy>
  <cp:lastPrinted>2017-08-31T21:13:18Z</cp:lastPrinted>
  <dcterms:created xsi:type="dcterms:W3CDTF">2008-08-26T13:54:56Z</dcterms:created>
  <dcterms:modified xsi:type="dcterms:W3CDTF">2017-09-01T13:53:35Z</dcterms:modified>
</cp:coreProperties>
</file>