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25" windowWidth="9570" windowHeight="8580" tabRatio="937" activeTab="2"/>
  </bookViews>
  <sheets>
    <sheet name="Summary" sheetId="74" r:id="rId1"/>
    <sheet name="O-GG" sheetId="75" state="hidden" r:id="rId2"/>
    <sheet name="SIGE" sheetId="65" r:id="rId3"/>
    <sheet name="Workpapers (Pages 1 to 4)" sheetId="66" r:id="rId4"/>
    <sheet name="Workpaper (Page 5)" sheetId="76" r:id="rId5"/>
    <sheet name="Workpapers (Pages 6 and 7)" sheetId="67" r:id="rId6"/>
    <sheet name="Workpapers (Page 8)" sheetId="68" r:id="rId7"/>
    <sheet name="Workpapers (Page 9)" sheetId="69" r:id="rId8"/>
    <sheet name="Workpapers (Page 10)" sheetId="70" r:id="rId9"/>
    <sheet name="Workpapers (Page 11)" sheetId="71" r:id="rId10"/>
    <sheet name="Workpapers (Page 12)" sheetId="72" r:id="rId11"/>
    <sheet name="Schedule 1" sheetId="73" r:id="rId12"/>
  </sheets>
  <definedNames>
    <definedName name="CUSTAR">#REF!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MBERVILLE">#REF!</definedName>
    <definedName name="PIONEER">#REF!</definedName>
    <definedName name="_xlnm.Print_Area" localSheetId="1">'O-GG'!$A$1:$L$53</definedName>
    <definedName name="_xlnm.Print_Area" localSheetId="2">SIGE!$A$1:$L$396</definedName>
    <definedName name="_xlnm.Print_Area" localSheetId="4">'Workpaper (Page 5)'!$A$1:$L$92</definedName>
    <definedName name="_xlnm.Print_Area" localSheetId="8">'Workpapers (Page 10)'!$A$1:$G$23</definedName>
    <definedName name="_xlnm.Print_Area" localSheetId="9">'Workpapers (Page 11)'!$A$1:$D$28</definedName>
    <definedName name="_xlnm.Print_Area" localSheetId="5">'Workpapers (Pages 6 and 7)'!$A$1:$F$72</definedName>
    <definedName name="_xlnm.Print_Area">#REF!</definedName>
    <definedName name="PROSPECT">#REF!</definedName>
    <definedName name="revreq">#REF!</definedName>
    <definedName name="SEVILLE">#REF!</definedName>
    <definedName name="SOUTH_VIENNA">#REF!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s>
  <calcPr calcId="145621"/>
</workbook>
</file>

<file path=xl/calcChain.xml><?xml version="1.0" encoding="utf-8"?>
<calcChain xmlns="http://schemas.openxmlformats.org/spreadsheetml/2006/main">
  <c r="H292" i="65" l="1"/>
  <c r="E54" i="67" l="1"/>
  <c r="J306" i="65"/>
  <c r="J307" i="65"/>
  <c r="J308" i="65"/>
  <c r="E70" i="67"/>
  <c r="F70" i="67"/>
  <c r="E8" i="69"/>
  <c r="E13" i="69"/>
  <c r="E16" i="69" s="1"/>
  <c r="C21" i="66"/>
  <c r="D21" i="66"/>
  <c r="E21" i="66"/>
  <c r="F21" i="66"/>
  <c r="G21" i="66"/>
  <c r="C41" i="66"/>
  <c r="D41" i="66"/>
  <c r="D43" i="66" s="1"/>
  <c r="E41" i="66"/>
  <c r="F41" i="66"/>
  <c r="G41" i="66"/>
  <c r="G43" i="66"/>
  <c r="F43" i="66"/>
  <c r="C43" i="66"/>
  <c r="E43" i="66" l="1"/>
  <c r="D90" i="66"/>
  <c r="E90" i="66"/>
  <c r="F90" i="66"/>
  <c r="C113" i="66"/>
  <c r="E16" i="67"/>
  <c r="E26" i="67"/>
  <c r="E28" i="67"/>
  <c r="D76" i="66" l="1"/>
  <c r="E76" i="66"/>
  <c r="F76" i="66"/>
  <c r="D88" i="66"/>
  <c r="E88" i="66"/>
  <c r="F88" i="66"/>
  <c r="J90" i="76" l="1"/>
  <c r="L90" i="76" s="1"/>
  <c r="E79" i="76"/>
  <c r="E80" i="76" s="1"/>
  <c r="J78" i="76"/>
  <c r="L78" i="76" s="1"/>
  <c r="H70" i="76"/>
  <c r="H69" i="76"/>
  <c r="H68" i="76"/>
  <c r="H67" i="76"/>
  <c r="H66" i="76"/>
  <c r="H65" i="76"/>
  <c r="H64" i="76"/>
  <c r="H63" i="76"/>
  <c r="H62" i="76"/>
  <c r="H61" i="76"/>
  <c r="H60" i="76"/>
  <c r="H59" i="76"/>
  <c r="E59" i="76"/>
  <c r="E60" i="76" s="1"/>
  <c r="J58" i="76"/>
  <c r="L58" i="76" s="1"/>
  <c r="J50" i="76"/>
  <c r="L50" i="76" s="1"/>
  <c r="E39" i="76"/>
  <c r="J39" i="76" s="1"/>
  <c r="J38" i="76"/>
  <c r="L38" i="76" s="1"/>
  <c r="H30" i="76"/>
  <c r="H29" i="76"/>
  <c r="H28" i="76"/>
  <c r="H27" i="76"/>
  <c r="H26" i="76"/>
  <c r="H25" i="76"/>
  <c r="H24" i="76"/>
  <c r="H23" i="76"/>
  <c r="H22" i="76"/>
  <c r="H21" i="76"/>
  <c r="H20" i="76"/>
  <c r="H19" i="76"/>
  <c r="E19" i="76"/>
  <c r="E20" i="76" s="1"/>
  <c r="J18" i="76"/>
  <c r="L18" i="76" s="1"/>
  <c r="L91" i="76" l="1"/>
  <c r="L92" i="76" s="1"/>
  <c r="L51" i="76"/>
  <c r="L52" i="76" s="1"/>
  <c r="E11" i="76" s="1"/>
  <c r="E61" i="76"/>
  <c r="F60" i="76"/>
  <c r="I60" i="76" s="1"/>
  <c r="E21" i="76"/>
  <c r="F20" i="76"/>
  <c r="I20" i="76" s="1"/>
  <c r="E81" i="76"/>
  <c r="J80" i="76"/>
  <c r="F19" i="76"/>
  <c r="I19" i="76" s="1"/>
  <c r="J19" i="76" s="1"/>
  <c r="F59" i="76"/>
  <c r="I59" i="76" s="1"/>
  <c r="J59" i="76" s="1"/>
  <c r="J79" i="76"/>
  <c r="E40" i="76"/>
  <c r="E41" i="76" l="1"/>
  <c r="J40" i="76"/>
  <c r="E82" i="76"/>
  <c r="J81" i="76"/>
  <c r="E22" i="76"/>
  <c r="F21" i="76"/>
  <c r="I21" i="76" s="1"/>
  <c r="J60" i="76"/>
  <c r="E62" i="76"/>
  <c r="F61" i="76"/>
  <c r="I61" i="76" s="1"/>
  <c r="J20" i="76"/>
  <c r="J21" i="76" s="1"/>
  <c r="J61" i="76" l="1"/>
  <c r="E83" i="76"/>
  <c r="J82" i="76"/>
  <c r="E23" i="76"/>
  <c r="F22" i="76"/>
  <c r="I22" i="76" s="1"/>
  <c r="J22" i="76" s="1"/>
  <c r="E42" i="76"/>
  <c r="J41" i="76"/>
  <c r="E63" i="76"/>
  <c r="F62" i="76"/>
  <c r="I62" i="76" s="1"/>
  <c r="J62" i="76" s="1"/>
  <c r="E43" i="76" l="1"/>
  <c r="J42" i="76"/>
  <c r="E84" i="76"/>
  <c r="J83" i="76"/>
  <c r="E64" i="76"/>
  <c r="F63" i="76"/>
  <c r="I63" i="76" s="1"/>
  <c r="J63" i="76" s="1"/>
  <c r="E24" i="76"/>
  <c r="F23" i="76"/>
  <c r="I23" i="76" s="1"/>
  <c r="J23" i="76" s="1"/>
  <c r="E65" i="76" l="1"/>
  <c r="F64" i="76"/>
  <c r="I64" i="76" s="1"/>
  <c r="J64" i="76" s="1"/>
  <c r="E44" i="76"/>
  <c r="J43" i="76"/>
  <c r="E25" i="76"/>
  <c r="F24" i="76"/>
  <c r="I24" i="76" s="1"/>
  <c r="J24" i="76" s="1"/>
  <c r="E85" i="76"/>
  <c r="J84" i="76"/>
  <c r="E26" i="76" l="1"/>
  <c r="F25" i="76"/>
  <c r="I25" i="76" s="1"/>
  <c r="J25" i="76" s="1"/>
  <c r="E66" i="76"/>
  <c r="F65" i="76"/>
  <c r="I65" i="76" s="1"/>
  <c r="J65" i="76" s="1"/>
  <c r="E86" i="76"/>
  <c r="J85" i="76"/>
  <c r="J44" i="76"/>
  <c r="E45" i="76"/>
  <c r="E87" i="76" l="1"/>
  <c r="J86" i="76"/>
  <c r="E27" i="76"/>
  <c r="F26" i="76"/>
  <c r="I26" i="76" s="1"/>
  <c r="J26" i="76" s="1"/>
  <c r="J45" i="76"/>
  <c r="E46" i="76"/>
  <c r="E67" i="76"/>
  <c r="F66" i="76"/>
  <c r="I66" i="76" s="1"/>
  <c r="J66" i="76" s="1"/>
  <c r="E47" i="76" l="1"/>
  <c r="J46" i="76"/>
  <c r="E88" i="76"/>
  <c r="J87" i="76"/>
  <c r="F67" i="76"/>
  <c r="I67" i="76" s="1"/>
  <c r="J67" i="76" s="1"/>
  <c r="E68" i="76"/>
  <c r="E28" i="76"/>
  <c r="F27" i="76"/>
  <c r="I27" i="76" s="1"/>
  <c r="J27" i="76" s="1"/>
  <c r="E48" i="76" l="1"/>
  <c r="J47" i="76"/>
  <c r="E29" i="76"/>
  <c r="F28" i="76"/>
  <c r="I28" i="76" s="1"/>
  <c r="J28" i="76" s="1"/>
  <c r="E89" i="76"/>
  <c r="J89" i="76" s="1"/>
  <c r="J88" i="76"/>
  <c r="E69" i="76"/>
  <c r="F68" i="76"/>
  <c r="I68" i="76" s="1"/>
  <c r="J68" i="76" s="1"/>
  <c r="E49" i="76" l="1"/>
  <c r="J49" i="76" s="1"/>
  <c r="J48" i="76"/>
  <c r="F70" i="76"/>
  <c r="I70" i="76" s="1"/>
  <c r="F69" i="76"/>
  <c r="I69" i="76" s="1"/>
  <c r="J69" i="76" s="1"/>
  <c r="F30" i="76"/>
  <c r="I30" i="76" s="1"/>
  <c r="F29" i="76"/>
  <c r="I29" i="76" s="1"/>
  <c r="J29" i="76" s="1"/>
  <c r="J70" i="76" l="1"/>
  <c r="L70" i="76" s="1"/>
  <c r="J30" i="76"/>
  <c r="L30" i="76" s="1"/>
  <c r="L71" i="76" l="1"/>
  <c r="L72" i="76" s="1"/>
  <c r="E7" i="76" s="1"/>
  <c r="L31" i="76"/>
  <c r="L32" i="76" s="1"/>
  <c r="E10" i="76" s="1"/>
  <c r="E12" i="76" l="1"/>
  <c r="E68" i="67" l="1"/>
  <c r="C42" i="75" l="1"/>
  <c r="D27" i="75" l="1"/>
  <c r="C11" i="75" l="1"/>
  <c r="B8" i="73" l="1"/>
  <c r="E113" i="66" l="1"/>
  <c r="G111" i="66"/>
  <c r="G99" i="66"/>
  <c r="G113" i="66" l="1"/>
  <c r="F113" i="66"/>
  <c r="B14" i="73" l="1"/>
  <c r="O20" i="72"/>
  <c r="N20" i="72"/>
  <c r="M20" i="72"/>
  <c r="L20" i="72"/>
  <c r="K20" i="72"/>
  <c r="J20" i="72"/>
  <c r="I20" i="72"/>
  <c r="H20" i="72"/>
  <c r="G20" i="72"/>
  <c r="F20" i="72"/>
  <c r="E20" i="72"/>
  <c r="D20" i="72"/>
  <c r="B20" i="72"/>
  <c r="Q19" i="72"/>
  <c r="O19" i="72"/>
  <c r="H19" i="72"/>
  <c r="F19" i="72"/>
  <c r="Q18" i="72"/>
  <c r="O18" i="72"/>
  <c r="H18" i="72"/>
  <c r="F18" i="72"/>
  <c r="Q17" i="72"/>
  <c r="O17" i="72"/>
  <c r="H17" i="72"/>
  <c r="F17" i="72"/>
  <c r="Q16" i="72"/>
  <c r="O16" i="72"/>
  <c r="H16" i="72"/>
  <c r="F16" i="72"/>
  <c r="Q15" i="72"/>
  <c r="O15" i="72"/>
  <c r="H15" i="72"/>
  <c r="F15" i="72"/>
  <c r="Q14" i="72"/>
  <c r="O14" i="72"/>
  <c r="H14" i="72"/>
  <c r="F14" i="72"/>
  <c r="Q13" i="72"/>
  <c r="O13" i="72"/>
  <c r="H13" i="72"/>
  <c r="F13" i="72"/>
  <c r="Q12" i="72"/>
  <c r="O12" i="72"/>
  <c r="K12" i="72"/>
  <c r="J12" i="72"/>
  <c r="I12" i="72"/>
  <c r="H12" i="72"/>
  <c r="G12" i="72"/>
  <c r="F12" i="72"/>
  <c r="E12" i="72"/>
  <c r="Q11" i="72"/>
  <c r="O11" i="72"/>
  <c r="J11" i="72"/>
  <c r="I11" i="72"/>
  <c r="H11" i="72"/>
  <c r="G11" i="72"/>
  <c r="F11" i="72"/>
  <c r="E11" i="72"/>
  <c r="Q10" i="72"/>
  <c r="O10" i="72"/>
  <c r="H10" i="72"/>
  <c r="G10" i="72"/>
  <c r="F10" i="72"/>
  <c r="E10" i="72"/>
  <c r="Q9" i="72"/>
  <c r="O9" i="72"/>
  <c r="H9" i="72"/>
  <c r="Q8" i="72"/>
  <c r="O8" i="72"/>
  <c r="H8" i="72"/>
  <c r="Q7" i="72"/>
  <c r="O7" i="72"/>
  <c r="H7" i="72"/>
  <c r="C23" i="71"/>
  <c r="C22" i="71"/>
  <c r="C21" i="71"/>
  <c r="C20" i="71"/>
  <c r="D21" i="70"/>
  <c r="D22" i="70" s="1"/>
  <c r="D23" i="70" s="1"/>
  <c r="H22" i="69"/>
  <c r="E21" i="69"/>
  <c r="E23" i="69"/>
  <c r="G21" i="69"/>
  <c r="E17" i="68"/>
  <c r="F15" i="68" s="1"/>
  <c r="F68" i="67"/>
  <c r="C172" i="66"/>
  <c r="D140" i="66"/>
  <c r="C140" i="66"/>
  <c r="C111" i="66"/>
  <c r="E127" i="65" s="1"/>
  <c r="G90" i="66"/>
  <c r="E122" i="65"/>
  <c r="E121" i="65"/>
  <c r="E120" i="65"/>
  <c r="C90" i="66"/>
  <c r="D66" i="66"/>
  <c r="C66" i="66"/>
  <c r="C61" i="66"/>
  <c r="C60" i="66"/>
  <c r="C59" i="66"/>
  <c r="C58" i="66"/>
  <c r="C57" i="66"/>
  <c r="C56" i="66"/>
  <c r="C55" i="66"/>
  <c r="C54" i="66"/>
  <c r="C53" i="66"/>
  <c r="E100" i="65"/>
  <c r="G386" i="65"/>
  <c r="G388" i="65" s="1"/>
  <c r="E318" i="65"/>
  <c r="J315" i="65"/>
  <c r="J301" i="65"/>
  <c r="H291" i="65"/>
  <c r="E290" i="65"/>
  <c r="J285" i="65"/>
  <c r="J284" i="65"/>
  <c r="J279" i="65"/>
  <c r="E274" i="65"/>
  <c r="E273" i="65"/>
  <c r="J272" i="65"/>
  <c r="E268" i="65"/>
  <c r="H268" i="65" s="1"/>
  <c r="E267" i="65"/>
  <c r="H267" i="65" s="1"/>
  <c r="E266" i="65"/>
  <c r="E265" i="65"/>
  <c r="J256" i="65"/>
  <c r="B7" i="73" s="1"/>
  <c r="B9" i="73" s="1"/>
  <c r="B15" i="73" s="1"/>
  <c r="E241" i="65"/>
  <c r="J238" i="65"/>
  <c r="J222" i="65"/>
  <c r="E205" i="65"/>
  <c r="E200" i="65"/>
  <c r="E204" i="65" s="1"/>
  <c r="G194" i="65"/>
  <c r="D194" i="65"/>
  <c r="E192" i="65"/>
  <c r="G190" i="65"/>
  <c r="D190" i="65"/>
  <c r="E184" i="65"/>
  <c r="C184" i="65"/>
  <c r="E183" i="65"/>
  <c r="J182" i="65"/>
  <c r="E181" i="65"/>
  <c r="C181" i="65"/>
  <c r="J177" i="65"/>
  <c r="D176" i="65"/>
  <c r="G175" i="65"/>
  <c r="E174" i="65"/>
  <c r="G173" i="65"/>
  <c r="G174" i="65" s="1"/>
  <c r="E170" i="65"/>
  <c r="J170" i="65" s="1"/>
  <c r="E162" i="65"/>
  <c r="J159" i="65"/>
  <c r="E132" i="65"/>
  <c r="J124" i="65"/>
  <c r="G122" i="65"/>
  <c r="E114" i="65"/>
  <c r="G103" i="65"/>
  <c r="E103" i="65"/>
  <c r="C103" i="65"/>
  <c r="C111" i="65" s="1"/>
  <c r="G102" i="65"/>
  <c r="E102" i="65"/>
  <c r="C102" i="65"/>
  <c r="C110" i="65" s="1"/>
  <c r="H101" i="65"/>
  <c r="G101" i="65"/>
  <c r="E101" i="65"/>
  <c r="C101" i="65"/>
  <c r="C109" i="65" s="1"/>
  <c r="G100" i="65"/>
  <c r="G127" i="65" s="1"/>
  <c r="C100" i="65"/>
  <c r="C108" i="65" s="1"/>
  <c r="H99" i="65"/>
  <c r="G99" i="65"/>
  <c r="G119" i="65" s="1"/>
  <c r="G193" i="65" s="1"/>
  <c r="E99" i="65"/>
  <c r="C99" i="65"/>
  <c r="C107" i="65" s="1"/>
  <c r="E95" i="65"/>
  <c r="E94" i="65"/>
  <c r="E93" i="65"/>
  <c r="E92" i="65"/>
  <c r="J246" i="65" s="1"/>
  <c r="E91" i="65"/>
  <c r="E84" i="65"/>
  <c r="J81" i="65"/>
  <c r="J50" i="65"/>
  <c r="J49" i="65"/>
  <c r="J22" i="65"/>
  <c r="G15" i="65"/>
  <c r="G16" i="65" s="1"/>
  <c r="G17" i="65" s="1"/>
  <c r="E14" i="65"/>
  <c r="C44" i="75"/>
  <c r="D43" i="75" s="1"/>
  <c r="E43" i="75" s="1"/>
  <c r="I44" i="75"/>
  <c r="G46" i="75" s="1"/>
  <c r="F46" i="75" s="1"/>
  <c r="G14" i="75"/>
  <c r="G15" i="75" s="1"/>
  <c r="D13" i="75"/>
  <c r="G3" i="75"/>
  <c r="G4" i="75" s="1"/>
  <c r="E44" i="74"/>
  <c r="E45" i="74" s="1"/>
  <c r="E193" i="65" l="1"/>
  <c r="E111" i="65"/>
  <c r="E96" i="65"/>
  <c r="E109" i="65"/>
  <c r="E104" i="65"/>
  <c r="E110" i="65"/>
  <c r="J249" i="65"/>
  <c r="J251" i="65" s="1"/>
  <c r="E107" i="65"/>
  <c r="E108" i="65"/>
  <c r="E208" i="65"/>
  <c r="J287" i="65"/>
  <c r="E292" i="65" s="1"/>
  <c r="E293" i="65" s="1"/>
  <c r="F291" i="65" s="1"/>
  <c r="J291" i="65" s="1"/>
  <c r="D39" i="75"/>
  <c r="E39" i="75" s="1"/>
  <c r="D41" i="75"/>
  <c r="E41" i="75" s="1"/>
  <c r="D40" i="75"/>
  <c r="E40" i="75" s="1"/>
  <c r="D17" i="75"/>
  <c r="J30" i="65"/>
  <c r="J37" i="65" s="1"/>
  <c r="H290" i="65"/>
  <c r="E24" i="69"/>
  <c r="F21" i="69" s="1"/>
  <c r="E276" i="65"/>
  <c r="H274" i="65" s="1"/>
  <c r="F14" i="68"/>
  <c r="E269" i="65"/>
  <c r="H265" i="65"/>
  <c r="E196" i="65"/>
  <c r="E185" i="65"/>
  <c r="E172" i="65"/>
  <c r="E140" i="66"/>
  <c r="E131" i="65" s="1"/>
  <c r="E125" i="65"/>
  <c r="D42" i="75"/>
  <c r="E42" i="75" s="1"/>
  <c r="C22" i="74"/>
  <c r="H92" i="65" l="1"/>
  <c r="F266" i="65"/>
  <c r="H266" i="65" s="1"/>
  <c r="H269" i="65" s="1"/>
  <c r="J269" i="65" s="1"/>
  <c r="J260" i="65"/>
  <c r="H14" i="65"/>
  <c r="E112" i="65"/>
  <c r="F292" i="65"/>
  <c r="J292" i="65" s="1"/>
  <c r="G11" i="74" s="1"/>
  <c r="G11" i="75"/>
  <c r="D19" i="75"/>
  <c r="D21" i="75" s="1"/>
  <c r="F290" i="65"/>
  <c r="J290" i="65" s="1"/>
  <c r="F23" i="69"/>
  <c r="F24" i="69" s="1"/>
  <c r="H21" i="69"/>
  <c r="E169" i="65"/>
  <c r="J255" i="65" s="1"/>
  <c r="J257" i="65" s="1"/>
  <c r="J293" i="65" l="1"/>
  <c r="H94" i="65"/>
  <c r="H102" i="65" s="1"/>
  <c r="J274" i="65"/>
  <c r="L274" i="65" s="1"/>
  <c r="H95" i="65" s="1"/>
  <c r="J95" i="65" s="1"/>
  <c r="H15" i="65"/>
  <c r="H16" i="65" s="1"/>
  <c r="J14" i="65"/>
  <c r="H100" i="65"/>
  <c r="J92" i="65"/>
  <c r="H23" i="69"/>
  <c r="H24" i="69" s="1"/>
  <c r="C12" i="74"/>
  <c r="J259" i="65"/>
  <c r="J261" i="65" s="1"/>
  <c r="H131" i="65" s="1"/>
  <c r="J131" i="65" s="1"/>
  <c r="E178" i="65"/>
  <c r="E130" i="65" s="1"/>
  <c r="E133" i="65" s="1"/>
  <c r="E135" i="65" s="1"/>
  <c r="C9" i="74" l="1"/>
  <c r="D9" i="74" s="1"/>
  <c r="E9" i="74" s="1"/>
  <c r="E211" i="65"/>
  <c r="E201" i="65"/>
  <c r="J94" i="65"/>
  <c r="J96" i="65" s="1"/>
  <c r="H96" i="65" s="1"/>
  <c r="H103" i="65"/>
  <c r="H176" i="65" s="1"/>
  <c r="H127" i="65"/>
  <c r="J100" i="65"/>
  <c r="J108" i="65" s="1"/>
  <c r="H169" i="65"/>
  <c r="H175" i="65" s="1"/>
  <c r="J175" i="65" s="1"/>
  <c r="J16" i="65"/>
  <c r="H17" i="65"/>
  <c r="J17" i="65" s="1"/>
  <c r="E12" i="74"/>
  <c r="D12" i="74"/>
  <c r="H172" i="65"/>
  <c r="J102" i="65"/>
  <c r="J44" i="75"/>
  <c r="E207" i="65" l="1"/>
  <c r="E209" i="65" s="1"/>
  <c r="E214" i="65" s="1"/>
  <c r="J103" i="65"/>
  <c r="J111" i="65" s="1"/>
  <c r="H171" i="65"/>
  <c r="J171" i="65" s="1"/>
  <c r="J169" i="65"/>
  <c r="C29" i="74" s="1"/>
  <c r="H114" i="65"/>
  <c r="J114" i="65" s="1"/>
  <c r="H181" i="65"/>
  <c r="J181" i="65" s="1"/>
  <c r="C31" i="74" s="1"/>
  <c r="E31" i="74" s="1"/>
  <c r="J127" i="65"/>
  <c r="H173" i="65"/>
  <c r="H183" i="65"/>
  <c r="J172" i="65"/>
  <c r="J110" i="65"/>
  <c r="J176" i="65"/>
  <c r="H184" i="65"/>
  <c r="J184" i="65" s="1"/>
  <c r="H192" i="65"/>
  <c r="H132" i="65"/>
  <c r="J132" i="65" s="1"/>
  <c r="J112" i="65" l="1"/>
  <c r="H112" i="65" s="1"/>
  <c r="H208" i="65" s="1"/>
  <c r="J208" i="65" s="1"/>
  <c r="J104" i="65"/>
  <c r="C16" i="74"/>
  <c r="E16" i="74" s="1"/>
  <c r="G31" i="74" s="1"/>
  <c r="H31" i="74" s="1"/>
  <c r="C5" i="74"/>
  <c r="H194" i="65"/>
  <c r="J194" i="65" s="1"/>
  <c r="J192" i="65"/>
  <c r="H195" i="65"/>
  <c r="J195" i="65" s="1"/>
  <c r="H189" i="65"/>
  <c r="J183" i="65"/>
  <c r="H174" i="65"/>
  <c r="J174" i="65" s="1"/>
  <c r="C30" i="74" s="1"/>
  <c r="J173" i="65"/>
  <c r="D30" i="74" l="1"/>
  <c r="E30" i="74" s="1"/>
  <c r="H120" i="65"/>
  <c r="H121" i="65" s="1"/>
  <c r="J178" i="65"/>
  <c r="C19" i="74"/>
  <c r="E5" i="74"/>
  <c r="D29" i="74"/>
  <c r="E29" i="74" s="1"/>
  <c r="C32" i="74"/>
  <c r="D32" i="74" s="1"/>
  <c r="E32" i="74" s="1"/>
  <c r="J185" i="65"/>
  <c r="C33" i="74"/>
  <c r="D33" i="74" s="1"/>
  <c r="E33" i="74" s="1"/>
  <c r="J189" i="65"/>
  <c r="H190" i="65"/>
  <c r="J190" i="65" s="1"/>
  <c r="J130" i="65" l="1"/>
  <c r="J133" i="65" s="1"/>
  <c r="J120" i="65"/>
  <c r="J196" i="65"/>
  <c r="H122" i="65"/>
  <c r="J122" i="65" s="1"/>
  <c r="H123" i="65"/>
  <c r="J123" i="65" s="1"/>
  <c r="J121" i="65"/>
  <c r="J125" i="65" l="1"/>
  <c r="C6" i="74" s="1"/>
  <c r="J135" i="65" l="1"/>
  <c r="C7" i="74" s="1"/>
  <c r="C8" i="74" s="1"/>
  <c r="D6" i="74"/>
  <c r="J211" i="65" l="1"/>
  <c r="C13" i="74"/>
  <c r="C10" i="74"/>
  <c r="E6" i="74"/>
  <c r="D7" i="74"/>
  <c r="D8" i="74" s="1"/>
  <c r="J207" i="65" l="1"/>
  <c r="J209" i="65" s="1"/>
  <c r="D13" i="74"/>
  <c r="D10" i="74"/>
  <c r="C28" i="74"/>
  <c r="C20" i="74"/>
  <c r="C21" i="74" s="1"/>
  <c r="C23" i="74" s="1"/>
  <c r="C11" i="74"/>
  <c r="C14" i="74" s="1"/>
  <c r="E7" i="74"/>
  <c r="E8" i="74" s="1"/>
  <c r="C34" i="74" l="1"/>
  <c r="D34" i="74" s="1"/>
  <c r="E34" i="74" s="1"/>
  <c r="J214" i="65"/>
  <c r="D28" i="74"/>
  <c r="D11" i="74"/>
  <c r="D14" i="74" s="1"/>
  <c r="E10" i="74"/>
  <c r="E13" i="74"/>
  <c r="C35" i="74" l="1"/>
  <c r="C39" i="74" s="1"/>
  <c r="D35" i="74"/>
  <c r="D39" i="74" s="1"/>
  <c r="E28" i="74"/>
  <c r="E35" i="74" s="1"/>
  <c r="E11" i="74"/>
  <c r="E14" i="74" s="1"/>
  <c r="C25" i="71" l="1"/>
  <c r="C11" i="71"/>
  <c r="J310" i="65" l="1"/>
  <c r="E15" i="65" s="1"/>
  <c r="J15" i="65" s="1"/>
  <c r="C18" i="71"/>
  <c r="C27" i="71" s="1"/>
  <c r="J18" i="65" l="1"/>
  <c r="E36" i="74"/>
  <c r="E39" i="74" s="1"/>
  <c r="E40" i="74" s="1"/>
  <c r="E47" i="74" s="1"/>
  <c r="G42" i="75" l="1"/>
  <c r="G40" i="75"/>
  <c r="G41" i="75"/>
  <c r="G39" i="75" l="1"/>
  <c r="J218" i="65" l="1"/>
  <c r="E223" i="65"/>
  <c r="C8" i="75" l="1"/>
  <c r="J223" i="65"/>
  <c r="J10" i="65" s="1"/>
  <c r="J26" i="65" s="1"/>
  <c r="G43" i="75"/>
  <c r="G44" i="75" s="1"/>
  <c r="G47" i="75" s="1"/>
  <c r="H43" i="75" s="1"/>
  <c r="K43" i="75" s="1"/>
  <c r="F44" i="75"/>
  <c r="G49" i="75" l="1"/>
  <c r="H42" i="75"/>
  <c r="K42" i="75" s="1"/>
  <c r="H39" i="75"/>
  <c r="K39" i="75" s="1"/>
  <c r="F47" i="75"/>
  <c r="F49" i="75" s="1"/>
  <c r="H40" i="75"/>
  <c r="K40" i="75" s="1"/>
  <c r="H41" i="75"/>
  <c r="K41" i="75" s="1"/>
  <c r="E39" i="65"/>
  <c r="C7" i="75"/>
  <c r="D9" i="75" s="1"/>
  <c r="D15" i="75" s="1"/>
  <c r="D23" i="75" s="1"/>
  <c r="K44" i="75" l="1"/>
  <c r="H44" i="75"/>
  <c r="D28" i="75"/>
  <c r="D30" i="75" s="1"/>
  <c r="G5" i="75" s="1"/>
  <c r="G6" i="75" s="1"/>
  <c r="G7" i="75" s="1"/>
  <c r="G9" i="75" s="1"/>
  <c r="E40" i="65"/>
  <c r="E44" i="65"/>
  <c r="E45" i="65" s="1"/>
  <c r="E46" i="65" s="1"/>
  <c r="J44" i="65"/>
  <c r="J45" i="65" s="1"/>
  <c r="J46" i="65" s="1"/>
  <c r="D32" i="75" l="1"/>
</calcChain>
</file>

<file path=xl/comments1.xml><?xml version="1.0" encoding="utf-8"?>
<comments xmlns="http://schemas.openxmlformats.org/spreadsheetml/2006/main">
  <authors>
    <author>mmcdowell</author>
  </authors>
  <commentList>
    <comment ref="C5" authorId="0">
      <text>
        <r>
          <rPr>
            <b/>
            <sz val="8"/>
            <color indexed="81"/>
            <rFont val="Tahoma"/>
            <family val="2"/>
          </rPr>
          <t>mmcdowell:</t>
        </r>
        <r>
          <rPr>
            <sz val="8"/>
            <color indexed="81"/>
            <rFont val="Tahoma"/>
            <family val="2"/>
          </rPr>
          <t xml:space="preserve">
Page 2 of 5; Lns 14 and 18a</t>
        </r>
      </text>
    </comment>
    <comment ref="D5" authorId="0">
      <text>
        <r>
          <rPr>
            <b/>
            <sz val="8"/>
            <color indexed="81"/>
            <rFont val="Tahoma"/>
            <family val="2"/>
          </rPr>
          <t>mmcdowell:</t>
        </r>
        <r>
          <rPr>
            <sz val="8"/>
            <color indexed="81"/>
            <rFont val="Tahoma"/>
            <family val="2"/>
          </rPr>
          <t xml:space="preserve">
GG page 2; Ln 2, Col 6</t>
        </r>
      </text>
    </comment>
    <comment ref="C6" authorId="0">
      <text>
        <r>
          <rPr>
            <b/>
            <sz val="8"/>
            <color indexed="81"/>
            <rFont val="Tahoma"/>
            <family val="2"/>
          </rPr>
          <t>mmcdowell:</t>
        </r>
        <r>
          <rPr>
            <sz val="8"/>
            <color indexed="81"/>
            <rFont val="Tahoma"/>
            <family val="2"/>
          </rPr>
          <t xml:space="preserve">
Page 2 of 5; Ln 24</t>
        </r>
      </text>
    </comment>
    <comment ref="C8" authorId="0">
      <text>
        <r>
          <rPr>
            <b/>
            <sz val="8"/>
            <color indexed="81"/>
            <rFont val="Tahoma"/>
            <family val="2"/>
          </rPr>
          <t>mmcdowell:</t>
        </r>
        <r>
          <rPr>
            <sz val="8"/>
            <color indexed="81"/>
            <rFont val="Tahoma"/>
            <family val="2"/>
          </rPr>
          <t xml:space="preserve">
Page 2 of 5; Ln 30</t>
        </r>
      </text>
    </comment>
    <comment ref="C9" authorId="0">
      <text>
        <r>
          <rPr>
            <b/>
            <sz val="8"/>
            <color indexed="81"/>
            <rFont val="Tahoma"/>
            <family val="2"/>
          </rPr>
          <t>mmcdowell:</t>
        </r>
        <r>
          <rPr>
            <sz val="8"/>
            <color indexed="81"/>
            <rFont val="Tahoma"/>
            <family val="2"/>
          </rPr>
          <t xml:space="preserve">
Page 4 of 5; Ln 30</t>
        </r>
      </text>
    </comment>
    <comment ref="G11" authorId="0">
      <text>
        <r>
          <rPr>
            <b/>
            <sz val="8"/>
            <color indexed="81"/>
            <rFont val="Tahoma"/>
            <family val="2"/>
          </rPr>
          <t>mmcdowell:</t>
        </r>
        <r>
          <rPr>
            <sz val="8"/>
            <color indexed="81"/>
            <rFont val="Tahoma"/>
            <family val="2"/>
          </rPr>
          <t xml:space="preserve">
Page 4 of 5; Ln 29</t>
        </r>
      </text>
    </comment>
    <comment ref="C12" authorId="0">
      <text>
        <r>
          <rPr>
            <b/>
            <sz val="8"/>
            <color indexed="81"/>
            <rFont val="Tahoma"/>
            <family val="2"/>
          </rPr>
          <t>mmcdowell:</t>
        </r>
        <r>
          <rPr>
            <sz val="8"/>
            <color indexed="81"/>
            <rFont val="Tahoma"/>
            <family val="2"/>
          </rPr>
          <t xml:space="preserve">
Workpapers (page 9); Equity Percentage</t>
        </r>
      </text>
    </comment>
    <comment ref="C16" authorId="0">
      <text>
        <r>
          <rPr>
            <b/>
            <sz val="8"/>
            <color indexed="81"/>
            <rFont val="Tahoma"/>
            <family val="2"/>
          </rPr>
          <t>mmcdowell:</t>
        </r>
        <r>
          <rPr>
            <sz val="8"/>
            <color indexed="81"/>
            <rFont val="Tahoma"/>
            <family val="2"/>
          </rPr>
          <t xml:space="preserve">
Page 2 of 5; Lns 2 and 18a</t>
        </r>
      </text>
    </comment>
    <comment ref="D16" authorId="0">
      <text>
        <r>
          <rPr>
            <b/>
            <sz val="8"/>
            <color indexed="81"/>
            <rFont val="Tahoma"/>
            <family val="2"/>
          </rPr>
          <t>mmcdowell:</t>
        </r>
        <r>
          <rPr>
            <sz val="8"/>
            <color indexed="81"/>
            <rFont val="Tahoma"/>
            <family val="2"/>
          </rPr>
          <t xml:space="preserve">
GG page 2; Ln 2, Col 3</t>
        </r>
      </text>
    </comment>
    <comment ref="C29" authorId="0">
      <text>
        <r>
          <rPr>
            <b/>
            <sz val="8"/>
            <color indexed="81"/>
            <rFont val="Tahoma"/>
            <family val="2"/>
          </rPr>
          <t>mmcdowell:</t>
        </r>
        <r>
          <rPr>
            <sz val="8"/>
            <color indexed="81"/>
            <rFont val="Tahoma"/>
            <family val="2"/>
          </rPr>
          <t xml:space="preserve">
Page 3 of 5; Ln 1 minus 1a</t>
        </r>
      </text>
    </comment>
    <comment ref="C30" authorId="0">
      <text>
        <r>
          <rPr>
            <b/>
            <sz val="8"/>
            <color indexed="81"/>
            <rFont val="Tahoma"/>
            <family val="2"/>
          </rPr>
          <t>mmcdowell:</t>
        </r>
        <r>
          <rPr>
            <sz val="8"/>
            <color indexed="81"/>
            <rFont val="Tahoma"/>
            <family val="2"/>
          </rPr>
          <t xml:space="preserve">
Page 3 of 5; Ln 3 minus 5</t>
        </r>
      </text>
    </comment>
    <comment ref="C31" authorId="0">
      <text>
        <r>
          <rPr>
            <b/>
            <sz val="8"/>
            <color indexed="81"/>
            <rFont val="Tahoma"/>
            <family val="2"/>
          </rPr>
          <t>mmcdowell:</t>
        </r>
        <r>
          <rPr>
            <sz val="8"/>
            <color indexed="81"/>
            <rFont val="Tahoma"/>
            <family val="2"/>
          </rPr>
          <t xml:space="preserve">
Page 3 of 5; Ln 9</t>
        </r>
      </text>
    </comment>
    <comment ref="D31" authorId="0">
      <text>
        <r>
          <rPr>
            <b/>
            <sz val="8"/>
            <color indexed="81"/>
            <rFont val="Tahoma"/>
            <family val="2"/>
          </rPr>
          <t>mmcdowell:</t>
        </r>
        <r>
          <rPr>
            <sz val="8"/>
            <color indexed="81"/>
            <rFont val="Tahoma"/>
            <family val="2"/>
          </rPr>
          <t xml:space="preserve">
GG page 2; Ln 2, Col 9</t>
        </r>
      </text>
    </comment>
    <comment ref="C32" authorId="0">
      <text>
        <r>
          <rPr>
            <b/>
            <sz val="8"/>
            <color indexed="81"/>
            <rFont val="Tahoma"/>
            <family val="2"/>
          </rPr>
          <t>mmcdowell:</t>
        </r>
        <r>
          <rPr>
            <sz val="8"/>
            <color indexed="81"/>
            <rFont val="Tahoma"/>
            <family val="2"/>
          </rPr>
          <t xml:space="preserve">
Page 3 of 5; Ln 10 plus 11</t>
        </r>
      </text>
    </comment>
    <comment ref="C33" authorId="0">
      <text>
        <r>
          <rPr>
            <b/>
            <sz val="8"/>
            <color indexed="81"/>
            <rFont val="Tahoma"/>
            <family val="2"/>
          </rPr>
          <t>mmcdowell:</t>
        </r>
        <r>
          <rPr>
            <sz val="8"/>
            <color indexed="81"/>
            <rFont val="Tahoma"/>
            <family val="2"/>
          </rPr>
          <t xml:space="preserve">
Page 3 of 5; Ln 16</t>
        </r>
      </text>
    </comment>
    <comment ref="C34" authorId="0">
      <text>
        <r>
          <rPr>
            <b/>
            <sz val="8"/>
            <color indexed="81"/>
            <rFont val="Tahoma"/>
            <family val="2"/>
          </rPr>
          <t>mmcdowell:</t>
        </r>
        <r>
          <rPr>
            <sz val="8"/>
            <color indexed="81"/>
            <rFont val="Tahoma"/>
            <family val="2"/>
          </rPr>
          <t xml:space="preserve">
Page 3 of 5; Ln 27</t>
        </r>
      </text>
    </comment>
  </commentList>
</comments>
</file>

<file path=xl/sharedStrings.xml><?xml version="1.0" encoding="utf-8"?>
<sst xmlns="http://schemas.openxmlformats.org/spreadsheetml/2006/main" count="1007" uniqueCount="712">
  <si>
    <t xml:space="preserve">  Revenues from service provided by the ISO at a discount</t>
  </si>
  <si>
    <t>216.b</t>
  </si>
  <si>
    <t xml:space="preserve">                           References to data from FERC Form 1 are indicated as:   #.y.x  (page, line, column)</t>
  </si>
  <si>
    <t>Long Term Interest (117, sum of 62.c through 67.c)</t>
  </si>
  <si>
    <t>Less Account 216.1 (112.12.c)  (enter negative)</t>
  </si>
  <si>
    <t>(3)</t>
  </si>
  <si>
    <t>(4)</t>
  </si>
  <si>
    <t>(5)</t>
  </si>
  <si>
    <t>Transmission</t>
  </si>
  <si>
    <t>Page, Line, Col.</t>
  </si>
  <si>
    <t>Company Total</t>
  </si>
  <si>
    <t xml:space="preserve">                  Allocator</t>
  </si>
  <si>
    <t>(Col 3 times Col 4)</t>
  </si>
  <si>
    <t xml:space="preserve">  Transmission</t>
  </si>
  <si>
    <t>TP</t>
  </si>
  <si>
    <t>TRANSMISSION PLANT INCLUDED IN ISO RATES</t>
  </si>
  <si>
    <t>TP=</t>
  </si>
  <si>
    <t xml:space="preserve">TRANSMISSION EXPENSES </t>
  </si>
  <si>
    <t>Note</t>
  </si>
  <si>
    <t>Letter</t>
  </si>
  <si>
    <t>A</t>
  </si>
  <si>
    <t>B</t>
  </si>
  <si>
    <t xml:space="preserve">  Plus Contract Demand of firm P-T-P over one year</t>
  </si>
  <si>
    <t>Identified in Form 1 as being only transmission related.</t>
  </si>
  <si>
    <t>Line 5 - EPRI Annual Membership Dues listed in Form 1 at 353.f, all Regulatory Commission Expenses itemized at 351.h, and non-safety</t>
  </si>
  <si>
    <t>U</t>
  </si>
  <si>
    <t>TOTAL ADJUSTMENTS  (sum lines 19- 23a)</t>
  </si>
  <si>
    <t>%</t>
  </si>
  <si>
    <t>263.i</t>
  </si>
  <si>
    <t>18a</t>
  </si>
  <si>
    <t xml:space="preserve">                                          Development of Common Stock:</t>
  </si>
  <si>
    <t xml:space="preserve">Less Preferred Stock (line 28) </t>
  </si>
  <si>
    <t>Common Stock</t>
  </si>
  <si>
    <t>(sum lines 23-25)</t>
  </si>
  <si>
    <t xml:space="preserve">  Common Stock  (line 26)</t>
  </si>
  <si>
    <t>Total  (sum lines 27-29)</t>
  </si>
  <si>
    <t>(310-311)</t>
  </si>
  <si>
    <t xml:space="preserve">  a. Bundled Non-RQ Sales for Resale (311.x.h)</t>
  </si>
  <si>
    <t>205.5.g &amp; 207.99.g</t>
  </si>
  <si>
    <t>321.112.b</t>
  </si>
  <si>
    <t>321.96.b</t>
  </si>
  <si>
    <t>323.197.b</t>
  </si>
  <si>
    <t>C</t>
  </si>
  <si>
    <t>D</t>
  </si>
  <si>
    <t>E</t>
  </si>
  <si>
    <t>Proprietary Capital (112.16.c)</t>
  </si>
  <si>
    <t xml:space="preserve">  Prepayments are the electric related prepayments booked to Account No. 165 and reported on Page 111 line 57 in the Form 1.</t>
  </si>
  <si>
    <t>Removes transmission plant determined by Commission order to be state-jurisdictional according to the seven-factor test (until Form 1</t>
  </si>
  <si>
    <t>Acct 561.1 - 561.3, 561.BA included in Line 7</t>
  </si>
  <si>
    <t>Acct 561.1 - 561.3 available for Schedule 1</t>
  </si>
  <si>
    <t>Revenue Credits for Sched 1 Acct 561.1 - 561.3</t>
  </si>
  <si>
    <t>Net Schedule 1 Expenses (Acct 561.1-561.3 minus Credits)</t>
  </si>
  <si>
    <t xml:space="preserve">                SUPPORTING CALCULATIONS AND NOTES</t>
  </si>
  <si>
    <t>Includes only FICA, unemployment, highway, property, gross receipts, and other assessments charged in the current year.</t>
  </si>
  <si>
    <t>I</t>
  </si>
  <si>
    <t>J</t>
  </si>
  <si>
    <t xml:space="preserve">  chose to utilize amortization of tax credits against taxable income as discussed in Note K.  Account 281 is not allocated.</t>
  </si>
  <si>
    <t>TOTAL REVENUE CREDITS  (sum lines 2-5)</t>
  </si>
  <si>
    <t xml:space="preserve">     Less EPRI &amp; Reg. Comm. Exp. &amp; Non-safety  Ad. (Note I)</t>
  </si>
  <si>
    <t xml:space="preserve">     Plus Transmission Related Reg. Comm.  Exp. (Note I)</t>
  </si>
  <si>
    <t>336.7.b</t>
  </si>
  <si>
    <t xml:space="preserve">  [ Rate Base (page 2, line 30) * Rate of Return (page 4, line 30)]</t>
  </si>
  <si>
    <t>REV. REQUIREMENT  (sum lines 8, 12, 20, 27, 28)</t>
  </si>
  <si>
    <t>page 4 of 5</t>
  </si>
  <si>
    <t>Included transmission expenses (line 6 less line 7)</t>
  </si>
  <si>
    <t>Form 1 Reference</t>
  </si>
  <si>
    <t>354.20.b</t>
  </si>
  <si>
    <t xml:space="preserve">  Total  (sum lines 12-15)</t>
  </si>
  <si>
    <t>WS</t>
  </si>
  <si>
    <t>200.3.c</t>
  </si>
  <si>
    <t>(line 16 / 12)</t>
  </si>
  <si>
    <t>TOTAL ACCUM. DEPRECIATION (sum lines 7-11)</t>
  </si>
  <si>
    <t xml:space="preserve"> (line 1- line 7)</t>
  </si>
  <si>
    <t xml:space="preserve"> (line 2- line 8)</t>
  </si>
  <si>
    <t xml:space="preserve"> (line 3 - line 9)</t>
  </si>
  <si>
    <t xml:space="preserve"> (line 4 - line 10)</t>
  </si>
  <si>
    <t xml:space="preserve"> (line 5 - line 11)</t>
  </si>
  <si>
    <t>TOTAL NET PLANT (sum lines 13-17)</t>
  </si>
  <si>
    <t>NP=</t>
  </si>
  <si>
    <t>NP</t>
  </si>
  <si>
    <t>TOTAL WORKING CAPITAL (sum lines 26 - 28)</t>
  </si>
  <si>
    <t>DEPRECIATION EXPENSE</t>
  </si>
  <si>
    <t>TOTAL DEPRECIATION (Sum lines 9 - 11)</t>
  </si>
  <si>
    <t xml:space="preserve">  balances are adjusted to reflect application of seven-factor test).</t>
  </si>
  <si>
    <t>K</t>
  </si>
  <si>
    <t>L</t>
  </si>
  <si>
    <t>M</t>
  </si>
  <si>
    <t>N</t>
  </si>
  <si>
    <t>Line 33 must equal zero since all short-term power sales must be unbundled and the transmission component reflected in Account</t>
  </si>
  <si>
    <t>O</t>
  </si>
  <si>
    <t>Cash Working Capital assigned to transmission is one-eighth of O&amp;M allocated to transmission at page 3, line 8, column 5.</t>
  </si>
  <si>
    <t>WAGES &amp; SALARY ALLOCATOR   (W&amp;S)</t>
  </si>
  <si>
    <t>COMMON PLANT ALLOCATOR  (CE)   (Note O)</t>
  </si>
  <si>
    <t>(line 17 / line 20)</t>
  </si>
  <si>
    <t>(line 16)</t>
  </si>
  <si>
    <t>RETURN (R)</t>
  </si>
  <si>
    <t>Cost</t>
  </si>
  <si>
    <t>(Note P)</t>
  </si>
  <si>
    <t>Weighted</t>
  </si>
  <si>
    <t>=WCLTD</t>
  </si>
  <si>
    <t>=R</t>
  </si>
  <si>
    <t>ACCOUNT 454 (RENT FROM ELECTRIC PROPERTY)    (Note R)</t>
  </si>
  <si>
    <t xml:space="preserve">  elected to utilize amortization of tax credits against taxable income, rather than book tax credits to Account No. 255 and reduce </t>
  </si>
  <si>
    <t xml:space="preserve">  multiplied by (1/1-T) (page 3, line 26).</t>
  </si>
  <si>
    <t xml:space="preserve">         Inputs Required:</t>
  </si>
  <si>
    <t>FIT =</t>
  </si>
  <si>
    <t>SIT=</t>
  </si>
  <si>
    <t>transactions &lt;1 yr</t>
  </si>
  <si>
    <t>Percentage of transmission expenses after adjustment (line 8 divided by line 6)</t>
  </si>
  <si>
    <t>non-firm</t>
  </si>
  <si>
    <t>Percentage of transmission plant included in ISO Rates (line 5)</t>
  </si>
  <si>
    <t>transactions w/ load not in divisor</t>
  </si>
  <si>
    <t>Percentage of transmission expenses included in ISO Rates (line 9 times line 10)</t>
  </si>
  <si>
    <t>total Revenue Credits</t>
  </si>
  <si>
    <t>Total transmission expenses    (page 3, line 1, column 3)</t>
  </si>
  <si>
    <t>Less transmission expenses included in OATT Ancillary Services   (Note L)</t>
  </si>
  <si>
    <t>267.8.h</t>
  </si>
  <si>
    <t>23a</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</si>
  <si>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</si>
  <si>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</si>
  <si>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</si>
  <si>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</si>
  <si>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</si>
  <si>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step-up facilities, which are deemed to included in OATT ancillary services.  For these purposes, generation step-up</t>
  </si>
  <si>
    <t xml:space="preserve">  Other</t>
  </si>
  <si>
    <t>($ / Allocation)</t>
  </si>
  <si>
    <t>=</t>
  </si>
  <si>
    <t>% Electric</t>
  </si>
  <si>
    <t xml:space="preserve">  Electric</t>
  </si>
  <si>
    <t xml:space="preserve">  Gas</t>
  </si>
  <si>
    <t>*</t>
  </si>
  <si>
    <t xml:space="preserve">  Water</t>
  </si>
  <si>
    <t>REVENUE CREDITS</t>
  </si>
  <si>
    <t>Load</t>
  </si>
  <si>
    <t>ACCOUNT 447 (SALES FOR RESALE)</t>
  </si>
  <si>
    <t xml:space="preserve">  Total of (a)-(b)</t>
  </si>
  <si>
    <t xml:space="preserve">  a. Transmission charges for all transmission transactions </t>
  </si>
  <si>
    <t xml:space="preserve">     Less LSE Expenses included in Transmission O&amp;M Accounts (Note V)</t>
  </si>
  <si>
    <t xml:space="preserve">  Average of 12 coincident system peaks for requirements (RQ) service       </t>
  </si>
  <si>
    <t>(Note A)</t>
  </si>
  <si>
    <t>(Note B)</t>
  </si>
  <si>
    <t>(Note C)</t>
  </si>
  <si>
    <t xml:space="preserve">  Less 12 CP of firm P-T-P over one year (enter negative)</t>
  </si>
  <si>
    <t>(Note D)</t>
  </si>
  <si>
    <t>201.3.d</t>
  </si>
  <si>
    <t>201.3.e</t>
  </si>
  <si>
    <t>Annual Cost ($/kW/Yr)</t>
  </si>
  <si>
    <t xml:space="preserve">Network &amp; P-to-P Rate ($/kW/Mo) </t>
  </si>
  <si>
    <t>Peak Rate</t>
  </si>
  <si>
    <t>Off-Peak Rate</t>
  </si>
  <si>
    <t>Point-To-Point Rate ($/kW/Wk)</t>
  </si>
  <si>
    <t>Point-To-Point Rate ($/kW/Day)</t>
  </si>
  <si>
    <t>Capped at weekly rate</t>
  </si>
  <si>
    <t>Point-To-Point Rate ($/MWh)</t>
  </si>
  <si>
    <t>Capped at weekly</t>
  </si>
  <si>
    <t xml:space="preserve"> times 1,000)</t>
  </si>
  <si>
    <t>and daily rates</t>
  </si>
  <si>
    <t>(1)</t>
  </si>
  <si>
    <t>(2)</t>
  </si>
  <si>
    <t>TAXES OTHER THAN INCOME TAXES  (Note J)</t>
  </si>
  <si>
    <t xml:space="preserve">  </t>
  </si>
  <si>
    <t xml:space="preserve">  Preferred Stock  ( 112.3.c)</t>
  </si>
  <si>
    <t>Line 34 should be supported by notes in Form 1 or detailed Schedule</t>
  </si>
  <si>
    <t>Line 35 should be supported by notes in Form 1 or detailed Schedule</t>
  </si>
  <si>
    <t>Line 36 should be supported by notes in Form 1 or detailed Schedule</t>
  </si>
  <si>
    <t>If amts reflected on Line 4 they should be supported by schedules.</t>
  </si>
  <si>
    <t>If amts reflected on Line 5 they should be supported by schedules.</t>
  </si>
  <si>
    <t>Provide SIT work papers if required</t>
  </si>
  <si>
    <t>Total Income Taxes</t>
  </si>
  <si>
    <t>(line 25 plus line 26)</t>
  </si>
  <si>
    <t xml:space="preserve">RETURN </t>
  </si>
  <si>
    <t>Total transmission plant    (page 2, line 2, column 3)</t>
  </si>
  <si>
    <t>Less transmission plant excluded from ISO rates       (Note M)</t>
  </si>
  <si>
    <t>V</t>
  </si>
  <si>
    <t xml:space="preserve">  Plus 12 CP of Network Load not in line 8</t>
  </si>
  <si>
    <t>Divisor (sum lines 8-14)</t>
  </si>
  <si>
    <t>FERC Annual Charge($/MWh)</t>
  </si>
  <si>
    <t xml:space="preserve">          (Note E)</t>
  </si>
  <si>
    <t>Short Term</t>
  </si>
  <si>
    <t>Long Term</t>
  </si>
  <si>
    <t xml:space="preserve">  Transmission </t>
  </si>
  <si>
    <t>TE</t>
  </si>
  <si>
    <t xml:space="preserve">     Less Account 565</t>
  </si>
  <si>
    <t xml:space="preserve">  A&amp;G</t>
  </si>
  <si>
    <t>W/S</t>
  </si>
  <si>
    <t xml:space="preserve">     Less FERC Annual Fees</t>
  </si>
  <si>
    <t>5a</t>
  </si>
  <si>
    <t xml:space="preserve">  Common</t>
  </si>
  <si>
    <t>CE</t>
  </si>
  <si>
    <t xml:space="preserve">  Transmission Lease Payments</t>
  </si>
  <si>
    <t>GP</t>
  </si>
  <si>
    <t xml:space="preserve">  LABOR RELATED</t>
  </si>
  <si>
    <t xml:space="preserve">          Payroll</t>
  </si>
  <si>
    <t>General Note:  References to pages in this formulary rate are indicated as:  (page#, line#, col.#)</t>
  </si>
  <si>
    <t>214.x.d  (Note G)</t>
  </si>
  <si>
    <t>WORKING CAPITAL  (Note H)</t>
  </si>
  <si>
    <t xml:space="preserve">  CWC  </t>
  </si>
  <si>
    <t>calculated</t>
  </si>
  <si>
    <t>page 3 of 5</t>
  </si>
  <si>
    <t>207.58.g</t>
  </si>
  <si>
    <t>207.75.g</t>
  </si>
  <si>
    <t>Acct 561.BA for Schedule 24</t>
  </si>
  <si>
    <t>Less transmission plant included in OATT Ancillary Services    (Note N )</t>
  </si>
  <si>
    <t>Transmission plant included in ISO rates  (line 1 less lines 2 &amp; 3)</t>
  </si>
  <si>
    <t>Percentage of transmission plant included in ISO Rates (line 4 divided by line 1)</t>
  </si>
  <si>
    <t xml:space="preserve">Formula Rate - Non-Levelized </t>
  </si>
  <si>
    <t>(Note T)</t>
  </si>
  <si>
    <t>RATE BASE:</t>
  </si>
  <si>
    <t>Debt cost rate = long-term interest (line 21) / long term debt (line 27).  Preferred cost rate = preferred dividends (line 22) /</t>
  </si>
  <si>
    <t xml:space="preserve">  preferred outstanding (line 28).   ROE will be supported in the original filing and no change in ROE may be made absent</t>
  </si>
  <si>
    <t>page 2 of 5</t>
  </si>
  <si>
    <t>Form No. 1</t>
  </si>
  <si>
    <t>356.1</t>
  </si>
  <si>
    <t>275.2.k</t>
  </si>
  <si>
    <t>277.9.k</t>
  </si>
  <si>
    <t>234.8.c</t>
  </si>
  <si>
    <t>Allocated</t>
  </si>
  <si>
    <t xml:space="preserve">REVENUE CREDITS </t>
  </si>
  <si>
    <t>(Note Q)</t>
  </si>
  <si>
    <t>Total</t>
  </si>
  <si>
    <t>Allocator</t>
  </si>
  <si>
    <t xml:space="preserve">  Account No. 454</t>
  </si>
  <si>
    <t xml:space="preserve">  Revenues from Grandfathered Interzonal Transactions</t>
  </si>
  <si>
    <t xml:space="preserve">  Plus 12 CP of firm bundled sales over one year not in line 8</t>
  </si>
  <si>
    <t>pancaking - the revenues are not included in line 4, page 1 nor are the loads included in line 13, page 1.</t>
  </si>
  <si>
    <t>T</t>
  </si>
  <si>
    <t>page 1 of 5</t>
  </si>
  <si>
    <t xml:space="preserve"> Utilizing FERC Form 1 Data</t>
  </si>
  <si>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</si>
  <si>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Account 456.1 entry shall be the annual total of the quarterly values reported at Form 1, 330.x.n.</t>
  </si>
  <si>
    <t>Includes income related only to transmission facilities, such as pole attachments, rentals and special use.</t>
  </si>
  <si>
    <t>P</t>
  </si>
  <si>
    <t>Grandfathered agreements whose rates have been changed to eliminate or mitigate pancaking - the revenues are included in line 4 page 1</t>
  </si>
  <si>
    <t>Q</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</si>
  <si>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</si>
  <si>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</si>
  <si>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219.20-24.c</t>
  </si>
  <si>
    <t xml:space="preserve">  No. 456.1 and all other uses are to be included in the divisor.</t>
  </si>
  <si>
    <t>Schedule 1 Recoverable Expenses</t>
  </si>
  <si>
    <t xml:space="preserve">  Less Contract Demands from service over one year provided by ISO at a discount (enter negative)</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</si>
  <si>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</si>
  <si>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</si>
  <si>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111.57.c</t>
  </si>
  <si>
    <t>Preferred Dividends (118.29c) (positive number)</t>
  </si>
  <si>
    <t>205.46.g</t>
  </si>
  <si>
    <t>227.8.c &amp; .16.c</t>
  </si>
  <si>
    <t>336.11.b</t>
  </si>
  <si>
    <t xml:space="preserve">  Taxes related to income are excluded.  Gross receipts taxes are not included in transmission revenue requirement in the Rate Formula Template, </t>
  </si>
  <si>
    <t xml:space="preserve">   since they are recovered elsewhere.</t>
  </si>
  <si>
    <t xml:space="preserve">The FERC's annual charges for the year assessed the Transmission Owner for service under this tariff. </t>
  </si>
  <si>
    <t xml:space="preserve">  (State Income Tax Rate or Composite SIT)</t>
  </si>
  <si>
    <t>p =</t>
  </si>
  <si>
    <t xml:space="preserve">  (percent of federal income tax deductible for state purposes)</t>
  </si>
  <si>
    <t>Enter dollar amounts</t>
  </si>
  <si>
    <t>R</t>
  </si>
  <si>
    <t>S</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</si>
  <si>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</si>
  <si>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</si>
  <si>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Highway and vehicle</t>
  </si>
  <si>
    <t xml:space="preserve">  PLANT RELATED</t>
  </si>
  <si>
    <t xml:space="preserve">  Production</t>
  </si>
  <si>
    <t>NA</t>
  </si>
  <si>
    <t xml:space="preserve">  Distribution</t>
  </si>
  <si>
    <t xml:space="preserve">  General &amp; Intangible</t>
  </si>
  <si>
    <t>TOTAL GROSS PLANT (sum lines 1-5)</t>
  </si>
  <si>
    <t>GP=</t>
  </si>
  <si>
    <t>TE=</t>
  </si>
  <si>
    <t>$</t>
  </si>
  <si>
    <t>Allocation</t>
  </si>
  <si>
    <t>W&amp;S Allocator</t>
  </si>
  <si>
    <t>(line 7 / line 15)</t>
  </si>
  <si>
    <t xml:space="preserve">     Rate Formula Template</t>
  </si>
  <si>
    <t xml:space="preserve"> </t>
  </si>
  <si>
    <t>Line</t>
  </si>
  <si>
    <t>No.</t>
  </si>
  <si>
    <t>Amount</t>
  </si>
  <si>
    <t>NET REVENUE REQUIREMENT</t>
  </si>
  <si>
    <t xml:space="preserve">DIVISOR </t>
  </si>
  <si>
    <t>VECTREN</t>
  </si>
  <si>
    <t xml:space="preserve">  Account No. 456.1</t>
  </si>
  <si>
    <t>354.21.b</t>
  </si>
  <si>
    <t>354.23.b</t>
  </si>
  <si>
    <t>354.24,25,26.b</t>
  </si>
  <si>
    <t xml:space="preserve">  Long Term Debt (112, sum of  18.c through 21.c)</t>
  </si>
  <si>
    <t>ACCOUNT 456.1 (OTHER ELECTRIC REVENUES) (Note U)</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</si>
  <si>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</si>
  <si>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219.25.c</t>
  </si>
  <si>
    <t>219.26.c</t>
  </si>
  <si>
    <t xml:space="preserve">INCOME TAXES          </t>
  </si>
  <si>
    <t xml:space="preserve"> (Note K)</t>
  </si>
  <si>
    <t xml:space="preserve">     T=1 - {[(1 - SIT) * (1 - FIT)] / (1 - SIT * FIT * p)} =</t>
  </si>
  <si>
    <t xml:space="preserve">     CIT=(T/1-T) * (1-(WCLTD/R)) =</t>
  </si>
  <si>
    <t xml:space="preserve">         Property</t>
  </si>
  <si>
    <t xml:space="preserve">         Gross Receipts</t>
  </si>
  <si>
    <t>zero</t>
  </si>
  <si>
    <t xml:space="preserve">         Other</t>
  </si>
  <si>
    <t xml:space="preserve">         Payments in lieu of taxes</t>
  </si>
  <si>
    <t>TOTAL OTHER TAXES  (sum lines 13 - 19)</t>
  </si>
  <si>
    <t>F</t>
  </si>
  <si>
    <t>G</t>
  </si>
  <si>
    <t>Removes dollar amount of transmission plant included in the development of OATT ancillary services rates and generation</t>
  </si>
  <si>
    <t>revenue requirements.</t>
  </si>
  <si>
    <t>(page 4, line 34)</t>
  </si>
  <si>
    <t>(page 4, line 37)</t>
  </si>
  <si>
    <t xml:space="preserve">  Less Contract Demand from Grandfathered Interzonal Transactions over one year (enter negative) (Note S)</t>
  </si>
  <si>
    <t xml:space="preserve">  facilities are those facilities at a generator substation on which there is no through-flow when the generator is shut down.</t>
  </si>
  <si>
    <t>H</t>
  </si>
  <si>
    <t xml:space="preserve">  b. Bundled Sales for Resale  included in Divisor on page 1</t>
  </si>
  <si>
    <t>(330.x.n)</t>
  </si>
  <si>
    <t xml:space="preserve">  b. Transmission charges for all transmission transactions included in Divisor on Page 1</t>
  </si>
  <si>
    <t>page 5 of 5</t>
  </si>
  <si>
    <t>1a</t>
  </si>
  <si>
    <t xml:space="preserve">  Total  (sum lines 17 - 19)</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</si>
  <si>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</si>
  <si>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</si>
  <si>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</si>
  <si>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RATE BASE  (sum lines 18, 18a, 24, 25, &amp; 29)</t>
  </si>
  <si>
    <t>9a</t>
  </si>
  <si>
    <t>W</t>
  </si>
  <si>
    <t xml:space="preserve">   related advertising included in Account 930.1.  Line 5a - Regulatory Commission Expenses directly related to transmission service,  </t>
  </si>
  <si>
    <t xml:space="preserve">   ISO filings, or transmission siting itemized at 351.h. </t>
  </si>
  <si>
    <t xml:space="preserve">  rate base, must reduce its income tax expense by the amount of the Amortized Investment Tax Credit (Form 1, 266.8.f)</t>
  </si>
  <si>
    <t>100% CWIP Recovery for Commission accepted</t>
  </si>
  <si>
    <t>or Approved Order No. 679 Transmission</t>
  </si>
  <si>
    <t xml:space="preserve">  Unamortized Balance of Cancelled or Abandoned Plant (Note W)</t>
  </si>
  <si>
    <t xml:space="preserve">  Abandoned or Cancelled Plant Amortization (Note W)</t>
  </si>
  <si>
    <t>include in the formula rate placeholders for cancelled or abandoned plant for the Project.  Page 2 line 23a includes any unamortized balances related to the recovery of abandoned</t>
  </si>
  <si>
    <t>or cancelled plant costs accepted or approved by FERC. Page 3 line 9a includes the unamortization expense of abandoned or cancelled plant costs accepted or approved by FERC.</t>
  </si>
  <si>
    <t>Vectren would need to make a separate Section 205 filing and obtain Commission acceptance or approval for the specific amounts that Vectren would propose to</t>
  </si>
  <si>
    <t>6a</t>
  </si>
  <si>
    <t>Historic Year Actual ATRR</t>
  </si>
  <si>
    <t>6b</t>
  </si>
  <si>
    <t>6c</t>
  </si>
  <si>
    <t>6d</t>
  </si>
  <si>
    <t>6e</t>
  </si>
  <si>
    <t>Projected ATRR from Historic Year</t>
  </si>
  <si>
    <t>Historic Year ATRR True-Up</t>
  </si>
  <si>
    <t>Historic Year Divisor True-Up</t>
  </si>
  <si>
    <t>Interest on Historic Year True-Up</t>
  </si>
  <si>
    <t>Input from Historic Year</t>
  </si>
  <si>
    <t>(line 6a - line 6b)</t>
  </si>
  <si>
    <t>(Note Z)</t>
  </si>
  <si>
    <t>Incentive Project  (Note X)</t>
  </si>
  <si>
    <t>X</t>
  </si>
  <si>
    <t>Y</t>
  </si>
  <si>
    <t>Z</t>
  </si>
  <si>
    <t>Calculate using 13 month average balance, reconciling to FERC Form No. 1 by page, line and column as shown in Column 2.</t>
  </si>
  <si>
    <t>Calculate using average of beginning of year and end of year balance reconciling to FERC Form 1 by page, line and column as shown in Column 2.</t>
  </si>
  <si>
    <t>Calculation of Historic year Divisor True-Up:</t>
  </si>
  <si>
    <t xml:space="preserve">     Historic Year Actual Divisor</t>
  </si>
  <si>
    <t xml:space="preserve">     Projected Historic Year Divisor</t>
  </si>
  <si>
    <t xml:space="preserve">     Difference between Actual and Projected Historic Year Divisor</t>
  </si>
  <si>
    <t xml:space="preserve">     Historic Year Projected Annual Cost ($ per kw per yr.)</t>
  </si>
  <si>
    <t xml:space="preserve">     Historic Year Divisor True-up (Difference * Historic Year Projected Annual Cost)</t>
  </si>
  <si>
    <t>Pg 1, Line 15</t>
  </si>
  <si>
    <t>Pg 1, Line 16</t>
  </si>
  <si>
    <t>(line 1 minus line 6 + ln 6c through 6e)</t>
  </si>
  <si>
    <t>NET PLANT IN SERVICE (Note X)</t>
  </si>
  <si>
    <t>LAND HELD FOR FUTURE USE (Note Y)</t>
  </si>
  <si>
    <t xml:space="preserve">  Materials &amp; Supplies  (Note G, Note Y)</t>
  </si>
  <si>
    <t xml:space="preserve">  Prepayments (Account 165, Note Y)</t>
  </si>
  <si>
    <t>TOTAL O&amp;M   (sum lines 1, 3, 5a, 6, 7 less lines 1a, 2, 4, 5)</t>
  </si>
  <si>
    <t>(line 16 / 52; line 16 / 52)</t>
  </si>
  <si>
    <t>[Revenue Requirement for facilities included on page 2, line 2 and also</t>
  </si>
  <si>
    <t>included in Attachment GG]</t>
  </si>
  <si>
    <t>REV. REQUIREMENT TO BE COLLECTED UNDER ATTACHMENT O</t>
  </si>
  <si>
    <t>36a</t>
  </si>
  <si>
    <t>AA</t>
  </si>
  <si>
    <t>BB</t>
  </si>
  <si>
    <t>(line 16 / 260; line 16 / 365)</t>
  </si>
  <si>
    <t>(line 16 / 4,160; line 16 / 8,760)</t>
  </si>
  <si>
    <t>GROSS REVENUE REQUIREMENT    (page 3, line 31)</t>
  </si>
  <si>
    <t>LESS ATTACHMENT GG ADJUSTMENT [Attachment GG, page 2, line 3, column 10] (Note AA)</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</si>
  <si>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</si>
  <si>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</si>
  <si>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</si>
  <si>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</si>
  <si>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</si>
  <si>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</si>
  <si>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</si>
  <si>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</si>
  <si>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CC</t>
  </si>
  <si>
    <t>DD</t>
  </si>
  <si>
    <t>Vectren</t>
  </si>
  <si>
    <t>Plant in Service</t>
  </si>
  <si>
    <t>Gross Plant in Service</t>
  </si>
  <si>
    <t>Production</t>
  </si>
  <si>
    <t>Distribution</t>
  </si>
  <si>
    <t>General &amp;Intangible</t>
  </si>
  <si>
    <t>Common</t>
  </si>
  <si>
    <t>13 month Average</t>
  </si>
  <si>
    <t>Accumulated Depreciation &amp; Amortization</t>
  </si>
  <si>
    <t>CWIP</t>
  </si>
  <si>
    <t>Gibson-Brown-Reid 345 kV Project</t>
  </si>
  <si>
    <t>Pre 12/31/2010 to 12/31/2012 Projected Capital Expenditures</t>
  </si>
  <si>
    <t>Adjustments to Rate Base</t>
  </si>
  <si>
    <t>Average of Beginning and End of Year Balance</t>
  </si>
  <si>
    <t>Accumulated Deferred Income Taxes (Balance at beginning of year and end of year)</t>
  </si>
  <si>
    <t>BOY/EOY Average</t>
  </si>
  <si>
    <t>Land Held for Future Use  (Balances at beginning of year and end of year)</t>
  </si>
  <si>
    <t>Account 105*</t>
  </si>
  <si>
    <t>* Only Land Held for Future Use that is Transmission Related</t>
  </si>
  <si>
    <t>Working Capital</t>
  </si>
  <si>
    <t>Source: Footnote to FERC Form 1, 227.8.c &amp; .16.c</t>
  </si>
  <si>
    <t>FERC 154</t>
  </si>
  <si>
    <t>FERC 163</t>
  </si>
  <si>
    <t>Prepayments</t>
  </si>
  <si>
    <t>Working Capital  (Balances at beginning of year and end of year)</t>
  </si>
  <si>
    <t>Source: Footnote to FERC Form 1, 111.57.c</t>
  </si>
  <si>
    <t>Transmission Expenses (Dollars in 000's)</t>
  </si>
  <si>
    <t>Account Number</t>
  </si>
  <si>
    <t>OPERATION</t>
  </si>
  <si>
    <t>Supervision and Engineering</t>
  </si>
  <si>
    <t>Load Dispatching - Reliability</t>
  </si>
  <si>
    <t>Load Dispatching -Monitor &amp; Operate Transmission System</t>
  </si>
  <si>
    <t>Load Dispatching- Transmission Service &amp; Scheduling</t>
  </si>
  <si>
    <t>Scheduling, System Control &amp; Dispatch Service</t>
  </si>
  <si>
    <t>Station Expense</t>
  </si>
  <si>
    <t>Overhead Line Expense</t>
  </si>
  <si>
    <t>Miscellaneous Transmission Expenses</t>
  </si>
  <si>
    <t>Rents</t>
  </si>
  <si>
    <t>Total Operation</t>
  </si>
  <si>
    <t>MAINTENANCE</t>
  </si>
  <si>
    <t>Structures</t>
  </si>
  <si>
    <t>Computer Hardware</t>
  </si>
  <si>
    <t>Computer Software</t>
  </si>
  <si>
    <t>Communication Equipment</t>
  </si>
  <si>
    <t>Station Equipment</t>
  </si>
  <si>
    <t>Overhead Lines</t>
  </si>
  <si>
    <t>Total Maintenance</t>
  </si>
  <si>
    <t>Total Operations and Maintenance</t>
  </si>
  <si>
    <t>REGULATORY COMMISSION EXPENSES</t>
  </si>
  <si>
    <t>As listed in Form 1 on page 351 column h</t>
  </si>
  <si>
    <t>Administrative and General Expenses (dollars in 000's)</t>
  </si>
  <si>
    <t>Depreciation Expenses / Taxes Other than Income</t>
  </si>
  <si>
    <t xml:space="preserve">ADMINISTRATIVE AND GENERAL EXPENSES </t>
  </si>
  <si>
    <t>Administrative and General Salaries</t>
  </si>
  <si>
    <t>Office Supplies and Expenses</t>
  </si>
  <si>
    <t>Less</t>
  </si>
  <si>
    <t>Administrative Expenses Transferred- Credit</t>
  </si>
  <si>
    <t>Outside Services Employed</t>
  </si>
  <si>
    <t>Property Insurance</t>
  </si>
  <si>
    <t>Injuries and Damages</t>
  </si>
  <si>
    <t>Employees Pensions and Benefits</t>
  </si>
  <si>
    <t xml:space="preserve">Regulatory Commission Expenses </t>
  </si>
  <si>
    <t>Miscellaneous General Expenses</t>
  </si>
  <si>
    <t>Maintenances of General Plant</t>
  </si>
  <si>
    <t>Total Administrative and General</t>
  </si>
  <si>
    <t>TAXES OTHER THAN INCOME TAXES</t>
  </si>
  <si>
    <t>Property</t>
  </si>
  <si>
    <t>Gross Receipts</t>
  </si>
  <si>
    <t>January</t>
  </si>
  <si>
    <t>February</t>
  </si>
  <si>
    <t>March</t>
  </si>
  <si>
    <t>April</t>
  </si>
  <si>
    <t>May</t>
  </si>
  <si>
    <t>June</t>
  </si>
  <si>
    <t>July</t>
  </si>
  <si>
    <t>August</t>
  </si>
  <si>
    <t>September</t>
  </si>
  <si>
    <t>October</t>
  </si>
  <si>
    <t>November</t>
  </si>
  <si>
    <t>December</t>
  </si>
  <si>
    <t>Amortized Investment Tax Credit</t>
  </si>
  <si>
    <t>Wages and Salary / Common Plant Allocator</t>
  </si>
  <si>
    <t>$ in Thousands</t>
  </si>
  <si>
    <t xml:space="preserve">COMMON PLANT ALLOCATOR </t>
  </si>
  <si>
    <t>$ in Hundred Thousands</t>
  </si>
  <si>
    <t>Capital Structure</t>
  </si>
  <si>
    <t>Long-Term Debt</t>
  </si>
  <si>
    <t>Long-Term Debt Balance</t>
  </si>
  <si>
    <t>Annualized Long-Term Debt Interest</t>
  </si>
  <si>
    <t>Cost of Long Term Debt</t>
  </si>
  <si>
    <t>Common Equity</t>
  </si>
  <si>
    <t>Less: Preferred Stock</t>
  </si>
  <si>
    <t>Less: Account 216.1</t>
  </si>
  <si>
    <t>Balance</t>
  </si>
  <si>
    <t>Percentage</t>
  </si>
  <si>
    <t>Preferred Stock</t>
  </si>
  <si>
    <t>TOTAL</t>
  </si>
  <si>
    <t>Monthly Peaks and Output in (Mw)</t>
  </si>
  <si>
    <t>DIVISOR</t>
  </si>
  <si>
    <t>Average (Mw)</t>
  </si>
  <si>
    <t>Average (kWh)</t>
  </si>
  <si>
    <t>Account 456.1 (Other Electric Revenues)</t>
  </si>
  <si>
    <t>Transmission of Electricity for Others (Account 456.1)</t>
  </si>
  <si>
    <t>Transmission Charges for Transmission Transactions</t>
  </si>
  <si>
    <t xml:space="preserve">Midwest ISO (Schedule 7&amp;8) </t>
  </si>
  <si>
    <t xml:space="preserve">Midwest ISO (Schedule 9) </t>
  </si>
  <si>
    <t xml:space="preserve">Midwest ISO (Schedule 26) </t>
  </si>
  <si>
    <t>ALCOA</t>
  </si>
  <si>
    <t>Other Account 456.1 Charges</t>
  </si>
  <si>
    <t xml:space="preserve">Midwest ISO (Schedule 1) </t>
  </si>
  <si>
    <t xml:space="preserve">Midwest ISO (Schedule 2) </t>
  </si>
  <si>
    <t xml:space="preserve">Midwest ISO (Schedule 24) </t>
  </si>
  <si>
    <t>Total Account 456.1 Charges</t>
  </si>
  <si>
    <t>Less: Schedule 1</t>
  </si>
  <si>
    <t>Less: Schedule 2</t>
  </si>
  <si>
    <t>Less: Schedule 9</t>
  </si>
  <si>
    <t>Less: Schedule 24</t>
  </si>
  <si>
    <t>Less: Schedule 26</t>
  </si>
  <si>
    <t>Total Revenue Credit</t>
  </si>
  <si>
    <t>Amortization of Investment Tax Credit</t>
  </si>
  <si>
    <t>POST</t>
  </si>
  <si>
    <t xml:space="preserve">PRE RATE </t>
  </si>
  <si>
    <t>Original</t>
  </si>
  <si>
    <t>RATE CASE</t>
  </si>
  <si>
    <t>BASIS</t>
  </si>
  <si>
    <t>CASE</t>
  </si>
  <si>
    <t>GENERAL</t>
  </si>
  <si>
    <t>POWER &amp; OTHER</t>
  </si>
  <si>
    <t>TRANS</t>
  </si>
  <si>
    <t>DIST</t>
  </si>
  <si>
    <t>amount of ITC</t>
  </si>
  <si>
    <t>AMORTIZATION</t>
  </si>
  <si>
    <t xml:space="preserve">REMAINING </t>
  </si>
  <si>
    <t>AMORT</t>
  </si>
  <si>
    <t xml:space="preserve">AMORT </t>
  </si>
  <si>
    <t xml:space="preserve">REMAINING TO </t>
  </si>
  <si>
    <t>RATES</t>
  </si>
  <si>
    <t>PRODUCTION</t>
  </si>
  <si>
    <t>Taken</t>
  </si>
  <si>
    <t>RATE</t>
  </si>
  <si>
    <t xml:space="preserve">TO BE AMORT </t>
  </si>
  <si>
    <t>BE AMORTIZED</t>
  </si>
  <si>
    <t>1979- 4% BRN #1</t>
  </si>
  <si>
    <t>1979- 10%</t>
  </si>
  <si>
    <t>1980- 10%</t>
  </si>
  <si>
    <t>1982- 10%</t>
  </si>
  <si>
    <t>1983- 10%</t>
  </si>
  <si>
    <t>1984- 10%</t>
  </si>
  <si>
    <t>1985- 10%</t>
  </si>
  <si>
    <t xml:space="preserve">1985- BROWN II </t>
  </si>
  <si>
    <t>1986- 10%(INCL. Z-95 QPE)</t>
  </si>
  <si>
    <t>1986- 20% REN 18 YR</t>
  </si>
  <si>
    <t xml:space="preserve">1986- BROWN II </t>
  </si>
  <si>
    <t>1987-10% TRAN &amp; DIST    *</t>
  </si>
  <si>
    <t>88,89,90,91-10%TRAN&amp;DIST*</t>
  </si>
  <si>
    <t>SUBTOTAL</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</si>
  <si>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</si>
  <si>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</si>
  <si>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</si>
  <si>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</si>
  <si>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 xml:space="preserve">       where WCLTD=(page 4, line 27) and R= (page 4, line 30)</t>
  </si>
  <si>
    <t>336.10.f &amp; 336.1.f</t>
  </si>
  <si>
    <t>O&amp;M  (Note FF)</t>
  </si>
  <si>
    <t>DEPRECIATION AND AMORTIZATION EXPENSE (Note EE)</t>
  </si>
  <si>
    <t>ACCUMULATED DEPRECIATION (Note X, Note EE)</t>
  </si>
  <si>
    <t>219.28.c &amp; 200.21.c</t>
  </si>
  <si>
    <t>GROSS PLANT IN SERVICE (Note X, Note EE)</t>
  </si>
  <si>
    <t>Prorated to</t>
  </si>
  <si>
    <t>Return Calculation:</t>
  </si>
  <si>
    <t>Total Transmission</t>
  </si>
  <si>
    <t>Att-GG</t>
  </si>
  <si>
    <t>Att-O</t>
  </si>
  <si>
    <t>Net Transmission Plant</t>
  </si>
  <si>
    <t>Deferred Taxes</t>
  </si>
  <si>
    <t>Other Rate Base</t>
  </si>
  <si>
    <t>Total Rate Base</t>
  </si>
  <si>
    <t>RECB Rate Base</t>
  </si>
  <si>
    <t xml:space="preserve">Return </t>
  </si>
  <si>
    <t>Equity Component of Return</t>
  </si>
  <si>
    <t>Equity Component of ROR</t>
  </si>
  <si>
    <t>Rate Base funded by Equity</t>
  </si>
  <si>
    <t>ROE PROOF - S/B 12.38%</t>
  </si>
  <si>
    <t>Gross Transmission Plant</t>
  </si>
  <si>
    <t>As calculated in Attachment GG</t>
  </si>
  <si>
    <t>Transmission Plant</t>
  </si>
  <si>
    <t>Return Per Attachment-O</t>
  </si>
  <si>
    <t>Return Factor</t>
  </si>
  <si>
    <t>Agrees to Return per our GG</t>
  </si>
  <si>
    <t>Revenue Requirement Components:</t>
  </si>
  <si>
    <t>Return</t>
  </si>
  <si>
    <t>Transmission O&amp;M</t>
  </si>
  <si>
    <t>A&amp;G O&amp;M</t>
  </si>
  <si>
    <t>Transmission Depreciation Expense</t>
  </si>
  <si>
    <t>G&amp;C Depreciation Expense</t>
  </si>
  <si>
    <t>Property Taxes</t>
  </si>
  <si>
    <t>Taxes</t>
  </si>
  <si>
    <t>Revenue Requirement</t>
  </si>
  <si>
    <t>Revenue Credit</t>
  </si>
  <si>
    <t>Prior Year True Up</t>
  </si>
  <si>
    <t>Interest</t>
  </si>
  <si>
    <t>RR Post Revenue Credit</t>
  </si>
  <si>
    <t>Muni % of Total</t>
  </si>
  <si>
    <t>c</t>
  </si>
  <si>
    <t>Budgeted for the period ending December 31, 2014</t>
  </si>
  <si>
    <t>General / Intangible</t>
  </si>
  <si>
    <t>Allocation based on projected December 31, 2014 balances</t>
  </si>
  <si>
    <t>Vectren Corporation</t>
  </si>
  <si>
    <t>Estimated Network Revenue Requirement True-Up</t>
  </si>
  <si>
    <t>Schedule 9 - MUNIS Revenue Received</t>
  </si>
  <si>
    <t>Projected Rate</t>
  </si>
  <si>
    <t>Implied Load at Projected Rate</t>
  </si>
  <si>
    <t>Revised Rate (including interest) (A+B) / C</t>
  </si>
  <si>
    <t>Attachment - O</t>
  </si>
  <si>
    <t>Revised Muni Revenue</t>
  </si>
  <si>
    <t>Actual Network Revenue Requirement per Attachment - O</t>
  </si>
  <si>
    <t>Less  Actual Attachment GG Revenue Requirement</t>
  </si>
  <si>
    <t>Projected Network Revenue Requirement per Attachment - O</t>
  </si>
  <si>
    <t>Actual Muni percent of total Load ( F )</t>
  </si>
  <si>
    <t>Less Projected Attachment GG Revenue Requirement</t>
  </si>
  <si>
    <t>Schedule 7-8 MISO</t>
  </si>
  <si>
    <t>Schedule 9 - MUNIS</t>
  </si>
  <si>
    <t>Actual 7-8-9 revenue through 12/31</t>
  </si>
  <si>
    <t>Actual Load</t>
  </si>
  <si>
    <t>Projected Load</t>
  </si>
  <si>
    <t>Volume Excess</t>
  </si>
  <si>
    <t>Projected Zonal Rate</t>
  </si>
  <si>
    <t>Interest =24 month (simple interest from January '13 - December '14)</t>
  </si>
  <si>
    <t>24 month average monthly rate</t>
  </si>
  <si>
    <t>Per Month</t>
  </si>
  <si>
    <t>x 24 months</t>
  </si>
  <si>
    <t xml:space="preserve">Column 12 of </t>
  </si>
  <si>
    <t>Attachment GG</t>
  </si>
  <si>
    <t xml:space="preserve">Attachment GG </t>
  </si>
  <si>
    <t>Projected</t>
  </si>
  <si>
    <t>Proportion</t>
  </si>
  <si>
    <t>Actual</t>
  </si>
  <si>
    <t>True Up</t>
  </si>
  <si>
    <t>Revenue</t>
  </si>
  <si>
    <t xml:space="preserve">of Revenues </t>
  </si>
  <si>
    <t xml:space="preserve">Interest allocated </t>
  </si>
  <si>
    <t>2009 RECB *</t>
  </si>
  <si>
    <t>FERC Audit **</t>
  </si>
  <si>
    <t>Net of Interest</t>
  </si>
  <si>
    <t>Project</t>
  </si>
  <si>
    <t>Requirement</t>
  </si>
  <si>
    <t>% of total</t>
  </si>
  <si>
    <t>Distributed</t>
  </si>
  <si>
    <t>to projects</t>
  </si>
  <si>
    <t>True Up Correction</t>
  </si>
  <si>
    <t>345/138 kV Substation at Francisco</t>
  </si>
  <si>
    <t>Transmission line Dubois to Newtonville</t>
  </si>
  <si>
    <t>345kV Transformer at AB Brown</t>
  </si>
  <si>
    <t>Gibson to AB Brown to Reid 345kV</t>
  </si>
  <si>
    <t>Upgrade Breed-Wheatland-Petersburg 345kV</t>
  </si>
  <si>
    <t>Interest (24 months at FERC short term debt cost)</t>
  </si>
  <si>
    <t>For the Year Ended December 31, 2014</t>
  </si>
  <si>
    <t>Muni % of Total (2012 Actual)</t>
  </si>
  <si>
    <t>Non-transmission</t>
  </si>
  <si>
    <t>214.4.d</t>
  </si>
  <si>
    <t>IN Real Estate &amp; Personal Property Tax, Pg 263, Ln 9, Col (i)</t>
  </si>
  <si>
    <t>KY Real Estate &amp; Personal Property Tax, Pg 263, Ln 15, Col (i)</t>
  </si>
  <si>
    <t>Utility Receipts Tax, Pg 263, Ln 2, Col (i)</t>
  </si>
  <si>
    <t>12 months Ended 12/31/14</t>
  </si>
  <si>
    <t>Under Recovery of the Revenue Requirement</t>
  </si>
  <si>
    <t>Over Recovery due to Volume</t>
  </si>
  <si>
    <t>True up to be collected</t>
  </si>
  <si>
    <t>True up to be collected including interest</t>
  </si>
  <si>
    <t>Total Under Recovery</t>
  </si>
  <si>
    <t>Under Recovery</t>
  </si>
  <si>
    <t>Account Nos. 561.4 and 561.8 consist of RTO expenses billed to load-serving entities and are not included in Transmission Owner</t>
  </si>
  <si>
    <t>Pursuant to Attachment GG of the Midwest ISO Tariff, removes dollar amount of revenue requirement calculated pursuant to Attachment GG.</t>
  </si>
  <si>
    <t xml:space="preserve">Removes from revenue credits revenues that are distributed pursuant to Schedules associated with Attachment GG of the Midwest ISO Tariff, since the </t>
  </si>
  <si>
    <t>Transmission Owner's Attachment O revenue requirements have already been reduced by the Attachment GG revenue requirement.</t>
  </si>
  <si>
    <t>Pursuant to Attachment MM of the Midwest ISO Tariff, removes dollar amount of revenue requirement calculated pursuant to Attachment MM.</t>
  </si>
  <si>
    <t xml:space="preserve">Removes from revenue credits revenues that are distributed pursuant to Schedules associated with Attachment MM of the Midwest ISO Tariff, since the </t>
  </si>
  <si>
    <t>Transmission Owner's Attachment O revenue requirements have already been reduced by the Attachment MM revenue requirement.</t>
  </si>
  <si>
    <t xml:space="preserve">  c.  Transmission charges from Schedules associated with Attachment GG (Note BB)</t>
  </si>
  <si>
    <t xml:space="preserve">  d.  Transmission charges from Schedules associated with Attachment MM (Note DD)</t>
  </si>
  <si>
    <t>LESS ATTACHMENT MM ADJUSTMENT [Attachment MM, page 2, line 3, column 14] (Note CC)</t>
  </si>
  <si>
    <t>Net Over Recovery,  including interest</t>
  </si>
  <si>
    <t>MTEP</t>
  </si>
  <si>
    <t>Number</t>
  </si>
  <si>
    <t xml:space="preserve">  a filing with FERC.  A 50 basis point adder for RTO participation may be added to the ROE up to the upper end of the zone </t>
  </si>
  <si>
    <t xml:space="preserve">of reasonableness established by FERC. </t>
  </si>
  <si>
    <t xml:space="preserve">ER15-358 - TEMPLATE LANGUAGE ACCEPTED EFFECTIVE JANUARY 6, 2015 SUBJECT TO REFUND AND OUTCOME OF COMPLAINT PROCEEDINGS </t>
  </si>
  <si>
    <t>Budgeted for the period ending December 31, 2016</t>
  </si>
  <si>
    <t>For the 12 months ended 12/31/17</t>
  </si>
  <si>
    <t xml:space="preserve">  Account No. 281 (enter negative) (Note F, Note Y)</t>
  </si>
  <si>
    <t xml:space="preserve">  Account No. 282 (enter negative) (Note F, Note Y)</t>
  </si>
  <si>
    <t xml:space="preserve">  Account No. 283 (enter negative) (Note F, Note Y)</t>
  </si>
  <si>
    <t xml:space="preserve">  Account No. 190 (Note F, Note Y)</t>
  </si>
  <si>
    <t xml:space="preserve">  Account No. 255 (enter negative) (Note F, Note Y)</t>
  </si>
  <si>
    <t>ADJUSTMENTS TO RATE BASE</t>
  </si>
  <si>
    <t>The calculations of ADIT in the annual true-up calculation will use the beginning-of-year and end-of-year balances. The calculation of ADIT in the annual projection</t>
  </si>
  <si>
    <t xml:space="preserve">will be performed in accordance with IRS regulation Section 1.167(l)-1(h)(6). Work papers supporting the ADIT calculations will be posted with each Annual True-Up </t>
  </si>
  <si>
    <t xml:space="preserve">and or projected net revenue requirement and included in the annual Informational Filing submitted to the Commission. The Annual True-Up or projected net revenue requirement </t>
  </si>
  <si>
    <t>ADIT worksheets set forth the calculation pursuant to IRS regulation Section 1.167(l)-1(h)(6).</t>
  </si>
  <si>
    <t>01/01-06/30 @ 6.25%; 07/01-12/31 @ 6.00%</t>
  </si>
  <si>
    <t>Pro-rated ADIT</t>
  </si>
  <si>
    <t>ADIT</t>
  </si>
  <si>
    <t>Remaining</t>
  </si>
  <si>
    <t>Pro Rata</t>
  </si>
  <si>
    <t>Pro-rated</t>
  </si>
  <si>
    <t>Simple BOY-EOY</t>
  </si>
  <si>
    <t>Year</t>
  </si>
  <si>
    <t>Month</t>
  </si>
  <si>
    <t>Activity</t>
  </si>
  <si>
    <t>Days</t>
  </si>
  <si>
    <t>Ratio</t>
  </si>
  <si>
    <t>Average</t>
  </si>
  <si>
    <t>Dec</t>
  </si>
  <si>
    <t>Jan</t>
  </si>
  <si>
    <t>Feb</t>
  </si>
  <si>
    <t>Mar</t>
  </si>
  <si>
    <t>Apr</t>
  </si>
  <si>
    <t>Jun</t>
  </si>
  <si>
    <t>Jul</t>
  </si>
  <si>
    <t>Aug</t>
  </si>
  <si>
    <t>Sep</t>
  </si>
  <si>
    <t>Oct</t>
  </si>
  <si>
    <t>Nov</t>
  </si>
  <si>
    <t>Sum</t>
  </si>
  <si>
    <t>Property Related 190 Amounts (Including any NOL on Property)</t>
  </si>
  <si>
    <t>Non-Property Related 190 Amounts</t>
  </si>
  <si>
    <t>Note: only if ADIT is plant related to we normalize it.</t>
  </si>
  <si>
    <t>Budgeted for the period ending December 31, 2017</t>
  </si>
  <si>
    <t>Pro Forma 12/31/17 ($ in 000s)</t>
  </si>
  <si>
    <t>Year ended December 31, 2017</t>
  </si>
  <si>
    <t>2017 Attachment O - Preliminary Filing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</si>
</sst>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 numFmtId="175" formatCode="[$-409]mmmm\-yy;@"/>
    <numFmt numFmtId="176" formatCode="0.0000%"/>
    <numFmt numFmtId="177" formatCode="_(* #,##0_);_(* \(#,##0\);_(* &quot;-&quot;??_);_(@_)"/>
    <numFmt numFmtId="178" formatCode="_(* #,##0.0_);_(* \(#,##0.0\);_(* &quot;-&quot;??_);_(@_)"/>
    <numFmt numFmtId="179" formatCode="0.00000%"/>
    <numFmt numFmtId="180" formatCode="_(* #,##0.0000_);_(* \(#,##0.0000\);_(* &quot;-&quot;??_);_(@_)"/>
    <numFmt numFmtId="181" formatCode="0.00000000%"/>
    <numFmt numFmtId="182" formatCode="_(* #,##0.000_);_(* \(#,##0.000\);_(* &quot;-&quot;??_);_(@_)"/>
    <numFmt numFmtId="183" formatCode="0.0%"/>
    <numFmt numFmtId="184" formatCode="0.000000"/>
  </numFmts>
  <fonts count="71">
    <font>
      <sz val="12"/>
      <name val="Arial MT"/>
    </font>
    <font>
      <sz val="10"/>
      <name val="Arial"/>
      <family val="2"/>
    </font>
    <font>
      <sz val="12"/>
      <name val="Arial MT"/>
    </font>
    <font>
      <sz val="12"/>
      <name val="Arial"/>
      <family val="2"/>
    </font>
    <font>
      <sz val="12"/>
      <color indexed="17"/>
      <name val="Arial"/>
      <family val="2"/>
    </font>
    <font>
      <sz val="12"/>
      <color indexed="17"/>
      <name val="Arial MT"/>
    </font>
    <font>
      <b/>
      <sz val="12"/>
      <name val="Arial"/>
      <family val="2"/>
    </font>
    <font>
      <sz val="11"/>
      <name val="Arial"/>
      <family val="2"/>
    </font>
    <font>
      <sz val="12"/>
      <name val="Times New Roman"/>
      <family val="1"/>
    </font>
    <font>
      <sz val="10"/>
      <name val="Arial"/>
      <family val="2"/>
    </font>
    <font>
      <b/>
      <sz val="10"/>
      <name val="Arial"/>
      <family val="2"/>
    </font>
    <font>
      <u/>
      <sz val="12"/>
      <color indexed="17"/>
      <name val="Arial MT"/>
    </font>
    <font>
      <sz val="8"/>
      <name val="Arial"/>
      <family val="2"/>
    </font>
    <font>
      <b/>
      <sz val="18"/>
      <name val="Arial"/>
      <family val="2"/>
    </font>
    <font>
      <b/>
      <sz val="12"/>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trike/>
      <sz val="12"/>
      <color indexed="53"/>
      <name val="Arial MT"/>
    </font>
    <font>
      <b/>
      <sz val="12"/>
      <name val="Times New Roman"/>
      <family val="1"/>
    </font>
    <font>
      <b/>
      <u/>
      <sz val="12"/>
      <name val="Times New Roman"/>
      <family val="1"/>
    </font>
    <font>
      <strike/>
      <sz val="12"/>
      <name val="Times New Roman"/>
      <family val="1"/>
    </font>
    <font>
      <sz val="12"/>
      <color indexed="10"/>
      <name val="Times New Roman"/>
      <family val="1"/>
    </font>
    <font>
      <u/>
      <sz val="12"/>
      <name val="Times New Roman"/>
      <family val="1"/>
    </font>
    <font>
      <u/>
      <sz val="12"/>
      <color indexed="10"/>
      <name val="Times New Roman"/>
      <family val="1"/>
    </font>
    <font>
      <u val="double"/>
      <sz val="12"/>
      <color indexed="10"/>
      <name val="Times New Roman"/>
      <family val="1"/>
    </font>
    <font>
      <sz val="12"/>
      <color indexed="10"/>
      <name val="Arial"/>
      <family val="2"/>
    </font>
    <font>
      <b/>
      <sz val="14"/>
      <name val="Century Gothic"/>
      <family val="2"/>
    </font>
    <font>
      <sz val="12"/>
      <name val="Century Gothic"/>
      <family val="2"/>
    </font>
    <font>
      <b/>
      <sz val="12"/>
      <name val="Century Gothic"/>
      <family val="2"/>
    </font>
    <font>
      <b/>
      <i/>
      <sz val="12"/>
      <color indexed="10"/>
      <name val="Century Gothic"/>
      <family val="2"/>
    </font>
    <font>
      <i/>
      <sz val="12"/>
      <name val="Century Gothic"/>
      <family val="2"/>
    </font>
    <font>
      <sz val="8"/>
      <name val="Arial MT"/>
    </font>
    <font>
      <b/>
      <sz val="18"/>
      <color indexed="10"/>
      <name val="Century Gothic"/>
      <family val="2"/>
    </font>
    <font>
      <b/>
      <sz val="14"/>
      <color indexed="10"/>
      <name val="Century Gothic"/>
      <family val="2"/>
    </font>
    <font>
      <b/>
      <sz val="18"/>
      <name val="Century Gothic"/>
      <family val="2"/>
    </font>
    <font>
      <b/>
      <sz val="12"/>
      <color indexed="10"/>
      <name val="Century Gothic"/>
      <family val="2"/>
    </font>
    <font>
      <sz val="10"/>
      <name val="Century Gothic"/>
      <family val="2"/>
    </font>
    <font>
      <sz val="10"/>
      <name val="Arial"/>
      <family val="2"/>
    </font>
    <font>
      <b/>
      <sz val="10"/>
      <color indexed="12"/>
      <name val="Arial"/>
      <family val="2"/>
    </font>
    <font>
      <sz val="14"/>
      <name val="Arial MT"/>
    </font>
    <font>
      <b/>
      <sz val="12"/>
      <color rgb="FFFF0000"/>
      <name val="Arial"/>
      <family val="2"/>
    </font>
    <font>
      <sz val="10"/>
      <color rgb="FF0000CC"/>
      <name val="Arial"/>
      <family val="2"/>
    </font>
    <font>
      <b/>
      <sz val="8"/>
      <color indexed="81"/>
      <name val="Tahoma"/>
      <family val="2"/>
    </font>
    <font>
      <sz val="8"/>
      <color indexed="81"/>
      <name val="Tahoma"/>
      <family val="2"/>
    </font>
    <font>
      <b/>
      <sz val="12"/>
      <name val="Arial MT"/>
    </font>
    <font>
      <i/>
      <sz val="12"/>
      <name val="Arial MT"/>
    </font>
    <font>
      <sz val="12"/>
      <color theme="0"/>
      <name val="Arial MT"/>
    </font>
    <font>
      <b/>
      <sz val="12"/>
      <color theme="0"/>
      <name val="Arial MT"/>
    </font>
    <font>
      <sz val="12"/>
      <color rgb="FFFF0000"/>
      <name val="Times New Roman"/>
      <family val="1"/>
    </font>
    <font>
      <b/>
      <sz val="12"/>
      <color theme="1"/>
      <name val="Century Gothic"/>
      <family val="2"/>
    </font>
    <font>
      <b/>
      <sz val="10"/>
      <name val="Century Gothic"/>
      <family val="2"/>
    </font>
  </fonts>
  <fills count="9">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9">
    <xf numFmtId="173" fontId="0" fillId="0" borderId="0" applyProtection="0"/>
    <xf numFmtId="173" fontId="12" fillId="0" borderId="0" applyFill="0"/>
    <xf numFmtId="173" fontId="12" fillId="0" borderId="0">
      <alignment horizontal="center"/>
    </xf>
    <xf numFmtId="0" fontId="12" fillId="0" borderId="0" applyFill="0">
      <alignment horizontal="center"/>
    </xf>
    <xf numFmtId="173" fontId="15" fillId="0" borderId="1" applyFill="0"/>
    <xf numFmtId="0" fontId="1" fillId="0" borderId="0" applyFont="0" applyAlignment="0"/>
    <xf numFmtId="0" fontId="16" fillId="0" borderId="0" applyFill="0">
      <alignment vertical="top"/>
    </xf>
    <xf numFmtId="0" fontId="15" fillId="0" borderId="0" applyFill="0">
      <alignment horizontal="left" vertical="top"/>
    </xf>
    <xf numFmtId="173" fontId="6" fillId="0" borderId="2" applyFill="0"/>
    <xf numFmtId="0" fontId="1" fillId="0" borderId="0" applyNumberFormat="0" applyFont="0" applyAlignment="0"/>
    <xf numFmtId="0" fontId="16" fillId="0" borderId="0" applyFill="0">
      <alignment wrapText="1"/>
    </xf>
    <xf numFmtId="0" fontId="15" fillId="0" borderId="0" applyFill="0">
      <alignment horizontal="left" vertical="top" wrapText="1"/>
    </xf>
    <xf numFmtId="173" fontId="17" fillId="0" borderId="0" applyFill="0"/>
    <xf numFmtId="0" fontId="18" fillId="0" borderId="0" applyNumberFormat="0" applyFont="0" applyAlignment="0">
      <alignment horizontal="center"/>
    </xf>
    <xf numFmtId="0" fontId="19" fillId="0" borderId="0" applyFill="0">
      <alignment vertical="top" wrapText="1"/>
    </xf>
    <xf numFmtId="0" fontId="6" fillId="0" borderId="0" applyFill="0">
      <alignment horizontal="left" vertical="top" wrapText="1"/>
    </xf>
    <xf numFmtId="173" fontId="1" fillId="0" borderId="0" applyFill="0"/>
    <xf numFmtId="0" fontId="18" fillId="0" borderId="0" applyNumberFormat="0" applyFont="0" applyAlignment="0">
      <alignment horizontal="center"/>
    </xf>
    <xf numFmtId="0" fontId="20" fillId="0" borderId="0" applyFill="0">
      <alignment vertical="center" wrapText="1"/>
    </xf>
    <xf numFmtId="0" fontId="3" fillId="0" borderId="0">
      <alignment horizontal="left" vertical="center" wrapText="1"/>
    </xf>
    <xf numFmtId="173" fontId="21" fillId="0" borderId="0" applyFill="0"/>
    <xf numFmtId="0" fontId="18" fillId="0" borderId="0" applyNumberFormat="0" applyFont="0" applyAlignment="0">
      <alignment horizontal="center"/>
    </xf>
    <xf numFmtId="0" fontId="22" fillId="0" borderId="0" applyFill="0">
      <alignment horizontal="center" vertical="center" wrapText="1"/>
    </xf>
    <xf numFmtId="0" fontId="9" fillId="0" borderId="0" applyFill="0">
      <alignment horizontal="center" vertical="center" wrapText="1"/>
    </xf>
    <xf numFmtId="173" fontId="23" fillId="0" borderId="0" applyFill="0"/>
    <xf numFmtId="0" fontId="18"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173" fontId="26" fillId="0" borderId="0" applyFill="0"/>
    <xf numFmtId="0" fontId="18" fillId="0" borderId="0" applyNumberFormat="0" applyFont="0" applyAlignment="0">
      <alignment horizontal="center"/>
    </xf>
    <xf numFmtId="0" fontId="27" fillId="0" borderId="0">
      <alignment horizontal="center" wrapText="1"/>
    </xf>
    <xf numFmtId="0" fontId="23" fillId="0" borderId="0" applyFill="0">
      <alignment horizontal="center" wrapText="1"/>
    </xf>
    <xf numFmtId="43" fontId="2"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14" fontId="1" fillId="0" borderId="0" applyFont="0" applyFill="0" applyBorder="0" applyAlignment="0" applyProtection="0"/>
    <xf numFmtId="2" fontId="1"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28" fillId="0" borderId="3"/>
    <xf numFmtId="0" fontId="29" fillId="0" borderId="0"/>
    <xf numFmtId="0" fontId="57" fillId="0" borderId="0"/>
    <xf numFmtId="9" fontId="2"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3" fontId="1" fillId="0" borderId="0">
      <alignment horizontal="left" vertical="top"/>
    </xf>
    <xf numFmtId="0" fontId="31" fillId="0" borderId="3">
      <alignment horizontal="center"/>
    </xf>
    <xf numFmtId="3" fontId="30" fillId="0" borderId="0" applyFont="0" applyFill="0" applyBorder="0" applyAlignment="0" applyProtection="0"/>
    <xf numFmtId="0" fontId="30" fillId="2" borderId="0" applyNumberFormat="0" applyFont="0" applyBorder="0" applyAlignment="0" applyProtection="0"/>
    <xf numFmtId="3" fontId="1" fillId="0" borderId="0">
      <alignment horizontal="right" vertical="top"/>
    </xf>
    <xf numFmtId="41" fontId="3" fillId="3" borderId="4" applyFill="0"/>
    <xf numFmtId="0" fontId="32" fillId="0" borderId="0">
      <alignment horizontal="left" indent="7"/>
    </xf>
    <xf numFmtId="41" fontId="3" fillId="0" borderId="4" applyFill="0">
      <alignment horizontal="left" indent="2"/>
    </xf>
    <xf numFmtId="173" fontId="33" fillId="0" borderId="5" applyFill="0">
      <alignment horizontal="right"/>
    </xf>
    <xf numFmtId="0" fontId="10" fillId="0" borderId="6" applyNumberFormat="0" applyFont="0" applyBorder="0">
      <alignment horizontal="right"/>
    </xf>
    <xf numFmtId="0" fontId="34" fillId="0" borderId="0" applyFill="0"/>
    <xf numFmtId="0" fontId="6" fillId="0" borderId="0" applyFill="0"/>
    <xf numFmtId="4" fontId="33" fillId="0" borderId="5" applyFill="0"/>
    <xf numFmtId="0" fontId="1" fillId="0" borderId="0" applyNumberFormat="0" applyFont="0" applyBorder="0" applyAlignment="0"/>
    <xf numFmtId="0" fontId="19" fillId="0" borderId="0" applyFill="0">
      <alignment horizontal="left" indent="1"/>
    </xf>
    <xf numFmtId="0" fontId="35" fillId="0" borderId="0" applyFill="0">
      <alignment horizontal="left" indent="1"/>
    </xf>
    <xf numFmtId="4" fontId="21" fillId="0" borderId="0" applyFill="0"/>
    <xf numFmtId="0" fontId="1" fillId="0" borderId="0" applyNumberFormat="0" applyFont="0" applyFill="0" applyBorder="0" applyAlignment="0"/>
    <xf numFmtId="0" fontId="19" fillId="0" borderId="0" applyFill="0">
      <alignment horizontal="left" indent="2"/>
    </xf>
    <xf numFmtId="0" fontId="6" fillId="0" borderId="0" applyFill="0">
      <alignment horizontal="left" indent="2"/>
    </xf>
    <xf numFmtId="4" fontId="21" fillId="0" borderId="0" applyFill="0"/>
    <xf numFmtId="0" fontId="1" fillId="0" borderId="0" applyNumberFormat="0" applyFont="0" applyBorder="0" applyAlignment="0"/>
    <xf numFmtId="0" fontId="36" fillId="0" borderId="0">
      <alignment horizontal="left" indent="3"/>
    </xf>
    <xf numFmtId="0" fontId="7" fillId="0" borderId="0" applyFill="0">
      <alignment horizontal="left" indent="3"/>
    </xf>
    <xf numFmtId="4" fontId="21" fillId="0" borderId="0" applyFill="0"/>
    <xf numFmtId="0" fontId="1" fillId="0" borderId="0" applyNumberFormat="0" applyFont="0" applyBorder="0" applyAlignment="0"/>
    <xf numFmtId="0" fontId="22" fillId="0" borderId="0">
      <alignment horizontal="left" indent="4"/>
    </xf>
    <xf numFmtId="0" fontId="9" fillId="0" borderId="0" applyFill="0">
      <alignment horizontal="left" indent="4"/>
    </xf>
    <xf numFmtId="4" fontId="23" fillId="0" borderId="0" applyFill="0"/>
    <xf numFmtId="0" fontId="1" fillId="0" borderId="0" applyNumberFormat="0" applyFont="0" applyBorder="0" applyAlignment="0"/>
    <xf numFmtId="0" fontId="24" fillId="0" borderId="0">
      <alignment horizontal="left" indent="5"/>
    </xf>
    <xf numFmtId="0" fontId="25" fillId="0" borderId="0" applyFill="0">
      <alignment horizontal="left" indent="5"/>
    </xf>
    <xf numFmtId="4" fontId="26" fillId="0" borderId="0" applyFill="0"/>
    <xf numFmtId="0" fontId="1" fillId="0" borderId="0" applyNumberFormat="0" applyFont="0" applyFill="0" applyBorder="0" applyAlignment="0"/>
    <xf numFmtId="0" fontId="27" fillId="0" borderId="0" applyFill="0">
      <alignment horizontal="left" indent="6"/>
    </xf>
    <xf numFmtId="0" fontId="23" fillId="0" borderId="0" applyFill="0">
      <alignment horizontal="left" indent="6"/>
    </xf>
    <xf numFmtId="0" fontId="1" fillId="0" borderId="0" applyFont="0" applyFill="0" applyBorder="0" applyAlignment="0" applyProtection="0"/>
    <xf numFmtId="173" fontId="2" fillId="0" borderId="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4">
    <xf numFmtId="173" fontId="0" fillId="0" borderId="0" xfId="0" applyAlignment="1"/>
    <xf numFmtId="170" fontId="0" fillId="0" borderId="7" xfId="0" applyNumberFormat="1" applyBorder="1" applyAlignment="1"/>
    <xf numFmtId="173" fontId="0" fillId="0" borderId="7" xfId="0" applyBorder="1" applyAlignment="1"/>
    <xf numFmtId="173" fontId="0" fillId="0" borderId="0" xfId="0" applyBorder="1" applyAlignment="1"/>
    <xf numFmtId="0" fontId="2" fillId="0" borderId="0" xfId="0" applyNumberFormat="1" applyFont="1"/>
    <xf numFmtId="173" fontId="2" fillId="0" borderId="0" xfId="0" applyFont="1" applyAlignment="1"/>
    <xf numFmtId="173" fontId="5" fillId="0" borderId="0" xfId="0" applyFont="1" applyAlignment="1"/>
    <xf numFmtId="0" fontId="5" fillId="0" borderId="0" xfId="0" applyNumberFormat="1" applyFont="1"/>
    <xf numFmtId="3" fontId="2" fillId="0" borderId="0" xfId="0" applyNumberFormat="1" applyFont="1" applyAlignment="1"/>
    <xf numFmtId="0" fontId="2" fillId="0" borderId="0" xfId="0" applyNumberFormat="1" applyFont="1" applyAlignment="1"/>
    <xf numFmtId="0" fontId="8" fillId="0" borderId="0" xfId="0" applyNumberFormat="1" applyFont="1" applyAlignment="1" applyProtection="1">
      <alignment horizontal="center"/>
      <protection locked="0"/>
    </xf>
    <xf numFmtId="0" fontId="8" fillId="0" borderId="0" xfId="0" applyNumberFormat="1" applyFont="1" applyFill="1" applyAlignment="1" applyProtection="1">
      <alignment horizontal="center"/>
      <protection locked="0"/>
    </xf>
    <xf numFmtId="3" fontId="3" fillId="0" borderId="0" xfId="0" applyNumberFormat="1" applyFont="1" applyAlignment="1">
      <alignment horizontal="center"/>
    </xf>
    <xf numFmtId="3" fontId="4" fillId="0" borderId="0" xfId="0" applyNumberFormat="1" applyFont="1" applyAlignment="1">
      <alignment horizontal="left"/>
    </xf>
    <xf numFmtId="0" fontId="4" fillId="0" borderId="0" xfId="0" applyNumberFormat="1" applyFont="1" applyFill="1" applyAlignment="1" applyProtection="1">
      <alignment horizontal="left"/>
      <protection locked="0"/>
    </xf>
    <xf numFmtId="3" fontId="5" fillId="0" borderId="0" xfId="0" applyNumberFormat="1" applyFont="1" applyBorder="1" applyAlignment="1"/>
    <xf numFmtId="173" fontId="11" fillId="0" borderId="0" xfId="0" applyFont="1" applyBorder="1"/>
    <xf numFmtId="173" fontId="5" fillId="0" borderId="0" xfId="0" applyFont="1" applyBorder="1"/>
    <xf numFmtId="173" fontId="5" fillId="0" borderId="0" xfId="0" applyFont="1" applyBorder="1" applyAlignment="1">
      <alignment horizontal="left" wrapText="1"/>
    </xf>
    <xf numFmtId="173" fontId="5" fillId="0" borderId="0" xfId="0" applyFont="1" applyBorder="1" applyAlignment="1"/>
    <xf numFmtId="173" fontId="5" fillId="0" borderId="5" xfId="0" applyFont="1" applyBorder="1" applyAlignment="1"/>
    <xf numFmtId="173" fontId="8" fillId="0" borderId="0" xfId="0" applyFont="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8" xfId="0" applyFont="1" applyBorder="1" applyAlignment="1"/>
    <xf numFmtId="3" fontId="0" fillId="4" borderId="7" xfId="0" applyNumberFormat="1" applyFont="1" applyFill="1" applyBorder="1" applyAlignment="1"/>
    <xf numFmtId="0" fontId="0" fillId="0" borderId="7" xfId="0" applyNumberFormat="1" applyFont="1" applyBorder="1" applyAlignment="1"/>
    <xf numFmtId="3" fontId="0" fillId="4" borderId="9" xfId="0" applyNumberFormat="1" applyFont="1" applyFill="1" applyBorder="1" applyAlignment="1"/>
    <xf numFmtId="170" fontId="0" fillId="0" borderId="9" xfId="0" applyNumberFormat="1" applyFont="1" applyBorder="1" applyAlignment="1"/>
    <xf numFmtId="3" fontId="0" fillId="0" borderId="5" xfId="0" applyNumberFormat="1" applyFont="1" applyBorder="1" applyAlignment="1"/>
    <xf numFmtId="0" fontId="0" fillId="0" borderId="5" xfId="0" applyNumberFormat="1" applyFont="1" applyBorder="1" applyAlignment="1"/>
    <xf numFmtId="173" fontId="0" fillId="0" borderId="10" xfId="0" applyFont="1" applyBorder="1" applyAlignment="1"/>
    <xf numFmtId="173" fontId="0" fillId="0" borderId="5" xfId="0" applyFont="1" applyBorder="1" applyAlignment="1"/>
    <xf numFmtId="173" fontId="0" fillId="0" borderId="8" xfId="0" applyBorder="1" applyAlignment="1"/>
    <xf numFmtId="173" fontId="8" fillId="0" borderId="0" xfId="0" applyFont="1" applyBorder="1" applyAlignment="1"/>
    <xf numFmtId="0" fontId="8" fillId="0" borderId="0" xfId="0" applyNumberFormat="1" applyFont="1" applyAlignment="1" applyProtection="1">
      <protection locked="0"/>
    </xf>
    <xf numFmtId="0" fontId="8" fillId="0" borderId="0" xfId="0" applyNumberFormat="1" applyFont="1" applyAlignment="1"/>
    <xf numFmtId="3" fontId="8" fillId="0" borderId="0" xfId="0" applyNumberFormat="1" applyFont="1" applyAlignment="1"/>
    <xf numFmtId="3" fontId="8" fillId="0" borderId="0" xfId="0" applyNumberFormat="1" applyFont="1" applyBorder="1" applyAlignment="1"/>
    <xf numFmtId="164" fontId="8" fillId="0" borderId="0" xfId="0" applyNumberFormat="1" applyFont="1" applyAlignment="1">
      <alignment horizontal="center"/>
    </xf>
    <xf numFmtId="3" fontId="8" fillId="0" borderId="0" xfId="0" applyNumberFormat="1" applyFont="1" applyFill="1" applyAlignment="1"/>
    <xf numFmtId="3" fontId="8" fillId="0" borderId="0" xfId="0" applyNumberFormat="1" applyFont="1" applyFill="1" applyAlignment="1">
      <alignment horizontal="right"/>
    </xf>
    <xf numFmtId="0" fontId="8" fillId="0" borderId="0" xfId="0" applyNumberFormat="1" applyFont="1" applyFill="1" applyAlignment="1"/>
    <xf numFmtId="173" fontId="8" fillId="0" borderId="0" xfId="0" applyFont="1" applyFill="1" applyAlignment="1"/>
    <xf numFmtId="174" fontId="0" fillId="4" borderId="7" xfId="34" applyNumberFormat="1" applyFont="1" applyFill="1" applyBorder="1" applyAlignment="1"/>
    <xf numFmtId="173" fontId="37" fillId="0" borderId="0" xfId="0" applyFont="1" applyAlignment="1"/>
    <xf numFmtId="0" fontId="8" fillId="0" borderId="0" xfId="0" applyNumberFormat="1" applyFont="1" applyAlignment="1" applyProtection="1">
      <alignment horizontal="left"/>
      <protection locked="0"/>
    </xf>
    <xf numFmtId="0" fontId="8" fillId="0" borderId="0" xfId="0" applyNumberFormat="1" applyFont="1" applyProtection="1">
      <protection locked="0"/>
    </xf>
    <xf numFmtId="0" fontId="8" fillId="0" borderId="0" xfId="0" applyNumberFormat="1" applyFont="1"/>
    <xf numFmtId="0" fontId="8" fillId="0" borderId="0" xfId="0" applyNumberFormat="1" applyFont="1" applyFill="1" applyAlignment="1">
      <alignment horizontal="right"/>
    </xf>
    <xf numFmtId="0" fontId="8" fillId="0" borderId="0" xfId="0" applyNumberFormat="1" applyFont="1" applyFill="1"/>
    <xf numFmtId="0" fontId="8" fillId="4" borderId="0" xfId="0" applyNumberFormat="1" applyFont="1" applyFill="1" applyProtection="1">
      <protection locked="0"/>
    </xf>
    <xf numFmtId="0" fontId="8" fillId="4" borderId="0" xfId="0" applyNumberFormat="1" applyFont="1" applyFill="1"/>
    <xf numFmtId="49" fontId="8" fillId="0" borderId="0" xfId="0" applyNumberFormat="1" applyFont="1"/>
    <xf numFmtId="0" fontId="8" fillId="0" borderId="3" xfId="0" applyNumberFormat="1" applyFont="1" applyBorder="1" applyAlignment="1" applyProtection="1">
      <alignment horizontal="center"/>
      <protection locked="0"/>
    </xf>
    <xf numFmtId="3" fontId="8" fillId="0" borderId="0" xfId="0" applyNumberFormat="1" applyFont="1"/>
    <xf numFmtId="42" fontId="8" fillId="0" borderId="0" xfId="0" applyNumberFormat="1" applyFont="1"/>
    <xf numFmtId="0" fontId="8" fillId="0" borderId="3" xfId="0" applyNumberFormat="1" applyFont="1" applyBorder="1" applyAlignment="1" applyProtection="1">
      <alignment horizontal="centerContinuous"/>
      <protection locked="0"/>
    </xf>
    <xf numFmtId="166" fontId="8" fillId="0" borderId="0" xfId="0" applyNumberFormat="1" applyFont="1" applyAlignment="1"/>
    <xf numFmtId="3" fontId="8" fillId="0" borderId="0" xfId="0" applyNumberFormat="1" applyFont="1" applyFill="1" applyBorder="1"/>
    <xf numFmtId="3" fontId="8" fillId="4" borderId="0" xfId="0" applyNumberFormat="1" applyFont="1" applyFill="1" applyAlignment="1"/>
    <xf numFmtId="3" fontId="8" fillId="0" borderId="3" xfId="0" applyNumberFormat="1" applyFont="1" applyBorder="1" applyAlignment="1"/>
    <xf numFmtId="3" fontId="8" fillId="0" borderId="0" xfId="0" applyNumberFormat="1" applyFont="1" applyAlignment="1">
      <alignment horizontal="fill"/>
    </xf>
    <xf numFmtId="42" fontId="8" fillId="0" borderId="11" xfId="0" applyNumberFormat="1" applyFont="1" applyBorder="1" applyAlignment="1" applyProtection="1">
      <alignment horizontal="right"/>
      <protection locked="0"/>
    </xf>
    <xf numFmtId="0" fontId="8" fillId="0" borderId="0" xfId="0" applyNumberFormat="1" applyFont="1" applyFill="1" applyProtection="1">
      <protection locked="0"/>
    </xf>
    <xf numFmtId="3" fontId="8" fillId="4" borderId="0" xfId="0" applyNumberFormat="1" applyFont="1" applyFill="1"/>
    <xf numFmtId="3" fontId="8" fillId="4" borderId="0" xfId="0" applyNumberFormat="1" applyFont="1" applyFill="1" applyBorder="1"/>
    <xf numFmtId="3" fontId="8" fillId="4" borderId="3" xfId="0" applyNumberFormat="1" applyFont="1" applyFill="1" applyBorder="1"/>
    <xf numFmtId="168" fontId="8" fillId="0" borderId="0" xfId="0" applyNumberFormat="1" applyFont="1"/>
    <xf numFmtId="168" fontId="8" fillId="0" borderId="0" xfId="0" applyNumberFormat="1" applyFont="1" applyAlignment="1">
      <alignment horizontal="center"/>
    </xf>
    <xf numFmtId="173" fontId="8" fillId="0" borderId="0" xfId="0" applyFont="1" applyAlignment="1">
      <alignment horizontal="center"/>
    </xf>
    <xf numFmtId="172" fontId="8" fillId="0" borderId="0" xfId="0" applyNumberFormat="1" applyFont="1" applyAlignment="1"/>
    <xf numFmtId="172" fontId="8" fillId="4" borderId="0" xfId="0" applyNumberFormat="1" applyFont="1" applyFill="1" applyProtection="1">
      <protection locked="0"/>
    </xf>
    <xf numFmtId="172" fontId="8" fillId="0" borderId="0" xfId="0" applyNumberFormat="1" applyFont="1" applyProtection="1">
      <protection locked="0"/>
    </xf>
    <xf numFmtId="172" fontId="8" fillId="0" borderId="0" xfId="0" applyNumberFormat="1" applyFont="1" applyFill="1" applyProtection="1">
      <protection locked="0"/>
    </xf>
    <xf numFmtId="0" fontId="8" fillId="0" borderId="0" xfId="0" applyNumberFormat="1" applyFont="1" applyAlignment="1">
      <alignment horizontal="center"/>
    </xf>
    <xf numFmtId="49" fontId="8" fillId="0" borderId="0" xfId="0" applyNumberFormat="1" applyFont="1" applyAlignment="1">
      <alignment horizontal="left"/>
    </xf>
    <xf numFmtId="49" fontId="8" fillId="0" borderId="0" xfId="0" applyNumberFormat="1" applyFont="1" applyAlignment="1">
      <alignment horizontal="center"/>
    </xf>
    <xf numFmtId="0" fontId="8" fillId="0" borderId="0" xfId="0" applyNumberFormat="1" applyFont="1" applyFill="1" applyAlignment="1">
      <alignment horizontal="center"/>
    </xf>
    <xf numFmtId="3" fontId="38" fillId="0" borderId="0" xfId="0" applyNumberFormat="1" applyFont="1" applyAlignment="1">
      <alignment horizontal="center"/>
    </xf>
    <xf numFmtId="0" fontId="38" fillId="0" borderId="0" xfId="0" applyNumberFormat="1" applyFont="1" applyAlignment="1" applyProtection="1">
      <alignment horizontal="center"/>
      <protection locked="0"/>
    </xf>
    <xf numFmtId="173" fontId="38" fillId="0" borderId="0" xfId="0" applyFont="1" applyAlignment="1">
      <alignment horizontal="center"/>
    </xf>
    <xf numFmtId="3" fontId="38" fillId="0" borderId="0" xfId="0" applyNumberFormat="1" applyFont="1" applyAlignment="1"/>
    <xf numFmtId="0" fontId="38" fillId="0" borderId="0" xfId="0" applyNumberFormat="1" applyFont="1" applyAlignment="1"/>
    <xf numFmtId="165" fontId="8" fillId="0" borderId="0" xfId="0" applyNumberFormat="1" applyFont="1" applyAlignment="1"/>
    <xf numFmtId="3" fontId="8" fillId="4" borderId="3" xfId="0" applyNumberFormat="1" applyFont="1" applyFill="1" applyBorder="1" applyAlignment="1"/>
    <xf numFmtId="164" fontId="8" fillId="0" borderId="0" xfId="0" applyNumberFormat="1" applyFont="1" applyFill="1" applyAlignment="1">
      <alignment horizontal="center"/>
    </xf>
    <xf numFmtId="165" fontId="8" fillId="0" borderId="0" xfId="0" applyNumberFormat="1" applyFont="1" applyFill="1" applyAlignment="1">
      <alignment horizontal="right"/>
    </xf>
    <xf numFmtId="173" fontId="8" fillId="0" borderId="3" xfId="0" applyFont="1" applyBorder="1" applyAlignment="1"/>
    <xf numFmtId="0" fontId="38" fillId="0" borderId="0" xfId="0" applyNumberFormat="1" applyFont="1" applyFill="1" applyAlignment="1" applyProtection="1">
      <alignment horizontal="center"/>
      <protection locked="0"/>
    </xf>
    <xf numFmtId="0" fontId="39" fillId="0" borderId="0" xfId="0" applyNumberFormat="1" applyFont="1" applyAlignment="1">
      <alignment horizontal="center"/>
    </xf>
    <xf numFmtId="3" fontId="39" fillId="0" borderId="0" xfId="0" applyNumberFormat="1" applyFont="1" applyAlignment="1"/>
    <xf numFmtId="0" fontId="38" fillId="0" borderId="0" xfId="0" applyNumberFormat="1" applyFont="1" applyAlignment="1">
      <alignment horizontal="center"/>
    </xf>
    <xf numFmtId="3" fontId="40" fillId="0" borderId="0" xfId="0" applyNumberFormat="1" applyFont="1" applyAlignment="1"/>
    <xf numFmtId="171" fontId="8" fillId="0" borderId="0" xfId="0" applyNumberFormat="1" applyFont="1" applyFill="1" applyAlignment="1">
      <alignment horizontal="left"/>
    </xf>
    <xf numFmtId="165" fontId="8" fillId="0" borderId="0" xfId="0" applyNumberFormat="1" applyFont="1" applyFill="1" applyAlignment="1"/>
    <xf numFmtId="166" fontId="8" fillId="0" borderId="0" xfId="0" applyNumberFormat="1" applyFont="1" applyFill="1" applyAlignment="1">
      <alignment horizontal="right"/>
    </xf>
    <xf numFmtId="166" fontId="8" fillId="0" borderId="0" xfId="0" applyNumberFormat="1" applyFont="1" applyAlignment="1">
      <alignment horizontal="center"/>
    </xf>
    <xf numFmtId="164" fontId="8" fillId="0" borderId="0" xfId="0" applyNumberFormat="1" applyFont="1" applyAlignment="1">
      <alignment horizontal="left"/>
    </xf>
    <xf numFmtId="10" fontId="8" fillId="0" borderId="0" xfId="0" applyNumberFormat="1" applyFont="1" applyFill="1" applyAlignment="1">
      <alignment horizontal="right"/>
    </xf>
    <xf numFmtId="169" fontId="8" fillId="0" borderId="0" xfId="0" applyNumberFormat="1" applyFont="1" applyFill="1" applyAlignment="1">
      <alignment horizontal="right"/>
    </xf>
    <xf numFmtId="10" fontId="8" fillId="0" borderId="0" xfId="0" applyNumberFormat="1" applyFont="1" applyAlignment="1">
      <alignment horizontal="left"/>
    </xf>
    <xf numFmtId="3" fontId="8" fillId="0" borderId="0" xfId="0" applyNumberFormat="1" applyFont="1" applyFill="1" applyAlignment="1">
      <alignment horizontal="left"/>
    </xf>
    <xf numFmtId="164" fontId="8" fillId="0" borderId="0" xfId="0" applyNumberFormat="1" applyFont="1" applyAlignment="1" applyProtection="1">
      <alignment horizontal="left"/>
      <protection locked="0"/>
    </xf>
    <xf numFmtId="167" fontId="8" fillId="0" borderId="0" xfId="0" applyNumberFormat="1" applyFont="1" applyAlignment="1"/>
    <xf numFmtId="0" fontId="8" fillId="0" borderId="0" xfId="0" applyNumberFormat="1" applyFont="1" applyFill="1" applyAlignment="1" applyProtection="1">
      <protection locked="0"/>
    </xf>
    <xf numFmtId="0" fontId="8" fillId="0" borderId="3" xfId="0" applyNumberFormat="1" applyFont="1" applyFill="1" applyBorder="1" applyProtection="1">
      <protection locked="0"/>
    </xf>
    <xf numFmtId="0" fontId="8" fillId="0" borderId="3" xfId="0" applyNumberFormat="1" applyFont="1" applyFill="1" applyBorder="1"/>
    <xf numFmtId="3" fontId="8" fillId="0" borderId="3" xfId="0" applyNumberFormat="1" applyFont="1" applyFill="1" applyBorder="1" applyAlignment="1"/>
    <xf numFmtId="3" fontId="8" fillId="0" borderId="0" xfId="0" applyNumberFormat="1" applyFont="1" applyFill="1" applyAlignment="1">
      <alignment horizontal="center"/>
    </xf>
    <xf numFmtId="49" fontId="8" fillId="0" borderId="0" xfId="0" applyNumberFormat="1" applyFont="1" applyFill="1"/>
    <xf numFmtId="49" fontId="8" fillId="0" borderId="0" xfId="0" applyNumberFormat="1" applyFont="1" applyFill="1" applyAlignment="1"/>
    <xf numFmtId="49" fontId="8" fillId="0" borderId="0" xfId="0" applyNumberFormat="1" applyFont="1" applyFill="1" applyAlignment="1">
      <alignment horizontal="center"/>
    </xf>
    <xf numFmtId="165" fontId="8" fillId="0" borderId="0" xfId="0" applyNumberFormat="1" applyFont="1" applyFill="1"/>
    <xf numFmtId="166" fontId="8" fillId="0" borderId="0" xfId="0" applyNumberFormat="1" applyFont="1" applyFill="1"/>
    <xf numFmtId="3" fontId="8" fillId="0" borderId="0" xfId="0" applyNumberFormat="1" applyFont="1" applyAlignment="1">
      <alignment horizontal="center"/>
    </xf>
    <xf numFmtId="3" fontId="8" fillId="0" borderId="3" xfId="0" applyNumberFormat="1" applyFont="1" applyBorder="1" applyAlignment="1">
      <alignment horizontal="center"/>
    </xf>
    <xf numFmtId="4" fontId="8" fillId="0" borderId="0" xfId="0" applyNumberFormat="1" applyFont="1" applyAlignment="1"/>
    <xf numFmtId="3" fontId="8" fillId="0" borderId="0" xfId="0" applyNumberFormat="1" applyFont="1" applyBorder="1" applyAlignment="1">
      <alignment horizontal="center"/>
    </xf>
    <xf numFmtId="166" fontId="8" fillId="0" borderId="0" xfId="0" applyNumberFormat="1" applyFont="1" applyAlignment="1" applyProtection="1">
      <alignment horizontal="center"/>
      <protection locked="0"/>
    </xf>
    <xf numFmtId="166" fontId="8" fillId="0" borderId="0" xfId="0" applyNumberFormat="1" applyFont="1" applyFill="1" applyAlignment="1"/>
    <xf numFmtId="0" fontId="8" fillId="0" borderId="3" xfId="0" applyNumberFormat="1" applyFont="1" applyBorder="1" applyAlignment="1"/>
    <xf numFmtId="170" fontId="8" fillId="4" borderId="0" xfId="0" applyNumberFormat="1" applyFont="1" applyFill="1" applyAlignment="1"/>
    <xf numFmtId="42" fontId="8" fillId="4" borderId="0" xfId="0" applyNumberFormat="1" applyFont="1" applyFill="1" applyAlignment="1"/>
    <xf numFmtId="3" fontId="8" fillId="0" borderId="0" xfId="0" applyNumberFormat="1" applyFont="1" applyFill="1" applyAlignment="1" applyProtection="1">
      <protection locked="0"/>
    </xf>
    <xf numFmtId="9" fontId="8" fillId="0" borderId="0" xfId="0" applyNumberFormat="1" applyFont="1" applyAlignment="1"/>
    <xf numFmtId="169" fontId="8" fillId="0" borderId="0" xfId="0" applyNumberFormat="1" applyFont="1" applyAlignment="1"/>
    <xf numFmtId="3" fontId="8" fillId="0" borderId="0" xfId="0" quotePrefix="1" applyNumberFormat="1" applyFont="1" applyAlignment="1"/>
    <xf numFmtId="169" fontId="8" fillId="4" borderId="0" xfId="0" applyNumberFormat="1" applyFont="1" applyFill="1" applyAlignment="1"/>
    <xf numFmtId="169" fontId="8" fillId="0" borderId="3" xfId="0" applyNumberFormat="1" applyFont="1" applyBorder="1" applyAlignment="1"/>
    <xf numFmtId="0" fontId="8" fillId="0" borderId="0" xfId="0" applyNumberFormat="1" applyFont="1" applyBorder="1" applyAlignment="1" applyProtection="1">
      <alignment horizontal="center"/>
      <protection locked="0"/>
    </xf>
    <xf numFmtId="0" fontId="41" fillId="0" borderId="0" xfId="0" applyNumberFormat="1" applyFont="1" applyProtection="1">
      <protection locked="0"/>
    </xf>
    <xf numFmtId="173" fontId="41" fillId="0" borderId="0" xfId="0" applyFont="1" applyAlignment="1"/>
    <xf numFmtId="173" fontId="8" fillId="0" borderId="0" xfId="0" applyFont="1" applyFill="1" applyAlignment="1" applyProtection="1"/>
    <xf numFmtId="38" fontId="8" fillId="4" borderId="0" xfId="0" applyNumberFormat="1" applyFont="1" applyFill="1" applyBorder="1" applyProtection="1">
      <protection locked="0"/>
    </xf>
    <xf numFmtId="38" fontId="8" fillId="0" borderId="0" xfId="0" applyNumberFormat="1" applyFont="1" applyAlignment="1" applyProtection="1"/>
    <xf numFmtId="0" fontId="8" fillId="0" borderId="3" xfId="0" applyNumberFormat="1" applyFont="1" applyBorder="1"/>
    <xf numFmtId="0" fontId="8" fillId="0" borderId="3" xfId="0" applyNumberFormat="1" applyFont="1" applyBorder="1" applyProtection="1">
      <protection locked="0"/>
    </xf>
    <xf numFmtId="38" fontId="8" fillId="4" borderId="3" xfId="0" applyNumberFormat="1" applyFont="1" applyFill="1" applyBorder="1" applyProtection="1">
      <protection locked="0"/>
    </xf>
    <xf numFmtId="38" fontId="8" fillId="0" borderId="0" xfId="0" applyNumberFormat="1" applyFont="1" applyAlignment="1"/>
    <xf numFmtId="38" fontId="8" fillId="0" borderId="0" xfId="0" applyNumberFormat="1" applyFont="1" applyFill="1" applyBorder="1" applyProtection="1"/>
    <xf numFmtId="170" fontId="8" fillId="0" borderId="0" xfId="0" applyNumberFormat="1" applyFont="1" applyFill="1" applyBorder="1" applyProtection="1"/>
    <xf numFmtId="1" fontId="8" fillId="0" borderId="0" xfId="0" applyNumberFormat="1" applyFont="1" applyFill="1" applyProtection="1"/>
    <xf numFmtId="168" fontId="8" fillId="0" borderId="0" xfId="0" applyNumberFormat="1" applyFont="1" applyProtection="1">
      <protection locked="0"/>
    </xf>
    <xf numFmtId="170" fontId="8" fillId="4" borderId="0" xfId="0" applyNumberFormat="1" applyFont="1" applyFill="1" applyBorder="1" applyProtection="1"/>
    <xf numFmtId="1" fontId="8" fillId="0" borderId="0" xfId="0" applyNumberFormat="1" applyFont="1" applyFill="1" applyAlignment="1" applyProtection="1"/>
    <xf numFmtId="170" fontId="8" fillId="4" borderId="0" xfId="0" applyNumberFormat="1" applyFont="1" applyFill="1" applyBorder="1" applyAlignment="1" applyProtection="1">
      <protection locked="0"/>
    </xf>
    <xf numFmtId="3" fontId="8" fillId="0" borderId="0" xfId="0" applyNumberFormat="1" applyFont="1" applyAlignment="1" applyProtection="1"/>
    <xf numFmtId="3" fontId="8" fillId="0" borderId="0" xfId="0" applyNumberFormat="1" applyFont="1" applyFill="1" applyAlignment="1" applyProtection="1">
      <alignment horizontal="right"/>
      <protection locked="0"/>
    </xf>
    <xf numFmtId="173" fontId="8" fillId="0" borderId="0" xfId="0" applyNumberFormat="1" applyFont="1" applyAlignment="1" applyProtection="1">
      <protection locked="0"/>
    </xf>
    <xf numFmtId="170" fontId="8" fillId="0" borderId="0" xfId="0" applyNumberFormat="1" applyFont="1" applyFill="1" applyBorder="1" applyAlignment="1" applyProtection="1"/>
    <xf numFmtId="3" fontId="8" fillId="0" borderId="0" xfId="0" applyNumberFormat="1" applyFont="1" applyFill="1" applyAlignment="1" applyProtection="1"/>
    <xf numFmtId="170" fontId="8" fillId="0" borderId="0" xfId="0" applyNumberFormat="1" applyFont="1" applyProtection="1">
      <protection locked="0"/>
    </xf>
    <xf numFmtId="10" fontId="8" fillId="4" borderId="0" xfId="0" applyNumberFormat="1" applyFont="1" applyFill="1" applyProtection="1">
      <protection locked="0"/>
    </xf>
    <xf numFmtId="0" fontId="42" fillId="0" borderId="0" xfId="0" applyNumberFormat="1" applyFont="1" applyFill="1" applyProtection="1">
      <protection locked="0"/>
    </xf>
    <xf numFmtId="10" fontId="8" fillId="0" borderId="0" xfId="0" applyNumberFormat="1" applyFont="1" applyFill="1"/>
    <xf numFmtId="173" fontId="8" fillId="0" borderId="0" xfId="0" applyFont="1" applyFill="1" applyAlignment="1">
      <alignment horizontal="center"/>
    </xf>
    <xf numFmtId="49" fontId="38" fillId="4" borderId="0" xfId="0" applyNumberFormat="1" applyFont="1" applyFill="1"/>
    <xf numFmtId="3" fontId="38" fillId="4" borderId="0" xfId="0" applyNumberFormat="1" applyFont="1" applyFill="1" applyAlignment="1"/>
    <xf numFmtId="173" fontId="38" fillId="4" borderId="0" xfId="0" applyFont="1" applyFill="1" applyAlignment="1"/>
    <xf numFmtId="37" fontId="8" fillId="0" borderId="3" xfId="0" applyNumberFormat="1" applyFont="1" applyBorder="1" applyAlignment="1"/>
    <xf numFmtId="37" fontId="8" fillId="0" borderId="0" xfId="0" applyNumberFormat="1" applyFont="1" applyFill="1" applyAlignment="1"/>
    <xf numFmtId="3" fontId="8" fillId="0" borderId="11" xfId="0" applyNumberFormat="1" applyFont="1" applyFill="1" applyBorder="1" applyAlignment="1"/>
    <xf numFmtId="0" fontId="8" fillId="0" borderId="0" xfId="0" applyNumberFormat="1" applyFont="1" applyFill="1" applyAlignment="1">
      <alignment horizontal="left"/>
    </xf>
    <xf numFmtId="173" fontId="44" fillId="0" borderId="0" xfId="0" applyFont="1" applyAlignment="1"/>
    <xf numFmtId="0" fontId="8" fillId="0" borderId="0" xfId="0" applyNumberFormat="1" applyFont="1" applyBorder="1" applyAlignment="1" applyProtection="1">
      <protection locked="0"/>
    </xf>
    <xf numFmtId="0" fontId="8" fillId="0" borderId="0" xfId="0" applyNumberFormat="1" applyFont="1" applyBorder="1" applyProtection="1">
      <protection locked="0"/>
    </xf>
    <xf numFmtId="3" fontId="41" fillId="0" borderId="0" xfId="0" applyNumberFormat="1" applyFont="1" applyFill="1" applyAlignment="1" applyProtection="1">
      <alignment horizontal="right"/>
      <protection locked="0"/>
    </xf>
    <xf numFmtId="3" fontId="45" fillId="0" borderId="0" xfId="0" applyNumberFormat="1" applyFont="1" applyAlignment="1">
      <alignment horizontal="left"/>
    </xf>
    <xf numFmtId="173" fontId="41" fillId="0" borderId="0" xfId="0" applyFont="1" applyBorder="1" applyAlignment="1"/>
    <xf numFmtId="0" fontId="44" fillId="0" borderId="0" xfId="0" applyNumberFormat="1" applyFont="1" applyFill="1"/>
    <xf numFmtId="0" fontId="43" fillId="0" borderId="0" xfId="0" applyNumberFormat="1" applyFont="1" applyFill="1"/>
    <xf numFmtId="0" fontId="8" fillId="0" borderId="5" xfId="0" applyNumberFormat="1" applyFont="1" applyFill="1" applyBorder="1"/>
    <xf numFmtId="0" fontId="8" fillId="0" borderId="0" xfId="0" applyNumberFormat="1" applyFont="1" applyFill="1" applyBorder="1"/>
    <xf numFmtId="173" fontId="41" fillId="0" borderId="0" xfId="0" applyFont="1" applyFill="1" applyAlignment="1"/>
    <xf numFmtId="3" fontId="43" fillId="0" borderId="0" xfId="0" applyNumberFormat="1" applyFont="1" applyFill="1" applyAlignment="1"/>
    <xf numFmtId="0" fontId="43" fillId="0" borderId="0" xfId="0" applyNumberFormat="1" applyFont="1" applyFill="1" applyAlignment="1" applyProtection="1">
      <alignment horizontal="center"/>
      <protection locked="0"/>
    </xf>
    <xf numFmtId="173" fontId="43" fillId="0" borderId="0" xfId="0" applyFont="1" applyFill="1" applyAlignment="1"/>
    <xf numFmtId="173" fontId="8" fillId="0" borderId="0" xfId="0" quotePrefix="1" applyFont="1" applyFill="1" applyAlignment="1"/>
    <xf numFmtId="164" fontId="43" fillId="0" borderId="0" xfId="0" applyNumberFormat="1" applyFont="1" applyFill="1" applyAlignment="1">
      <alignment horizontal="center"/>
    </xf>
    <xf numFmtId="37" fontId="8" fillId="0" borderId="0" xfId="0" applyNumberFormat="1" applyFont="1" applyFill="1" applyBorder="1" applyAlignment="1"/>
    <xf numFmtId="37" fontId="8" fillId="0" borderId="3" xfId="0" applyNumberFormat="1" applyFont="1" applyFill="1" applyBorder="1" applyAlignment="1"/>
    <xf numFmtId="173" fontId="8" fillId="0" borderId="3" xfId="0" applyFont="1" applyFill="1" applyBorder="1" applyAlignment="1"/>
    <xf numFmtId="0" fontId="8" fillId="0" borderId="5" xfId="0" applyNumberFormat="1" applyFont="1" applyBorder="1" applyAlignment="1" applyProtection="1">
      <protection locked="0"/>
    </xf>
    <xf numFmtId="0" fontId="8" fillId="0" borderId="5" xfId="0" applyNumberFormat="1" applyFont="1" applyBorder="1" applyProtection="1">
      <protection locked="0"/>
    </xf>
    <xf numFmtId="170" fontId="8" fillId="4" borderId="3" xfId="0" applyNumberFormat="1" applyFont="1" applyFill="1" applyBorder="1" applyAlignment="1" applyProtection="1">
      <protection locked="0"/>
    </xf>
    <xf numFmtId="37" fontId="8" fillId="4" borderId="0" xfId="0" applyNumberFormat="1" applyFont="1" applyFill="1" applyAlignment="1"/>
    <xf numFmtId="37" fontId="8" fillId="4" borderId="0" xfId="0" applyNumberFormat="1" applyFont="1" applyFill="1" applyBorder="1" applyAlignment="1"/>
    <xf numFmtId="37" fontId="8" fillId="4" borderId="3" xfId="0" applyNumberFormat="1" applyFont="1" applyFill="1" applyBorder="1" applyAlignment="1"/>
    <xf numFmtId="3" fontId="8" fillId="4" borderId="5" xfId="0" applyNumberFormat="1" applyFont="1" applyFill="1" applyBorder="1" applyAlignment="1"/>
    <xf numFmtId="3" fontId="8" fillId="0" borderId="12" xfId="0" applyNumberFormat="1" applyFont="1" applyBorder="1" applyAlignment="1"/>
    <xf numFmtId="3" fontId="8" fillId="4" borderId="0" xfId="0" applyNumberFormat="1" applyFont="1" applyFill="1" applyBorder="1" applyAlignment="1"/>
    <xf numFmtId="173" fontId="46" fillId="0" borderId="0" xfId="0" applyNumberFormat="1" applyFont="1" applyFill="1" applyAlignment="1"/>
    <xf numFmtId="173" fontId="47" fillId="0" borderId="0" xfId="0" applyNumberFormat="1" applyFont="1" applyFill="1" applyAlignment="1"/>
    <xf numFmtId="173" fontId="47" fillId="0" borderId="0" xfId="0" applyNumberFormat="1" applyFont="1" applyFill="1" applyBorder="1" applyAlignment="1"/>
    <xf numFmtId="174" fontId="47" fillId="0" borderId="2" xfId="34" applyNumberFormat="1" applyFont="1" applyFill="1" applyBorder="1" applyAlignment="1"/>
    <xf numFmtId="174" fontId="47" fillId="0" borderId="0" xfId="34" applyNumberFormat="1" applyFont="1" applyFill="1" applyAlignment="1"/>
    <xf numFmtId="0" fontId="47" fillId="0" borderId="0" xfId="0" applyNumberFormat="1" applyFont="1" applyFill="1"/>
    <xf numFmtId="177" fontId="47" fillId="0" borderId="0" xfId="32" applyNumberFormat="1" applyFont="1" applyFill="1" applyBorder="1" applyAlignment="1"/>
    <xf numFmtId="177" fontId="47" fillId="0" borderId="0" xfId="32" applyNumberFormat="1" applyFont="1" applyFill="1" applyAlignment="1"/>
    <xf numFmtId="170" fontId="47" fillId="0" borderId="0" xfId="0" applyNumberFormat="1" applyFont="1" applyFill="1" applyAlignment="1"/>
    <xf numFmtId="177" fontId="47" fillId="0" borderId="5" xfId="32" applyNumberFormat="1" applyFont="1" applyFill="1" applyBorder="1" applyAlignment="1"/>
    <xf numFmtId="173" fontId="47" fillId="0" borderId="0" xfId="0" quotePrefix="1" applyNumberFormat="1" applyFont="1" applyFill="1" applyAlignment="1"/>
    <xf numFmtId="170" fontId="47" fillId="0" borderId="0" xfId="0" applyNumberFormat="1" applyFont="1" applyFill="1" applyBorder="1" applyAlignment="1"/>
    <xf numFmtId="173" fontId="47" fillId="0" borderId="0" xfId="0" applyFont="1" applyAlignment="1"/>
    <xf numFmtId="173" fontId="47" fillId="0" borderId="0" xfId="0" applyFont="1" applyFill="1" applyAlignment="1"/>
    <xf numFmtId="173" fontId="50" fillId="0" borderId="0" xfId="0" applyFont="1" applyAlignment="1"/>
    <xf numFmtId="178" fontId="47" fillId="0" borderId="0" xfId="32" applyNumberFormat="1" applyFont="1" applyFill="1" applyAlignment="1"/>
    <xf numFmtId="173" fontId="47" fillId="0" borderId="5" xfId="0" applyFont="1" applyFill="1" applyBorder="1" applyAlignment="1"/>
    <xf numFmtId="173" fontId="47" fillId="0" borderId="0" xfId="0" applyFont="1" applyFill="1" applyAlignment="1">
      <alignment wrapText="1"/>
    </xf>
    <xf numFmtId="173" fontId="50" fillId="0" borderId="0" xfId="0" applyFont="1" applyFill="1" applyAlignment="1"/>
    <xf numFmtId="173" fontId="49" fillId="0" borderId="0" xfId="0" applyFont="1" applyAlignment="1"/>
    <xf numFmtId="170" fontId="47" fillId="0" borderId="0" xfId="0" applyNumberFormat="1" applyFont="1" applyAlignment="1"/>
    <xf numFmtId="177" fontId="47" fillId="0" borderId="0" xfId="32" applyNumberFormat="1" applyFont="1" applyAlignment="1"/>
    <xf numFmtId="0" fontId="50" fillId="0" borderId="0" xfId="0" applyNumberFormat="1" applyFont="1" applyFill="1" applyAlignment="1"/>
    <xf numFmtId="0" fontId="47" fillId="0" borderId="5" xfId="0" applyNumberFormat="1" applyFont="1" applyFill="1" applyBorder="1" applyAlignment="1">
      <alignment horizontal="left"/>
    </xf>
    <xf numFmtId="170" fontId="47" fillId="0" borderId="2" xfId="0" applyNumberFormat="1" applyFont="1" applyFill="1" applyBorder="1" applyAlignment="1"/>
    <xf numFmtId="0" fontId="47" fillId="0" borderId="0" xfId="0" applyNumberFormat="1" applyFont="1" applyAlignment="1"/>
    <xf numFmtId="0" fontId="50" fillId="0" borderId="0" xfId="0" applyNumberFormat="1" applyFont="1" applyAlignment="1"/>
    <xf numFmtId="3" fontId="47" fillId="0" borderId="0" xfId="0" applyNumberFormat="1" applyFont="1" applyAlignment="1">
      <alignment horizontal="right"/>
    </xf>
    <xf numFmtId="173" fontId="47" fillId="0" borderId="0" xfId="0" applyNumberFormat="1" applyFont="1" applyAlignment="1"/>
    <xf numFmtId="3" fontId="47" fillId="0" borderId="0" xfId="0" applyNumberFormat="1" applyFont="1" applyAlignment="1"/>
    <xf numFmtId="173" fontId="47" fillId="0" borderId="0" xfId="0" quotePrefix="1" applyNumberFormat="1" applyFont="1" applyAlignment="1"/>
    <xf numFmtId="3" fontId="47" fillId="0" borderId="0" xfId="0" applyNumberFormat="1" applyFont="1" applyBorder="1" applyAlignment="1"/>
    <xf numFmtId="0" fontId="47" fillId="0" borderId="5" xfId="0" applyNumberFormat="1" applyFont="1" applyBorder="1" applyAlignment="1"/>
    <xf numFmtId="0" fontId="47" fillId="0" borderId="0" xfId="0" applyNumberFormat="1" applyFont="1"/>
    <xf numFmtId="0" fontId="47" fillId="0" borderId="5" xfId="0" applyNumberFormat="1" applyFont="1" applyBorder="1"/>
    <xf numFmtId="0" fontId="47" fillId="0" borderId="0" xfId="0" applyNumberFormat="1" applyFont="1" applyBorder="1" applyAlignment="1">
      <alignment horizontal="right"/>
    </xf>
    <xf numFmtId="177" fontId="47" fillId="0" borderId="0" xfId="32" applyNumberFormat="1" applyFont="1" applyFill="1"/>
    <xf numFmtId="0" fontId="47" fillId="0" borderId="0" xfId="0" applyNumberFormat="1" applyFont="1" applyAlignment="1">
      <alignment horizontal="right"/>
    </xf>
    <xf numFmtId="10" fontId="47" fillId="0" borderId="0" xfId="43" applyNumberFormat="1" applyFont="1" applyFill="1"/>
    <xf numFmtId="43" fontId="47" fillId="0" borderId="0" xfId="0" applyNumberFormat="1" applyFont="1" applyFill="1"/>
    <xf numFmtId="177" fontId="47" fillId="0" borderId="5" xfId="32" applyNumberFormat="1" applyFont="1" applyFill="1" applyBorder="1"/>
    <xf numFmtId="174" fontId="47" fillId="0" borderId="12" xfId="0" applyNumberFormat="1" applyFont="1" applyFill="1" applyBorder="1"/>
    <xf numFmtId="174" fontId="47" fillId="0" borderId="0" xfId="0" applyNumberFormat="1" applyFont="1" applyFill="1"/>
    <xf numFmtId="10" fontId="47" fillId="0" borderId="0" xfId="0" applyNumberFormat="1" applyFont="1" applyFill="1"/>
    <xf numFmtId="10" fontId="47" fillId="0" borderId="0" xfId="43" applyNumberFormat="1" applyFont="1"/>
    <xf numFmtId="43" fontId="47" fillId="0" borderId="0" xfId="32" applyFont="1" applyFill="1"/>
    <xf numFmtId="9" fontId="47" fillId="0" borderId="0" xfId="43" applyFont="1" applyFill="1"/>
    <xf numFmtId="9" fontId="47" fillId="0" borderId="0" xfId="0" applyNumberFormat="1" applyFont="1"/>
    <xf numFmtId="174" fontId="47" fillId="0" borderId="5" xfId="0" applyNumberFormat="1" applyFont="1" applyFill="1" applyBorder="1"/>
    <xf numFmtId="10" fontId="47" fillId="0" borderId="5" xfId="43" applyNumberFormat="1" applyFont="1" applyFill="1" applyBorder="1"/>
    <xf numFmtId="10" fontId="47" fillId="0" borderId="5" xfId="43" applyNumberFormat="1" applyFont="1" applyBorder="1"/>
    <xf numFmtId="10" fontId="47" fillId="0" borderId="0" xfId="0" applyNumberFormat="1" applyFont="1"/>
    <xf numFmtId="179" fontId="47" fillId="0" borderId="0" xfId="43" applyNumberFormat="1" applyFont="1"/>
    <xf numFmtId="0" fontId="47" fillId="0" borderId="0" xfId="0" quotePrefix="1" applyNumberFormat="1" applyFont="1"/>
    <xf numFmtId="173" fontId="48" fillId="0" borderId="0" xfId="0" applyFont="1" applyAlignment="1"/>
    <xf numFmtId="173" fontId="52" fillId="0" borderId="0" xfId="0" quotePrefix="1" applyFont="1" applyAlignment="1"/>
    <xf numFmtId="177" fontId="47" fillId="0" borderId="11" xfId="0" applyNumberFormat="1" applyFont="1" applyFill="1" applyBorder="1"/>
    <xf numFmtId="173" fontId="53" fillId="0" borderId="0" xfId="0" applyFont="1" applyAlignment="1"/>
    <xf numFmtId="173" fontId="54" fillId="0" borderId="0" xfId="0" applyFont="1" applyAlignment="1"/>
    <xf numFmtId="173" fontId="0" fillId="0" borderId="0" xfId="0" applyFill="1" applyAlignment="1"/>
    <xf numFmtId="173" fontId="55" fillId="0" borderId="0" xfId="0" applyFont="1" applyFill="1" applyAlignment="1"/>
    <xf numFmtId="173" fontId="47" fillId="0" borderId="0" xfId="0" applyFont="1" applyFill="1" applyAlignment="1">
      <alignment horizontal="right"/>
    </xf>
    <xf numFmtId="177" fontId="47" fillId="0" borderId="11" xfId="32" applyNumberFormat="1" applyFont="1" applyFill="1" applyBorder="1" applyAlignment="1"/>
    <xf numFmtId="173" fontId="56" fillId="0" borderId="0" xfId="0" applyFont="1" applyFill="1" applyAlignment="1"/>
    <xf numFmtId="0" fontId="57" fillId="0" borderId="0" xfId="42" applyFill="1"/>
    <xf numFmtId="0" fontId="10" fillId="0" borderId="0" xfId="42" applyFont="1" applyFill="1" applyAlignment="1">
      <alignment horizontal="center"/>
    </xf>
    <xf numFmtId="14" fontId="10" fillId="0" borderId="0" xfId="42" applyNumberFormat="1" applyFont="1" applyFill="1" applyAlignment="1">
      <alignment horizontal="center"/>
    </xf>
    <xf numFmtId="14" fontId="57" fillId="0" borderId="0" xfId="42" applyNumberFormat="1" applyFill="1"/>
    <xf numFmtId="0" fontId="58" fillId="0" borderId="0" xfId="42" applyFont="1" applyFill="1" applyAlignment="1">
      <alignment horizontal="center"/>
    </xf>
    <xf numFmtId="37" fontId="57" fillId="0" borderId="0" xfId="42" applyNumberFormat="1" applyFill="1"/>
    <xf numFmtId="39" fontId="57" fillId="0" borderId="0" xfId="42" applyNumberFormat="1" applyFill="1" applyProtection="1"/>
    <xf numFmtId="164" fontId="57" fillId="0" borderId="0" xfId="42" applyNumberFormat="1" applyFill="1"/>
    <xf numFmtId="177" fontId="57" fillId="0" borderId="0" xfId="32" applyNumberFormat="1" applyFont="1" applyFill="1"/>
    <xf numFmtId="176" fontId="57" fillId="0" borderId="0" xfId="42" applyNumberFormat="1" applyFill="1"/>
    <xf numFmtId="179" fontId="57" fillId="0" borderId="0" xfId="42" applyNumberFormat="1" applyFill="1" applyProtection="1"/>
    <xf numFmtId="37" fontId="10" fillId="0" borderId="0" xfId="42" applyNumberFormat="1" applyFont="1" applyFill="1"/>
    <xf numFmtId="0" fontId="10" fillId="0" borderId="0" xfId="42" applyFont="1" applyFill="1"/>
    <xf numFmtId="39" fontId="57" fillId="0" borderId="0" xfId="42" applyNumberFormat="1" applyFill="1"/>
    <xf numFmtId="164" fontId="57" fillId="0" borderId="0" xfId="43" applyNumberFormat="1" applyFont="1" applyFill="1"/>
    <xf numFmtId="173" fontId="59" fillId="0" borderId="0" xfId="0" applyFont="1" applyAlignment="1"/>
    <xf numFmtId="177" fontId="8" fillId="0" borderId="0" xfId="32" applyNumberFormat="1" applyFont="1" applyFill="1"/>
    <xf numFmtId="173" fontId="8" fillId="0" borderId="0" xfId="84" applyFont="1" applyAlignment="1">
      <alignment horizontal="center"/>
    </xf>
    <xf numFmtId="0" fontId="8" fillId="0" borderId="0" xfId="84" applyNumberFormat="1" applyFont="1" applyFill="1"/>
    <xf numFmtId="173" fontId="8" fillId="0" borderId="0" xfId="84" applyFont="1" applyAlignment="1"/>
    <xf numFmtId="0" fontId="8" fillId="0" borderId="0" xfId="84" applyNumberFormat="1" applyFont="1"/>
    <xf numFmtId="42" fontId="0" fillId="4" borderId="7" xfId="0" applyNumberFormat="1" applyFont="1" applyFill="1" applyBorder="1" applyAlignment="1"/>
    <xf numFmtId="41" fontId="0" fillId="4" borderId="9" xfId="0" applyNumberFormat="1" applyFill="1" applyBorder="1" applyAlignment="1"/>
    <xf numFmtId="10" fontId="47" fillId="0" borderId="0" xfId="43" applyNumberFormat="1" applyFont="1" applyAlignment="1"/>
    <xf numFmtId="43" fontId="2" fillId="0" borderId="0" xfId="32" applyFont="1"/>
    <xf numFmtId="0" fontId="0" fillId="0" borderId="0" xfId="0" applyNumberFormat="1"/>
    <xf numFmtId="173" fontId="0" fillId="0" borderId="0" xfId="0" applyFill="1" applyBorder="1" applyAlignment="1"/>
    <xf numFmtId="0" fontId="1" fillId="0" borderId="0" xfId="85" applyBorder="1"/>
    <xf numFmtId="0" fontId="1" fillId="0" borderId="3" xfId="85" applyBorder="1"/>
    <xf numFmtId="174" fontId="1" fillId="0" borderId="3" xfId="85" applyNumberFormat="1" applyBorder="1"/>
    <xf numFmtId="0" fontId="1" fillId="0" borderId="0" xfId="85"/>
    <xf numFmtId="0" fontId="60" fillId="0" borderId="16" xfId="85" applyFont="1" applyBorder="1" applyAlignment="1">
      <alignment horizontal="left"/>
    </xf>
    <xf numFmtId="0" fontId="1" fillId="0" borderId="17" xfId="85" applyBorder="1" applyAlignment="1"/>
    <xf numFmtId="0" fontId="1" fillId="0" borderId="18" xfId="85" applyBorder="1" applyAlignment="1"/>
    <xf numFmtId="0" fontId="60" fillId="0" borderId="19" xfId="85" applyFont="1" applyBorder="1" applyAlignment="1">
      <alignment horizontal="left"/>
    </xf>
    <xf numFmtId="0" fontId="1" fillId="0" borderId="0" xfId="85" applyBorder="1" applyAlignment="1"/>
    <xf numFmtId="0" fontId="1" fillId="0" borderId="0" xfId="85" applyBorder="1" applyAlignment="1">
      <alignment horizontal="center"/>
    </xf>
    <xf numFmtId="0" fontId="1" fillId="0" borderId="20" xfId="85" applyBorder="1" applyAlignment="1"/>
    <xf numFmtId="0" fontId="22" fillId="0" borderId="19" xfId="85" applyFont="1" applyBorder="1" applyAlignment="1"/>
    <xf numFmtId="0" fontId="1" fillId="0" borderId="20" xfId="85" applyBorder="1" applyAlignment="1">
      <alignment horizontal="center"/>
    </xf>
    <xf numFmtId="0" fontId="1" fillId="0" borderId="19" xfId="85" applyBorder="1" applyAlignment="1"/>
    <xf numFmtId="177" fontId="61" fillId="0" borderId="0" xfId="32" applyNumberFormat="1" applyFont="1" applyFill="1" applyBorder="1" applyAlignment="1"/>
    <xf numFmtId="3" fontId="61" fillId="0" borderId="0" xfId="85" applyNumberFormat="1" applyFont="1" applyFill="1" applyBorder="1" applyAlignment="1"/>
    <xf numFmtId="177" fontId="1" fillId="0" borderId="20" xfId="86" applyNumberFormat="1" applyBorder="1" applyAlignment="1"/>
    <xf numFmtId="177" fontId="1" fillId="0" borderId="0" xfId="86" applyNumberFormat="1" applyFill="1" applyBorder="1" applyAlignment="1"/>
    <xf numFmtId="177" fontId="1" fillId="0" borderId="5" xfId="86" applyNumberFormat="1" applyFill="1" applyBorder="1" applyAlignment="1"/>
    <xf numFmtId="177" fontId="1" fillId="0" borderId="21" xfId="86" applyNumberFormat="1" applyBorder="1" applyAlignment="1"/>
    <xf numFmtId="3" fontId="1" fillId="0" borderId="2" xfId="85" applyNumberFormat="1" applyFont="1" applyFill="1" applyBorder="1" applyAlignment="1"/>
    <xf numFmtId="3" fontId="1" fillId="0" borderId="0" xfId="85" applyNumberFormat="1" applyFill="1" applyBorder="1" applyAlignment="1"/>
    <xf numFmtId="164" fontId="61" fillId="0" borderId="5" xfId="43" applyNumberFormat="1" applyFont="1" applyFill="1" applyBorder="1" applyAlignment="1"/>
    <xf numFmtId="164" fontId="1" fillId="0" borderId="5" xfId="85" applyNumberFormat="1" applyFill="1" applyBorder="1" applyAlignment="1"/>
    <xf numFmtId="164" fontId="1" fillId="0" borderId="21" xfId="43" applyNumberFormat="1" applyFont="1" applyBorder="1" applyAlignment="1"/>
    <xf numFmtId="174" fontId="1" fillId="0" borderId="0" xfId="87" applyNumberFormat="1" applyFill="1" applyBorder="1" applyAlignment="1"/>
    <xf numFmtId="174" fontId="1" fillId="0" borderId="0" xfId="87" applyNumberFormat="1" applyFont="1" applyFill="1" applyBorder="1" applyAlignment="1"/>
    <xf numFmtId="174" fontId="1" fillId="5" borderId="20" xfId="87" applyNumberFormat="1" applyFill="1" applyBorder="1" applyAlignment="1"/>
    <xf numFmtId="0" fontId="61" fillId="0" borderId="0" xfId="85" applyFont="1" applyFill="1"/>
    <xf numFmtId="10" fontId="61" fillId="0" borderId="0" xfId="43" applyNumberFormat="1" applyFont="1" applyFill="1" applyBorder="1" applyAlignment="1"/>
    <xf numFmtId="10" fontId="1" fillId="0" borderId="0" xfId="43" applyNumberFormat="1" applyFont="1" applyFill="1" applyBorder="1" applyAlignment="1"/>
    <xf numFmtId="10" fontId="1" fillId="0" borderId="20" xfId="43" applyNumberFormat="1" applyFont="1" applyBorder="1" applyAlignment="1"/>
    <xf numFmtId="174" fontId="1" fillId="0" borderId="5" xfId="87" applyNumberFormat="1" applyFill="1" applyBorder="1" applyAlignment="1"/>
    <xf numFmtId="174" fontId="1" fillId="0" borderId="21" xfId="87" applyNumberFormat="1" applyBorder="1" applyAlignment="1"/>
    <xf numFmtId="10" fontId="1" fillId="0" borderId="11" xfId="43" applyNumberFormat="1" applyFont="1" applyFill="1" applyBorder="1" applyAlignment="1"/>
    <xf numFmtId="10" fontId="1" fillId="0" borderId="22" xfId="43" applyNumberFormat="1" applyFont="1" applyBorder="1" applyAlignment="1"/>
    <xf numFmtId="174" fontId="61" fillId="0" borderId="0" xfId="34" applyNumberFormat="1" applyFont="1" applyFill="1" applyBorder="1" applyAlignment="1"/>
    <xf numFmtId="174" fontId="1" fillId="0" borderId="20" xfId="85" applyNumberFormat="1" applyBorder="1" applyAlignment="1"/>
    <xf numFmtId="0" fontId="10" fillId="0" borderId="19" xfId="85" applyFont="1" applyBorder="1" applyAlignment="1"/>
    <xf numFmtId="3" fontId="1" fillId="0" borderId="0" xfId="85" applyNumberFormat="1" applyBorder="1" applyAlignment="1"/>
    <xf numFmtId="174" fontId="1" fillId="0" borderId="5" xfId="85" applyNumberFormat="1" applyBorder="1" applyAlignment="1"/>
    <xf numFmtId="164" fontId="1" fillId="0" borderId="0" xfId="88" applyNumberFormat="1" applyBorder="1" applyAlignment="1"/>
    <xf numFmtId="177" fontId="1" fillId="0" borderId="5" xfId="85" applyNumberFormat="1" applyBorder="1" applyAlignment="1"/>
    <xf numFmtId="43" fontId="1" fillId="0" borderId="0" xfId="85" applyNumberFormat="1" applyBorder="1" applyAlignment="1"/>
    <xf numFmtId="0" fontId="1" fillId="0" borderId="5" xfId="85" applyBorder="1" applyAlignment="1">
      <alignment horizontal="center"/>
    </xf>
    <xf numFmtId="0" fontId="1" fillId="0" borderId="21" xfId="85" applyBorder="1" applyAlignment="1">
      <alignment horizontal="center"/>
    </xf>
    <xf numFmtId="174" fontId="1" fillId="0" borderId="2" xfId="34" applyNumberFormat="1" applyFont="1" applyBorder="1" applyAlignment="1"/>
    <xf numFmtId="174" fontId="1" fillId="0" borderId="23" xfId="34" applyNumberFormat="1" applyFont="1" applyBorder="1" applyAlignment="1"/>
    <xf numFmtId="174" fontId="1" fillId="0" borderId="0" xfId="34" applyNumberFormat="1" applyFont="1" applyFill="1" applyBorder="1" applyAlignment="1"/>
    <xf numFmtId="174" fontId="1" fillId="0" borderId="20" xfId="34" applyNumberFormat="1" applyFont="1" applyBorder="1" applyAlignment="1"/>
    <xf numFmtId="174" fontId="1" fillId="0" borderId="0" xfId="85" applyNumberFormat="1"/>
    <xf numFmtId="174" fontId="61" fillId="0" borderId="5" xfId="34" applyNumberFormat="1" applyFont="1" applyFill="1" applyBorder="1" applyAlignment="1"/>
    <xf numFmtId="174" fontId="1" fillId="0" borderId="5" xfId="34" applyNumberFormat="1" applyFont="1" applyBorder="1" applyAlignment="1"/>
    <xf numFmtId="174" fontId="1" fillId="0" borderId="21" xfId="34" applyNumberFormat="1" applyFont="1" applyBorder="1" applyAlignment="1"/>
    <xf numFmtId="174" fontId="1" fillId="0" borderId="0" xfId="85" applyNumberFormat="1" applyBorder="1" applyAlignment="1"/>
    <xf numFmtId="174" fontId="1" fillId="0" borderId="0" xfId="85" applyNumberFormat="1" applyFont="1" applyBorder="1" applyAlignment="1"/>
    <xf numFmtId="174" fontId="1" fillId="0" borderId="20" xfId="85" applyNumberFormat="1" applyFont="1" applyBorder="1" applyAlignment="1"/>
    <xf numFmtId="174" fontId="10" fillId="0" borderId="0" xfId="85" applyNumberFormat="1" applyFont="1" applyBorder="1" applyAlignment="1"/>
    <xf numFmtId="174" fontId="1" fillId="0" borderId="5" xfId="85" applyNumberFormat="1" applyFont="1" applyBorder="1" applyAlignment="1"/>
    <xf numFmtId="174" fontId="1" fillId="0" borderId="21" xfId="85" applyNumberFormat="1" applyFont="1" applyBorder="1" applyAlignment="1"/>
    <xf numFmtId="164" fontId="1" fillId="0" borderId="0" xfId="43" applyNumberFormat="1" applyFont="1" applyBorder="1" applyAlignment="1"/>
    <xf numFmtId="10" fontId="1" fillId="0" borderId="0" xfId="43" applyNumberFormat="1" applyFont="1" applyBorder="1" applyAlignment="1"/>
    <xf numFmtId="0" fontId="1" fillId="0" borderId="24" xfId="85" applyBorder="1" applyAlignment="1"/>
    <xf numFmtId="174" fontId="1" fillId="0" borderId="3" xfId="85" applyNumberFormat="1" applyBorder="1" applyAlignment="1"/>
    <xf numFmtId="174" fontId="10" fillId="0" borderId="25" xfId="85" applyNumberFormat="1" applyFont="1" applyBorder="1" applyAlignment="1"/>
    <xf numFmtId="177" fontId="0" fillId="0" borderId="0" xfId="0" applyNumberFormat="1"/>
    <xf numFmtId="43" fontId="47" fillId="0" borderId="0" xfId="32" applyFont="1" applyAlignment="1"/>
    <xf numFmtId="177" fontId="8" fillId="0" borderId="0" xfId="32" applyNumberFormat="1" applyFont="1" applyFill="1" applyAlignment="1"/>
    <xf numFmtId="10" fontId="1" fillId="0" borderId="0" xfId="43" applyNumberFormat="1" applyFont="1"/>
    <xf numFmtId="173" fontId="64" fillId="0" borderId="0" xfId="0" applyFont="1" applyAlignment="1"/>
    <xf numFmtId="173" fontId="0" fillId="6" borderId="0" xfId="0" applyFill="1" applyAlignment="1"/>
    <xf numFmtId="173" fontId="0" fillId="6" borderId="0" xfId="0" applyFill="1" applyBorder="1" applyAlignment="1"/>
    <xf numFmtId="172" fontId="0" fillId="6" borderId="5" xfId="0" applyNumberFormat="1" applyFill="1" applyBorder="1" applyAlignment="1"/>
    <xf numFmtId="173" fontId="0" fillId="6" borderId="5" xfId="0" applyFill="1" applyBorder="1" applyAlignment="1"/>
    <xf numFmtId="177" fontId="0" fillId="6" borderId="0" xfId="32" applyNumberFormat="1" applyFont="1" applyFill="1" applyAlignment="1"/>
    <xf numFmtId="177" fontId="2" fillId="0" borderId="0" xfId="32" applyNumberFormat="1" applyFont="1" applyAlignment="1"/>
    <xf numFmtId="43" fontId="0" fillId="6" borderId="0" xfId="32" applyNumberFormat="1" applyFont="1" applyFill="1" applyAlignment="1"/>
    <xf numFmtId="41" fontId="2" fillId="0" borderId="0" xfId="32" applyNumberFormat="1" applyFont="1" applyBorder="1" applyAlignment="1"/>
    <xf numFmtId="173" fontId="0" fillId="6" borderId="0" xfId="0" applyNumberFormat="1" applyFill="1" applyAlignment="1"/>
    <xf numFmtId="177" fontId="2" fillId="0" borderId="5" xfId="32" applyNumberFormat="1" applyFont="1" applyBorder="1" applyAlignment="1"/>
    <xf numFmtId="177" fontId="2" fillId="0" borderId="0" xfId="32" applyNumberFormat="1" applyFont="1" applyBorder="1" applyAlignment="1"/>
    <xf numFmtId="173" fontId="0" fillId="6" borderId="2" xfId="43" applyNumberFormat="1" applyFont="1" applyFill="1" applyBorder="1" applyAlignment="1"/>
    <xf numFmtId="10" fontId="0" fillId="6" borderId="0" xfId="43" applyNumberFormat="1" applyFont="1" applyFill="1" applyAlignment="1"/>
    <xf numFmtId="181" fontId="0" fillId="6" borderId="0" xfId="43" applyNumberFormat="1" applyFont="1" applyFill="1" applyAlignment="1"/>
    <xf numFmtId="173" fontId="0" fillId="0" borderId="5" xfId="0" applyBorder="1" applyAlignment="1"/>
    <xf numFmtId="173" fontId="65" fillId="0" borderId="0" xfId="0" applyFont="1" applyFill="1" applyAlignment="1"/>
    <xf numFmtId="173" fontId="2" fillId="0" borderId="0" xfId="0" applyFont="1" applyFill="1" applyAlignment="1"/>
    <xf numFmtId="173" fontId="2" fillId="0" borderId="5" xfId="0" applyFont="1" applyFill="1" applyBorder="1" applyAlignment="1"/>
    <xf numFmtId="182" fontId="2" fillId="0" borderId="5" xfId="32" applyNumberFormat="1" applyFont="1" applyFill="1" applyBorder="1" applyAlignment="1"/>
    <xf numFmtId="174" fontId="2" fillId="0" borderId="0" xfId="34" applyNumberFormat="1" applyFont="1" applyAlignment="1"/>
    <xf numFmtId="173" fontId="0" fillId="0" borderId="0" xfId="0" applyAlignment="1">
      <alignment horizontal="right"/>
    </xf>
    <xf numFmtId="177" fontId="0" fillId="6" borderId="0" xfId="32" applyNumberFormat="1" applyFont="1" applyFill="1" applyBorder="1" applyAlignment="1"/>
    <xf numFmtId="174" fontId="2" fillId="0" borderId="5" xfId="34" applyNumberFormat="1" applyFont="1" applyBorder="1" applyAlignment="1">
      <alignment horizontal="center"/>
    </xf>
    <xf numFmtId="3" fontId="0" fillId="6" borderId="0" xfId="0" applyNumberFormat="1" applyFill="1" applyBorder="1" applyAlignment="1"/>
    <xf numFmtId="174" fontId="2" fillId="0" borderId="0" xfId="34" applyNumberFormat="1" applyFont="1" applyBorder="1" applyAlignment="1">
      <alignment horizontal="center"/>
    </xf>
    <xf numFmtId="44" fontId="2" fillId="0" borderId="0" xfId="34" applyFont="1" applyAlignment="1"/>
    <xf numFmtId="173" fontId="64" fillId="0" borderId="0" xfId="0" applyFont="1" applyFill="1" applyBorder="1" applyAlignment="1">
      <alignment horizontal="center"/>
    </xf>
    <xf numFmtId="177" fontId="0" fillId="0" borderId="0" xfId="32" applyNumberFormat="1" applyFont="1" applyAlignment="1"/>
    <xf numFmtId="43" fontId="47" fillId="0" borderId="0" xfId="32" applyFont="1" applyFill="1" applyAlignment="1"/>
    <xf numFmtId="10" fontId="47" fillId="0" borderId="0" xfId="43" applyNumberFormat="1" applyFont="1" applyFill="1" applyAlignment="1"/>
    <xf numFmtId="173" fontId="66" fillId="0" borderId="0" xfId="0" applyFont="1" applyAlignment="1"/>
    <xf numFmtId="173" fontId="67" fillId="0" borderId="0" xfId="0" applyFont="1" applyFill="1" applyBorder="1" applyAlignment="1">
      <alignment horizontal="center"/>
    </xf>
    <xf numFmtId="173" fontId="66" fillId="0" borderId="0" xfId="0" applyFont="1" applyBorder="1" applyAlignment="1"/>
    <xf numFmtId="183" fontId="66" fillId="0" borderId="0" xfId="0" applyNumberFormat="1" applyFont="1" applyAlignment="1"/>
    <xf numFmtId="173" fontId="67" fillId="0" borderId="0" xfId="0" applyFont="1" applyBorder="1" applyAlignment="1">
      <alignment horizontal="center"/>
    </xf>
    <xf numFmtId="173" fontId="67" fillId="0" borderId="0" xfId="0" applyFont="1" applyFill="1" applyAlignment="1">
      <alignment horizontal="center"/>
    </xf>
    <xf numFmtId="173" fontId="64" fillId="0" borderId="0" xfId="0" applyNumberFormat="1" applyFont="1" applyFill="1" applyAlignment="1"/>
    <xf numFmtId="173" fontId="0" fillId="0" borderId="0" xfId="0" applyFont="1" applyFill="1" applyAlignment="1"/>
    <xf numFmtId="173" fontId="0" fillId="0" borderId="0" xfId="0" applyFont="1" applyAlignment="1"/>
    <xf numFmtId="173" fontId="0" fillId="0" borderId="0" xfId="0" applyNumberFormat="1" applyFont="1" applyFill="1" applyAlignment="1"/>
    <xf numFmtId="173" fontId="64" fillId="0" borderId="0" xfId="0" applyNumberFormat="1" applyFont="1" applyFill="1" applyBorder="1" applyAlignment="1">
      <alignment horizontal="center"/>
    </xf>
    <xf numFmtId="173" fontId="64" fillId="0" borderId="5" xfId="0" applyNumberFormat="1" applyFont="1" applyFill="1" applyBorder="1" applyAlignment="1">
      <alignment horizontal="center"/>
    </xf>
    <xf numFmtId="173" fontId="64" fillId="0" borderId="5" xfId="0" applyFont="1" applyFill="1" applyBorder="1" applyAlignment="1">
      <alignment horizontal="center"/>
    </xf>
    <xf numFmtId="173" fontId="0" fillId="0" borderId="0" xfId="0" applyFont="1" applyFill="1" applyBorder="1" applyAlignment="1"/>
    <xf numFmtId="177" fontId="0" fillId="0" borderId="0" xfId="32" applyNumberFormat="1" applyFont="1" applyFill="1" applyBorder="1" applyAlignment="1">
      <alignment horizontal="center"/>
    </xf>
    <xf numFmtId="10" fontId="0" fillId="0" borderId="0" xfId="43" applyNumberFormat="1" applyFont="1" applyFill="1" applyAlignment="1">
      <alignment horizontal="center"/>
    </xf>
    <xf numFmtId="177" fontId="0" fillId="0" borderId="0" xfId="32" applyNumberFormat="1" applyFont="1" applyFill="1" applyBorder="1" applyAlignment="1"/>
    <xf numFmtId="177" fontId="0" fillId="0" borderId="0" xfId="32" applyNumberFormat="1" applyFont="1" applyFill="1" applyAlignment="1"/>
    <xf numFmtId="177" fontId="0" fillId="0" borderId="2" xfId="32" applyNumberFormat="1" applyFont="1" applyFill="1" applyBorder="1" applyAlignment="1"/>
    <xf numFmtId="170" fontId="0" fillId="0" borderId="2" xfId="0" applyNumberFormat="1" applyFont="1" applyFill="1" applyBorder="1" applyAlignment="1"/>
    <xf numFmtId="174" fontId="0" fillId="0" borderId="2" xfId="34" applyNumberFormat="1" applyFont="1" applyFill="1" applyBorder="1" applyAlignment="1"/>
    <xf numFmtId="174" fontId="0" fillId="0" borderId="0" xfId="34" applyNumberFormat="1" applyFont="1" applyFill="1" applyAlignment="1"/>
    <xf numFmtId="43" fontId="47" fillId="0" borderId="0" xfId="32" applyFont="1" applyFill="1" applyBorder="1" applyAlignment="1">
      <alignment horizontal="left"/>
    </xf>
    <xf numFmtId="43" fontId="47" fillId="0" borderId="0" xfId="32" applyFont="1" applyFill="1" applyBorder="1" applyAlignment="1"/>
    <xf numFmtId="43" fontId="47" fillId="0" borderId="0" xfId="32" applyFont="1" applyAlignment="1">
      <alignment horizontal="center" wrapText="1"/>
    </xf>
    <xf numFmtId="174" fontId="47" fillId="0" borderId="0" xfId="34" applyNumberFormat="1" applyFont="1" applyFill="1"/>
    <xf numFmtId="176" fontId="2" fillId="0" borderId="0" xfId="43" applyNumberFormat="1" applyFont="1" applyAlignment="1"/>
    <xf numFmtId="173" fontId="0" fillId="0" borderId="0" xfId="0" applyFont="1" applyAlignment="1">
      <alignment horizontal="right"/>
    </xf>
    <xf numFmtId="173" fontId="2" fillId="0" borderId="0" xfId="0" applyFont="1" applyFill="1" applyBorder="1" applyAlignment="1"/>
    <xf numFmtId="173" fontId="64" fillId="0" borderId="0" xfId="0" applyNumberFormat="1" applyFont="1" applyFill="1" applyAlignment="1">
      <alignment horizontal="center"/>
    </xf>
    <xf numFmtId="0" fontId="0" fillId="0" borderId="0" xfId="0" applyNumberFormat="1" applyFont="1" applyFill="1" applyBorder="1" applyAlignment="1">
      <alignment horizontal="center"/>
    </xf>
    <xf numFmtId="173" fontId="0" fillId="0" borderId="0" xfId="0" applyFont="1" applyFill="1" applyAlignment="1">
      <alignment horizontal="right"/>
    </xf>
    <xf numFmtId="164" fontId="8" fillId="4" borderId="0" xfId="0" applyNumberFormat="1" applyFont="1" applyFill="1" applyProtection="1">
      <protection locked="0"/>
    </xf>
    <xf numFmtId="0" fontId="47" fillId="0" borderId="0" xfId="0" applyNumberFormat="1" applyFont="1" applyFill="1" applyAlignment="1"/>
    <xf numFmtId="173" fontId="47" fillId="0" borderId="0" xfId="0" applyFont="1"/>
    <xf numFmtId="173" fontId="69" fillId="0" borderId="0" xfId="0" applyFont="1"/>
    <xf numFmtId="0" fontId="47" fillId="0" borderId="0" xfId="0" applyNumberFormat="1" applyFont="1" applyAlignment="1">
      <alignment horizontal="center"/>
    </xf>
    <xf numFmtId="174" fontId="47" fillId="0" borderId="0" xfId="0" applyNumberFormat="1" applyFont="1"/>
    <xf numFmtId="174" fontId="47" fillId="0" borderId="12" xfId="0" applyNumberFormat="1" applyFont="1" applyBorder="1"/>
    <xf numFmtId="0" fontId="69" fillId="0" borderId="0" xfId="0" applyNumberFormat="1" applyFont="1" applyBorder="1" applyAlignment="1">
      <alignment horizontal="center"/>
    </xf>
    <xf numFmtId="173" fontId="69" fillId="0" borderId="0" xfId="0" applyFont="1" applyBorder="1" applyAlignment="1">
      <alignment horizontal="center"/>
    </xf>
    <xf numFmtId="0" fontId="47" fillId="0" borderId="0" xfId="0" applyNumberFormat="1" applyFont="1" applyBorder="1" applyAlignment="1">
      <alignment horizontal="center"/>
    </xf>
    <xf numFmtId="173" fontId="47" fillId="0" borderId="0" xfId="0" applyFont="1" applyBorder="1" applyAlignment="1">
      <alignment horizontal="center"/>
    </xf>
    <xf numFmtId="0" fontId="47" fillId="0" borderId="3" xfId="0" applyNumberFormat="1" applyFont="1" applyBorder="1" applyAlignment="1">
      <alignment horizontal="center"/>
    </xf>
    <xf numFmtId="173" fontId="47" fillId="0" borderId="3" xfId="0" applyFont="1" applyBorder="1" applyAlignment="1">
      <alignment horizontal="center"/>
    </xf>
    <xf numFmtId="173" fontId="47" fillId="0" borderId="0" xfId="0" applyFont="1" applyAlignment="1">
      <alignment horizontal="center"/>
    </xf>
    <xf numFmtId="174" fontId="47" fillId="0" borderId="0" xfId="32" applyNumberFormat="1" applyFont="1" applyFill="1"/>
    <xf numFmtId="184" fontId="47" fillId="0" borderId="0" xfId="0" applyNumberFormat="1" applyFont="1"/>
    <xf numFmtId="173" fontId="47" fillId="0" borderId="0" xfId="0" applyFont="1" applyFill="1"/>
    <xf numFmtId="43" fontId="48" fillId="0" borderId="0" xfId="0" applyNumberFormat="1" applyFont="1" applyAlignment="1">
      <alignment horizontal="right"/>
    </xf>
    <xf numFmtId="174" fontId="48" fillId="0" borderId="0" xfId="0" applyNumberFormat="1" applyFont="1"/>
    <xf numFmtId="173" fontId="48" fillId="0" borderId="0" xfId="0" applyFont="1" applyAlignment="1">
      <alignment horizontal="right"/>
    </xf>
    <xf numFmtId="174" fontId="48" fillId="0" borderId="2" xfId="0" applyNumberFormat="1" applyFont="1" applyBorder="1"/>
    <xf numFmtId="0" fontId="69" fillId="0" borderId="0" xfId="0" applyNumberFormat="1" applyFont="1" applyFill="1" applyBorder="1" applyAlignment="1">
      <alignment horizontal="center"/>
    </xf>
    <xf numFmtId="173" fontId="47" fillId="0" borderId="3" xfId="0" applyFont="1" applyFill="1" applyBorder="1" applyAlignment="1">
      <alignment horizontal="center"/>
    </xf>
    <xf numFmtId="174" fontId="47" fillId="5" borderId="0" xfId="0" applyNumberFormat="1" applyFont="1" applyFill="1"/>
    <xf numFmtId="0" fontId="47" fillId="5" borderId="0" xfId="0" applyNumberFormat="1" applyFont="1" applyFill="1"/>
    <xf numFmtId="173" fontId="47" fillId="5" borderId="0" xfId="0" applyFont="1" applyFill="1"/>
    <xf numFmtId="184" fontId="47" fillId="5" borderId="0" xfId="0" applyNumberFormat="1" applyFont="1" applyFill="1"/>
    <xf numFmtId="0" fontId="70" fillId="0" borderId="0" xfId="0" applyNumberFormat="1" applyFont="1"/>
    <xf numFmtId="174" fontId="48" fillId="0" borderId="0" xfId="0" applyNumberFormat="1" applyFont="1" applyBorder="1"/>
    <xf numFmtId="174" fontId="47" fillId="7" borderId="2" xfId="34" applyNumberFormat="1" applyFont="1" applyFill="1" applyBorder="1" applyAlignment="1"/>
    <xf numFmtId="177" fontId="47" fillId="7" borderId="0" xfId="32" applyNumberFormat="1" applyFont="1" applyFill="1" applyAlignment="1"/>
    <xf numFmtId="174" fontId="47" fillId="7" borderId="0" xfId="34" applyNumberFormat="1" applyFont="1" applyFill="1" applyAlignment="1"/>
    <xf numFmtId="173" fontId="47" fillId="7" borderId="0" xfId="0" applyNumberFormat="1" applyFont="1" applyFill="1" applyAlignment="1"/>
    <xf numFmtId="173" fontId="47" fillId="7" borderId="5" xfId="0" applyNumberFormat="1" applyFont="1" applyFill="1" applyBorder="1" applyAlignment="1"/>
    <xf numFmtId="173" fontId="47" fillId="7" borderId="5" xfId="0" applyNumberFormat="1" applyFont="1" applyFill="1" applyBorder="1" applyAlignment="1">
      <alignment wrapText="1"/>
    </xf>
    <xf numFmtId="177" fontId="8" fillId="8" borderId="0" xfId="32" applyNumberFormat="1" applyFont="1" applyFill="1"/>
    <xf numFmtId="177" fontId="8" fillId="8" borderId="5" xfId="32" applyNumberFormat="1" applyFont="1" applyFill="1" applyBorder="1"/>
    <xf numFmtId="177" fontId="8" fillId="8" borderId="0" xfId="32" applyNumberFormat="1" applyFont="1" applyFill="1" applyBorder="1"/>
    <xf numFmtId="180" fontId="8" fillId="8" borderId="0" xfId="32" applyNumberFormat="1" applyFont="1" applyFill="1"/>
    <xf numFmtId="175" fontId="47" fillId="7" borderId="0" xfId="0" applyNumberFormat="1" applyFont="1" applyFill="1" applyAlignment="1"/>
    <xf numFmtId="173" fontId="47" fillId="7" borderId="0" xfId="0" applyNumberFormat="1" applyFont="1" applyFill="1" applyAlignment="1">
      <alignment horizontal="right"/>
    </xf>
    <xf numFmtId="170" fontId="47" fillId="7" borderId="0" xfId="32" applyNumberFormat="1" applyFont="1" applyFill="1" applyAlignment="1"/>
    <xf numFmtId="173" fontId="47" fillId="7" borderId="0" xfId="0" applyNumberFormat="1" applyFont="1" applyFill="1" applyBorder="1" applyAlignment="1"/>
    <xf numFmtId="0" fontId="47" fillId="7" borderId="0" xfId="0" applyNumberFormat="1" applyFont="1" applyFill="1"/>
    <xf numFmtId="177" fontId="47" fillId="7" borderId="0" xfId="32" applyNumberFormat="1" applyFont="1" applyFill="1" applyBorder="1" applyAlignment="1"/>
    <xf numFmtId="177" fontId="47" fillId="7" borderId="0" xfId="32" applyNumberFormat="1" applyFont="1" applyFill="1" applyBorder="1"/>
    <xf numFmtId="15" fontId="47" fillId="7" borderId="0" xfId="0" applyNumberFormat="1" applyFont="1" applyFill="1"/>
    <xf numFmtId="15" fontId="47" fillId="7" borderId="0" xfId="0" applyNumberFormat="1" applyFont="1" applyFill="1" applyBorder="1"/>
    <xf numFmtId="0" fontId="47" fillId="7" borderId="0" xfId="0" applyNumberFormat="1" applyFont="1" applyFill="1" applyBorder="1"/>
    <xf numFmtId="177" fontId="47" fillId="7" borderId="13" xfId="0" applyNumberFormat="1" applyFont="1" applyFill="1" applyBorder="1"/>
    <xf numFmtId="173" fontId="47" fillId="7" borderId="0" xfId="0" applyNumberFormat="1" applyFont="1" applyFill="1" applyBorder="1" applyAlignment="1">
      <alignment horizontal="right"/>
    </xf>
    <xf numFmtId="177" fontId="47" fillId="7" borderId="0" xfId="0" applyNumberFormat="1" applyFont="1" applyFill="1" applyBorder="1"/>
    <xf numFmtId="0" fontId="48" fillId="7" borderId="0" xfId="32" applyNumberFormat="1" applyFont="1" applyFill="1" applyAlignment="1"/>
    <xf numFmtId="42" fontId="47" fillId="7" borderId="0" xfId="0" applyNumberFormat="1" applyFont="1" applyFill="1" applyAlignment="1"/>
    <xf numFmtId="42" fontId="47" fillId="7" borderId="0" xfId="0" applyNumberFormat="1" applyFont="1" applyFill="1" applyBorder="1" applyAlignment="1"/>
    <xf numFmtId="42" fontId="47" fillId="7" borderId="0" xfId="32" applyNumberFormat="1" applyFont="1" applyFill="1" applyAlignment="1"/>
    <xf numFmtId="41" fontId="47" fillId="7" borderId="0" xfId="32" applyNumberFormat="1" applyFont="1" applyFill="1" applyAlignment="1"/>
    <xf numFmtId="42" fontId="47" fillId="7" borderId="0" xfId="32" applyNumberFormat="1" applyFont="1" applyFill="1" applyBorder="1" applyAlignment="1"/>
    <xf numFmtId="173" fontId="47" fillId="7" borderId="2" xfId="0" applyNumberFormat="1" applyFont="1" applyFill="1" applyBorder="1" applyAlignment="1"/>
    <xf numFmtId="44" fontId="47" fillId="7" borderId="0" xfId="34" applyFont="1" applyFill="1" applyAlignment="1"/>
    <xf numFmtId="173" fontId="47" fillId="7" borderId="0" xfId="0" applyNumberFormat="1" applyFont="1" applyFill="1" applyAlignment="1">
      <alignment horizontal="center"/>
    </xf>
    <xf numFmtId="173" fontId="47" fillId="7" borderId="5" xfId="0" applyNumberFormat="1" applyFont="1" applyFill="1" applyBorder="1" applyAlignment="1">
      <alignment horizontal="right" wrapText="1"/>
    </xf>
    <xf numFmtId="173" fontId="47" fillId="7" borderId="5" xfId="0" applyNumberFormat="1" applyFont="1" applyFill="1" applyBorder="1" applyAlignment="1">
      <alignment horizontal="center" wrapText="1"/>
    </xf>
    <xf numFmtId="170" fontId="47" fillId="7" borderId="0" xfId="0" applyNumberFormat="1" applyFont="1" applyFill="1" applyAlignment="1"/>
    <xf numFmtId="177" fontId="47" fillId="7" borderId="5" xfId="32" applyNumberFormat="1" applyFont="1" applyFill="1" applyBorder="1" applyAlignment="1"/>
    <xf numFmtId="173" fontId="47" fillId="7" borderId="0" xfId="0" quotePrefix="1" applyNumberFormat="1" applyFont="1" applyFill="1" applyAlignment="1"/>
    <xf numFmtId="173" fontId="50" fillId="7" borderId="0" xfId="0" applyNumberFormat="1" applyFont="1" applyFill="1" applyAlignment="1"/>
    <xf numFmtId="173" fontId="47" fillId="7" borderId="0" xfId="0" applyNumberFormat="1" applyFont="1" applyFill="1" applyBorder="1" applyAlignment="1">
      <alignment horizontal="center" wrapText="1"/>
    </xf>
    <xf numFmtId="173" fontId="47" fillId="7" borderId="0" xfId="32" applyNumberFormat="1" applyFont="1" applyFill="1" applyBorder="1" applyAlignment="1"/>
    <xf numFmtId="170" fontId="47" fillId="7" borderId="0" xfId="32" applyNumberFormat="1" applyFont="1" applyFill="1" applyBorder="1" applyAlignment="1"/>
    <xf numFmtId="10" fontId="47" fillId="7" borderId="0" xfId="32" applyNumberFormat="1" applyFont="1" applyFill="1" applyBorder="1" applyAlignment="1"/>
    <xf numFmtId="173" fontId="47" fillId="7" borderId="0" xfId="0" quotePrefix="1" applyNumberFormat="1" applyFont="1" applyFill="1" applyBorder="1" applyAlignment="1"/>
    <xf numFmtId="173" fontId="47" fillId="7" borderId="0" xfId="0" applyNumberFormat="1" applyFont="1" applyFill="1" applyBorder="1" applyAlignment="1">
      <alignment horizontal="right" wrapText="1"/>
    </xf>
    <xf numFmtId="170" fontId="47" fillId="7" borderId="0" xfId="0" applyNumberFormat="1" applyFont="1" applyFill="1" applyBorder="1" applyAlignment="1"/>
    <xf numFmtId="173" fontId="47" fillId="7" borderId="0" xfId="0" applyFont="1" applyFill="1" applyAlignment="1"/>
    <xf numFmtId="174" fontId="47" fillId="0" borderId="0" xfId="43" applyNumberFormat="1" applyFont="1" applyFill="1" applyAlignment="1"/>
    <xf numFmtId="173" fontId="68" fillId="0" borderId="14" xfId="0" applyFont="1" applyBorder="1" applyAlignment="1">
      <alignment horizontal="center" vertical="center" wrapText="1"/>
    </xf>
    <xf numFmtId="173" fontId="68" fillId="0" borderId="2" xfId="0" applyFont="1" applyBorder="1" applyAlignment="1">
      <alignment horizontal="center" vertical="center" wrapText="1"/>
    </xf>
    <xf numFmtId="173" fontId="68" fillId="0" borderId="15" xfId="0" applyFont="1" applyBorder="1" applyAlignment="1">
      <alignment horizontal="center" vertical="center" wrapText="1"/>
    </xf>
    <xf numFmtId="173" fontId="68" fillId="0" borderId="7" xfId="0" applyFont="1" applyBorder="1" applyAlignment="1">
      <alignment horizontal="center" vertical="center" wrapText="1"/>
    </xf>
    <xf numFmtId="173" fontId="68" fillId="0" borderId="0" xfId="0" applyFont="1" applyBorder="1" applyAlignment="1">
      <alignment horizontal="center" vertical="center" wrapText="1"/>
    </xf>
    <xf numFmtId="173" fontId="68" fillId="0" borderId="8" xfId="0" applyFont="1" applyBorder="1" applyAlignment="1">
      <alignment horizontal="center" vertical="center" wrapText="1"/>
    </xf>
    <xf numFmtId="173" fontId="68" fillId="0" borderId="9" xfId="0" applyFont="1" applyBorder="1" applyAlignment="1">
      <alignment horizontal="center" vertical="center" wrapText="1"/>
    </xf>
    <xf numFmtId="173" fontId="68" fillId="0" borderId="5" xfId="0" applyFont="1" applyBorder="1" applyAlignment="1">
      <alignment horizontal="center" vertical="center" wrapText="1"/>
    </xf>
    <xf numFmtId="173" fontId="68" fillId="0" borderId="10" xfId="0" applyFont="1" applyBorder="1" applyAlignment="1">
      <alignment horizontal="center" vertical="center" wrapText="1"/>
    </xf>
    <xf numFmtId="0" fontId="0" fillId="0" borderId="14" xfId="0" applyNumberFormat="1" applyBorder="1" applyAlignment="1">
      <alignment horizontal="center"/>
    </xf>
    <xf numFmtId="0" fontId="0" fillId="0" borderId="2" xfId="0" applyNumberFormat="1" applyFont="1" applyBorder="1" applyAlignment="1">
      <alignment horizontal="center"/>
    </xf>
    <xf numFmtId="0" fontId="0" fillId="0" borderId="15" xfId="0" applyNumberFormat="1" applyFont="1" applyBorder="1" applyAlignment="1">
      <alignment horizontal="center"/>
    </xf>
  </cellXfs>
  <cellStyles count="89">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32" builtinId="3"/>
    <cellStyle name="Comma 2" xfId="86"/>
    <cellStyle name="Comma0" xfId="33"/>
    <cellStyle name="Currency" xfId="34" builtinId="4"/>
    <cellStyle name="Currency 2" xfId="87"/>
    <cellStyle name="Currency0" xfId="35"/>
    <cellStyle name="Date" xfId="36"/>
    <cellStyle name="Fixed" xfId="37"/>
    <cellStyle name="Heading 1" xfId="38" builtinId="16" customBuiltin="1"/>
    <cellStyle name="Heading 2" xfId="39" builtinId="17" customBuiltin="1"/>
    <cellStyle name="Heading1" xfId="40"/>
    <cellStyle name="Heading2" xfId="41"/>
    <cellStyle name="Normal" xfId="0" builtinId="0"/>
    <cellStyle name="Normal 3" xfId="85"/>
    <cellStyle name="Normal_Attachment O &amp; GG Final 11_11_09" xfId="84"/>
    <cellStyle name="Normal_ITC SUM for attachment O (2)" xfId="42"/>
    <cellStyle name="Percent" xfId="43" builtinId="5"/>
    <cellStyle name="Percent 3" xfId="88"/>
    <cellStyle name="PSChar" xfId="44"/>
    <cellStyle name="PSDate" xfId="45"/>
    <cellStyle name="PSDec" xfId="46"/>
    <cellStyle name="PSdesc" xfId="47"/>
    <cellStyle name="PSHeading" xfId="48"/>
    <cellStyle name="PSInt" xfId="49"/>
    <cellStyle name="PSSpacer" xfId="50"/>
    <cellStyle name="PStest" xfId="51"/>
    <cellStyle name="R00A" xfId="52"/>
    <cellStyle name="R00B" xfId="53"/>
    <cellStyle name="R00L" xfId="54"/>
    <cellStyle name="R01A" xfId="55"/>
    <cellStyle name="R01B" xfId="56"/>
    <cellStyle name="R01H" xfId="57"/>
    <cellStyle name="R01L" xfId="58"/>
    <cellStyle name="R02A" xfId="59"/>
    <cellStyle name="R02B" xfId="60"/>
    <cellStyle name="R02H" xfId="61"/>
    <cellStyle name="R02L" xfId="62"/>
    <cellStyle name="R03A" xfId="63"/>
    <cellStyle name="R03B" xfId="64"/>
    <cellStyle name="R03H" xfId="65"/>
    <cellStyle name="R03L" xfId="66"/>
    <cellStyle name="R04A" xfId="67"/>
    <cellStyle name="R04B" xfId="68"/>
    <cellStyle name="R04H" xfId="69"/>
    <cellStyle name="R04L" xfId="70"/>
    <cellStyle name="R05A" xfId="71"/>
    <cellStyle name="R05B" xfId="72"/>
    <cellStyle name="R05H" xfId="73"/>
    <cellStyle name="R05L" xfId="74"/>
    <cellStyle name="R06A" xfId="75"/>
    <cellStyle name="R06B" xfId="76"/>
    <cellStyle name="R06H" xfId="77"/>
    <cellStyle name="R06L" xfId="78"/>
    <cellStyle name="R07A" xfId="79"/>
    <cellStyle name="R07B" xfId="80"/>
    <cellStyle name="R07H" xfId="81"/>
    <cellStyle name="R07L" xfId="82"/>
    <cellStyle name="Total" xfId="83"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33"/>
      <color rgb="FF99FF66"/>
      <color rgb="FF99FF99"/>
      <color rgb="FFFFFF99"/>
      <color rgb="FFCCFF66"/>
      <color rgb="FFCC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2000250</xdr:colOff>
      <xdr:row>9</xdr:row>
      <xdr:rowOff>38100</xdr:rowOff>
    </xdr:from>
    <xdr:to>
      <xdr:col>1</xdr:col>
      <xdr:colOff>2038350</xdr:colOff>
      <xdr:row>27</xdr:row>
      <xdr:rowOff>95250</xdr:rowOff>
    </xdr:to>
    <xdr:cxnSp macro="">
      <xdr:nvCxnSpPr>
        <xdr:cNvPr id="2" name="Straight Arrow Connector 1"/>
        <xdr:cNvCxnSpPr/>
      </xdr:nvCxnSpPr>
      <xdr:spPr>
        <a:xfrm flipH="1">
          <a:off x="2152650" y="1609725"/>
          <a:ext cx="38100" cy="2990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1076325</xdr:colOff>
      <xdr:row>1</xdr:row>
      <xdr:rowOff>114300</xdr:rowOff>
    </xdr:from>
    <xdr:to>
      <xdr:col>5</xdr:col>
      <xdr:colOff>1095375</xdr:colOff>
      <xdr:row>13</xdr:row>
      <xdr:rowOff>142875</xdr:rowOff>
    </xdr:to>
    <xdr:sp macro="" textlink="">
      <xdr:nvSpPr>
        <xdr:cNvPr id="2" name="Line 5"/>
        <xdr:cNvSpPr>
          <a:spLocks noChangeShapeType="1"/>
        </xdr:cNvSpPr>
      </xdr:nvSpPr>
      <xdr:spPr bwMode="auto">
        <a:xfrm flipH="1" flipV="1">
          <a:off x="10067925" y="314325"/>
          <a:ext cx="19050" cy="2343150"/>
        </a:xfrm>
        <a:prstGeom prst="line">
          <a:avLst/>
        </a:prstGeom>
        <a:noFill/>
        <a:ln w="9525">
          <a:solidFill>
            <a:srgbClr val="000000"/>
          </a:solidFill>
          <a:round/>
          <a:headEnd/>
          <a:tailEnd type="triangle" w="med" len="med"/>
        </a:ln>
      </xdr:spPr>
    </xdr:sp>
    <xdr:clientData/>
  </xdr:twoCellAnchor>
  <xdr:twoCellAnchor>
    <xdr:from>
      <xdr:col>5</xdr:col>
      <xdr:colOff>752475</xdr:colOff>
      <xdr:row>16</xdr:row>
      <xdr:rowOff>9525</xdr:rowOff>
    </xdr:from>
    <xdr:to>
      <xdr:col>10</xdr:col>
      <xdr:colOff>1143000</xdr:colOff>
      <xdr:row>29</xdr:row>
      <xdr:rowOff>76200</xdr:rowOff>
    </xdr:to>
    <xdr:sp macro="" textlink="">
      <xdr:nvSpPr>
        <xdr:cNvPr id="3" name="Text Box 6"/>
        <xdr:cNvSpPr txBox="1">
          <a:spLocks noChangeArrowheads="1"/>
        </xdr:cNvSpPr>
      </xdr:nvSpPr>
      <xdr:spPr bwMode="auto">
        <a:xfrm>
          <a:off x="9756775" y="3108325"/>
          <a:ext cx="4467225" cy="2543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200" b="0" i="0" u="none" strike="noStrike" baseline="0">
              <a:solidFill>
                <a:srgbClr val="000000"/>
              </a:solidFill>
              <a:latin typeface="Arial MT"/>
            </a:rPr>
            <a:t>The purpose of this section is to calculate the amount of the Attachment O revenue requirement that we will ultimately receive as revenue.  Note that based off load, the revenue requirement will be allocated between our retail customers  and our bilateral customers.  As we know the revenue received and the rate charged during 2010, we can calculate the bilaterals actual load.  We multiply actual load by the calculated revised rate to get the actual revenue we need to recover from the bilateral customers.   The difference between amount received and the calculated revenue is the true up needed.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57"/>
  <sheetViews>
    <sheetView workbookViewId="0"/>
  </sheetViews>
  <sheetFormatPr defaultRowHeight="12.75"/>
  <cols>
    <col min="1" max="1" width="1.77734375" style="287" bestFit="1" customWidth="1"/>
    <col min="2" max="2" width="24.109375" style="287" customWidth="1"/>
    <col min="3" max="3" width="14.33203125" style="287" bestFit="1" customWidth="1"/>
    <col min="4" max="4" width="13.21875" style="287" bestFit="1" customWidth="1"/>
    <col min="5" max="5" width="12.33203125" style="287" customWidth="1"/>
    <col min="6" max="251" width="8.88671875" style="287"/>
    <col min="252" max="252" width="1" style="287" customWidth="1"/>
    <col min="253" max="253" width="24.109375" style="287" customWidth="1"/>
    <col min="254" max="254" width="14.33203125" style="287" bestFit="1" customWidth="1"/>
    <col min="255" max="255" width="13.21875" style="287" bestFit="1" customWidth="1"/>
    <col min="256" max="256" width="12.33203125" style="287" customWidth="1"/>
    <col min="257" max="257" width="11.77734375" style="287" bestFit="1" customWidth="1"/>
    <col min="258" max="258" width="12.6640625" style="287" customWidth="1"/>
    <col min="259" max="259" width="12.109375" style="287" customWidth="1"/>
    <col min="260" max="260" width="2.5546875" style="287" customWidth="1"/>
    <col min="261" max="507" width="8.88671875" style="287"/>
    <col min="508" max="508" width="1" style="287" customWidth="1"/>
    <col min="509" max="509" width="24.109375" style="287" customWidth="1"/>
    <col min="510" max="510" width="14.33203125" style="287" bestFit="1" customWidth="1"/>
    <col min="511" max="511" width="13.21875" style="287" bestFit="1" customWidth="1"/>
    <col min="512" max="512" width="12.33203125" style="287" customWidth="1"/>
    <col min="513" max="513" width="11.77734375" style="287" bestFit="1" customWidth="1"/>
    <col min="514" max="514" width="12.6640625" style="287" customWidth="1"/>
    <col min="515" max="515" width="12.109375" style="287" customWidth="1"/>
    <col min="516" max="516" width="2.5546875" style="287" customWidth="1"/>
    <col min="517" max="763" width="8.88671875" style="287"/>
    <col min="764" max="764" width="1" style="287" customWidth="1"/>
    <col min="765" max="765" width="24.109375" style="287" customWidth="1"/>
    <col min="766" max="766" width="14.33203125" style="287" bestFit="1" customWidth="1"/>
    <col min="767" max="767" width="13.21875" style="287" bestFit="1" customWidth="1"/>
    <col min="768" max="768" width="12.33203125" style="287" customWidth="1"/>
    <col min="769" max="769" width="11.77734375" style="287" bestFit="1" customWidth="1"/>
    <col min="770" max="770" width="12.6640625" style="287" customWidth="1"/>
    <col min="771" max="771" width="12.109375" style="287" customWidth="1"/>
    <col min="772" max="772" width="2.5546875" style="287" customWidth="1"/>
    <col min="773" max="1019" width="8.88671875" style="287"/>
    <col min="1020" max="1020" width="1" style="287" customWidth="1"/>
    <col min="1021" max="1021" width="24.109375" style="287" customWidth="1"/>
    <col min="1022" max="1022" width="14.33203125" style="287" bestFit="1" customWidth="1"/>
    <col min="1023" max="1023" width="13.21875" style="287" bestFit="1" customWidth="1"/>
    <col min="1024" max="1024" width="12.33203125" style="287" customWidth="1"/>
    <col min="1025" max="1025" width="11.77734375" style="287" bestFit="1" customWidth="1"/>
    <col min="1026" max="1026" width="12.6640625" style="287" customWidth="1"/>
    <col min="1027" max="1027" width="12.109375" style="287" customWidth="1"/>
    <col min="1028" max="1028" width="2.5546875" style="287" customWidth="1"/>
    <col min="1029" max="1275" width="8.88671875" style="287"/>
    <col min="1276" max="1276" width="1" style="287" customWidth="1"/>
    <col min="1277" max="1277" width="24.109375" style="287" customWidth="1"/>
    <col min="1278" max="1278" width="14.33203125" style="287" bestFit="1" customWidth="1"/>
    <col min="1279" max="1279" width="13.21875" style="287" bestFit="1" customWidth="1"/>
    <col min="1280" max="1280" width="12.33203125" style="287" customWidth="1"/>
    <col min="1281" max="1281" width="11.77734375" style="287" bestFit="1" customWidth="1"/>
    <col min="1282" max="1282" width="12.6640625" style="287" customWidth="1"/>
    <col min="1283" max="1283" width="12.109375" style="287" customWidth="1"/>
    <col min="1284" max="1284" width="2.5546875" style="287" customWidth="1"/>
    <col min="1285" max="1531" width="8.88671875" style="287"/>
    <col min="1532" max="1532" width="1" style="287" customWidth="1"/>
    <col min="1533" max="1533" width="24.109375" style="287" customWidth="1"/>
    <col min="1534" max="1534" width="14.33203125" style="287" bestFit="1" customWidth="1"/>
    <col min="1535" max="1535" width="13.21875" style="287" bestFit="1" customWidth="1"/>
    <col min="1536" max="1536" width="12.33203125" style="287" customWidth="1"/>
    <col min="1537" max="1537" width="11.77734375" style="287" bestFit="1" customWidth="1"/>
    <col min="1538" max="1538" width="12.6640625" style="287" customWidth="1"/>
    <col min="1539" max="1539" width="12.109375" style="287" customWidth="1"/>
    <col min="1540" max="1540" width="2.5546875" style="287" customWidth="1"/>
    <col min="1541" max="1787" width="8.88671875" style="287"/>
    <col min="1788" max="1788" width="1" style="287" customWidth="1"/>
    <col min="1789" max="1789" width="24.109375" style="287" customWidth="1"/>
    <col min="1790" max="1790" width="14.33203125" style="287" bestFit="1" customWidth="1"/>
    <col min="1791" max="1791" width="13.21875" style="287" bestFit="1" customWidth="1"/>
    <col min="1792" max="1792" width="12.33203125" style="287" customWidth="1"/>
    <col min="1793" max="1793" width="11.77734375" style="287" bestFit="1" customWidth="1"/>
    <col min="1794" max="1794" width="12.6640625" style="287" customWidth="1"/>
    <col min="1795" max="1795" width="12.109375" style="287" customWidth="1"/>
    <col min="1796" max="1796" width="2.5546875" style="287" customWidth="1"/>
    <col min="1797" max="2043" width="8.88671875" style="287"/>
    <col min="2044" max="2044" width="1" style="287" customWidth="1"/>
    <col min="2045" max="2045" width="24.109375" style="287" customWidth="1"/>
    <col min="2046" max="2046" width="14.33203125" style="287" bestFit="1" customWidth="1"/>
    <col min="2047" max="2047" width="13.21875" style="287" bestFit="1" customWidth="1"/>
    <col min="2048" max="2048" width="12.33203125" style="287" customWidth="1"/>
    <col min="2049" max="2049" width="11.77734375" style="287" bestFit="1" customWidth="1"/>
    <col min="2050" max="2050" width="12.6640625" style="287" customWidth="1"/>
    <col min="2051" max="2051" width="12.109375" style="287" customWidth="1"/>
    <col min="2052" max="2052" width="2.5546875" style="287" customWidth="1"/>
    <col min="2053" max="2299" width="8.88671875" style="287"/>
    <col min="2300" max="2300" width="1" style="287" customWidth="1"/>
    <col min="2301" max="2301" width="24.109375" style="287" customWidth="1"/>
    <col min="2302" max="2302" width="14.33203125" style="287" bestFit="1" customWidth="1"/>
    <col min="2303" max="2303" width="13.21875" style="287" bestFit="1" customWidth="1"/>
    <col min="2304" max="2304" width="12.33203125" style="287" customWidth="1"/>
    <col min="2305" max="2305" width="11.77734375" style="287" bestFit="1" customWidth="1"/>
    <col min="2306" max="2306" width="12.6640625" style="287" customWidth="1"/>
    <col min="2307" max="2307" width="12.109375" style="287" customWidth="1"/>
    <col min="2308" max="2308" width="2.5546875" style="287" customWidth="1"/>
    <col min="2309" max="2555" width="8.88671875" style="287"/>
    <col min="2556" max="2556" width="1" style="287" customWidth="1"/>
    <col min="2557" max="2557" width="24.109375" style="287" customWidth="1"/>
    <col min="2558" max="2558" width="14.33203125" style="287" bestFit="1" customWidth="1"/>
    <col min="2559" max="2559" width="13.21875" style="287" bestFit="1" customWidth="1"/>
    <col min="2560" max="2560" width="12.33203125" style="287" customWidth="1"/>
    <col min="2561" max="2561" width="11.77734375" style="287" bestFit="1" customWidth="1"/>
    <col min="2562" max="2562" width="12.6640625" style="287" customWidth="1"/>
    <col min="2563" max="2563" width="12.109375" style="287" customWidth="1"/>
    <col min="2564" max="2564" width="2.5546875" style="287" customWidth="1"/>
    <col min="2565" max="2811" width="8.88671875" style="287"/>
    <col min="2812" max="2812" width="1" style="287" customWidth="1"/>
    <col min="2813" max="2813" width="24.109375" style="287" customWidth="1"/>
    <col min="2814" max="2814" width="14.33203125" style="287" bestFit="1" customWidth="1"/>
    <col min="2815" max="2815" width="13.21875" style="287" bestFit="1" customWidth="1"/>
    <col min="2816" max="2816" width="12.33203125" style="287" customWidth="1"/>
    <col min="2817" max="2817" width="11.77734375" style="287" bestFit="1" customWidth="1"/>
    <col min="2818" max="2818" width="12.6640625" style="287" customWidth="1"/>
    <col min="2819" max="2819" width="12.109375" style="287" customWidth="1"/>
    <col min="2820" max="2820" width="2.5546875" style="287" customWidth="1"/>
    <col min="2821" max="3067" width="8.88671875" style="287"/>
    <col min="3068" max="3068" width="1" style="287" customWidth="1"/>
    <col min="3069" max="3069" width="24.109375" style="287" customWidth="1"/>
    <col min="3070" max="3070" width="14.33203125" style="287" bestFit="1" customWidth="1"/>
    <col min="3071" max="3071" width="13.21875" style="287" bestFit="1" customWidth="1"/>
    <col min="3072" max="3072" width="12.33203125" style="287" customWidth="1"/>
    <col min="3073" max="3073" width="11.77734375" style="287" bestFit="1" customWidth="1"/>
    <col min="3074" max="3074" width="12.6640625" style="287" customWidth="1"/>
    <col min="3075" max="3075" width="12.109375" style="287" customWidth="1"/>
    <col min="3076" max="3076" width="2.5546875" style="287" customWidth="1"/>
    <col min="3077" max="3323" width="8.88671875" style="287"/>
    <col min="3324" max="3324" width="1" style="287" customWidth="1"/>
    <col min="3325" max="3325" width="24.109375" style="287" customWidth="1"/>
    <col min="3326" max="3326" width="14.33203125" style="287" bestFit="1" customWidth="1"/>
    <col min="3327" max="3327" width="13.21875" style="287" bestFit="1" customWidth="1"/>
    <col min="3328" max="3328" width="12.33203125" style="287" customWidth="1"/>
    <col min="3329" max="3329" width="11.77734375" style="287" bestFit="1" customWidth="1"/>
    <col min="3330" max="3330" width="12.6640625" style="287" customWidth="1"/>
    <col min="3331" max="3331" width="12.109375" style="287" customWidth="1"/>
    <col min="3332" max="3332" width="2.5546875" style="287" customWidth="1"/>
    <col min="3333" max="3579" width="8.88671875" style="287"/>
    <col min="3580" max="3580" width="1" style="287" customWidth="1"/>
    <col min="3581" max="3581" width="24.109375" style="287" customWidth="1"/>
    <col min="3582" max="3582" width="14.33203125" style="287" bestFit="1" customWidth="1"/>
    <col min="3583" max="3583" width="13.21875" style="287" bestFit="1" customWidth="1"/>
    <col min="3584" max="3584" width="12.33203125" style="287" customWidth="1"/>
    <col min="3585" max="3585" width="11.77734375" style="287" bestFit="1" customWidth="1"/>
    <col min="3586" max="3586" width="12.6640625" style="287" customWidth="1"/>
    <col min="3587" max="3587" width="12.109375" style="287" customWidth="1"/>
    <col min="3588" max="3588" width="2.5546875" style="287" customWidth="1"/>
    <col min="3589" max="3835" width="8.88671875" style="287"/>
    <col min="3836" max="3836" width="1" style="287" customWidth="1"/>
    <col min="3837" max="3837" width="24.109375" style="287" customWidth="1"/>
    <col min="3838" max="3838" width="14.33203125" style="287" bestFit="1" customWidth="1"/>
    <col min="3839" max="3839" width="13.21875" style="287" bestFit="1" customWidth="1"/>
    <col min="3840" max="3840" width="12.33203125" style="287" customWidth="1"/>
    <col min="3841" max="3841" width="11.77734375" style="287" bestFit="1" customWidth="1"/>
    <col min="3842" max="3842" width="12.6640625" style="287" customWidth="1"/>
    <col min="3843" max="3843" width="12.109375" style="287" customWidth="1"/>
    <col min="3844" max="3844" width="2.5546875" style="287" customWidth="1"/>
    <col min="3845" max="4091" width="8.88671875" style="287"/>
    <col min="4092" max="4092" width="1" style="287" customWidth="1"/>
    <col min="4093" max="4093" width="24.109375" style="287" customWidth="1"/>
    <col min="4094" max="4094" width="14.33203125" style="287" bestFit="1" customWidth="1"/>
    <col min="4095" max="4095" width="13.21875" style="287" bestFit="1" customWidth="1"/>
    <col min="4096" max="4096" width="12.33203125" style="287" customWidth="1"/>
    <col min="4097" max="4097" width="11.77734375" style="287" bestFit="1" customWidth="1"/>
    <col min="4098" max="4098" width="12.6640625" style="287" customWidth="1"/>
    <col min="4099" max="4099" width="12.109375" style="287" customWidth="1"/>
    <col min="4100" max="4100" width="2.5546875" style="287" customWidth="1"/>
    <col min="4101" max="4347" width="8.88671875" style="287"/>
    <col min="4348" max="4348" width="1" style="287" customWidth="1"/>
    <col min="4349" max="4349" width="24.109375" style="287" customWidth="1"/>
    <col min="4350" max="4350" width="14.33203125" style="287" bestFit="1" customWidth="1"/>
    <col min="4351" max="4351" width="13.21875" style="287" bestFit="1" customWidth="1"/>
    <col min="4352" max="4352" width="12.33203125" style="287" customWidth="1"/>
    <col min="4353" max="4353" width="11.77734375" style="287" bestFit="1" customWidth="1"/>
    <col min="4354" max="4354" width="12.6640625" style="287" customWidth="1"/>
    <col min="4355" max="4355" width="12.109375" style="287" customWidth="1"/>
    <col min="4356" max="4356" width="2.5546875" style="287" customWidth="1"/>
    <col min="4357" max="4603" width="8.88671875" style="287"/>
    <col min="4604" max="4604" width="1" style="287" customWidth="1"/>
    <col min="4605" max="4605" width="24.109375" style="287" customWidth="1"/>
    <col min="4606" max="4606" width="14.33203125" style="287" bestFit="1" customWidth="1"/>
    <col min="4607" max="4607" width="13.21875" style="287" bestFit="1" customWidth="1"/>
    <col min="4608" max="4608" width="12.33203125" style="287" customWidth="1"/>
    <col min="4609" max="4609" width="11.77734375" style="287" bestFit="1" customWidth="1"/>
    <col min="4610" max="4610" width="12.6640625" style="287" customWidth="1"/>
    <col min="4611" max="4611" width="12.109375" style="287" customWidth="1"/>
    <col min="4612" max="4612" width="2.5546875" style="287" customWidth="1"/>
    <col min="4613" max="4859" width="8.88671875" style="287"/>
    <col min="4860" max="4860" width="1" style="287" customWidth="1"/>
    <col min="4861" max="4861" width="24.109375" style="287" customWidth="1"/>
    <col min="4862" max="4862" width="14.33203125" style="287" bestFit="1" customWidth="1"/>
    <col min="4863" max="4863" width="13.21875" style="287" bestFit="1" customWidth="1"/>
    <col min="4864" max="4864" width="12.33203125" style="287" customWidth="1"/>
    <col min="4865" max="4865" width="11.77734375" style="287" bestFit="1" customWidth="1"/>
    <col min="4866" max="4866" width="12.6640625" style="287" customWidth="1"/>
    <col min="4867" max="4867" width="12.109375" style="287" customWidth="1"/>
    <col min="4868" max="4868" width="2.5546875" style="287" customWidth="1"/>
    <col min="4869" max="5115" width="8.88671875" style="287"/>
    <col min="5116" max="5116" width="1" style="287" customWidth="1"/>
    <col min="5117" max="5117" width="24.109375" style="287" customWidth="1"/>
    <col min="5118" max="5118" width="14.33203125" style="287" bestFit="1" customWidth="1"/>
    <col min="5119" max="5119" width="13.21875" style="287" bestFit="1" customWidth="1"/>
    <col min="5120" max="5120" width="12.33203125" style="287" customWidth="1"/>
    <col min="5121" max="5121" width="11.77734375" style="287" bestFit="1" customWidth="1"/>
    <col min="5122" max="5122" width="12.6640625" style="287" customWidth="1"/>
    <col min="5123" max="5123" width="12.109375" style="287" customWidth="1"/>
    <col min="5124" max="5124" width="2.5546875" style="287" customWidth="1"/>
    <col min="5125" max="5371" width="8.88671875" style="287"/>
    <col min="5372" max="5372" width="1" style="287" customWidth="1"/>
    <col min="5373" max="5373" width="24.109375" style="287" customWidth="1"/>
    <col min="5374" max="5374" width="14.33203125" style="287" bestFit="1" customWidth="1"/>
    <col min="5375" max="5375" width="13.21875" style="287" bestFit="1" customWidth="1"/>
    <col min="5376" max="5376" width="12.33203125" style="287" customWidth="1"/>
    <col min="5377" max="5377" width="11.77734375" style="287" bestFit="1" customWidth="1"/>
    <col min="5378" max="5378" width="12.6640625" style="287" customWidth="1"/>
    <col min="5379" max="5379" width="12.109375" style="287" customWidth="1"/>
    <col min="5380" max="5380" width="2.5546875" style="287" customWidth="1"/>
    <col min="5381" max="5627" width="8.88671875" style="287"/>
    <col min="5628" max="5628" width="1" style="287" customWidth="1"/>
    <col min="5629" max="5629" width="24.109375" style="287" customWidth="1"/>
    <col min="5630" max="5630" width="14.33203125" style="287" bestFit="1" customWidth="1"/>
    <col min="5631" max="5631" width="13.21875" style="287" bestFit="1" customWidth="1"/>
    <col min="5632" max="5632" width="12.33203125" style="287" customWidth="1"/>
    <col min="5633" max="5633" width="11.77734375" style="287" bestFit="1" customWidth="1"/>
    <col min="5634" max="5634" width="12.6640625" style="287" customWidth="1"/>
    <col min="5635" max="5635" width="12.109375" style="287" customWidth="1"/>
    <col min="5636" max="5636" width="2.5546875" style="287" customWidth="1"/>
    <col min="5637" max="5883" width="8.88671875" style="287"/>
    <col min="5884" max="5884" width="1" style="287" customWidth="1"/>
    <col min="5885" max="5885" width="24.109375" style="287" customWidth="1"/>
    <col min="5886" max="5886" width="14.33203125" style="287" bestFit="1" customWidth="1"/>
    <col min="5887" max="5887" width="13.21875" style="287" bestFit="1" customWidth="1"/>
    <col min="5888" max="5888" width="12.33203125" style="287" customWidth="1"/>
    <col min="5889" max="5889" width="11.77734375" style="287" bestFit="1" customWidth="1"/>
    <col min="5890" max="5890" width="12.6640625" style="287" customWidth="1"/>
    <col min="5891" max="5891" width="12.109375" style="287" customWidth="1"/>
    <col min="5892" max="5892" width="2.5546875" style="287" customWidth="1"/>
    <col min="5893" max="6139" width="8.88671875" style="287"/>
    <col min="6140" max="6140" width="1" style="287" customWidth="1"/>
    <col min="6141" max="6141" width="24.109375" style="287" customWidth="1"/>
    <col min="6142" max="6142" width="14.33203125" style="287" bestFit="1" customWidth="1"/>
    <col min="6143" max="6143" width="13.21875" style="287" bestFit="1" customWidth="1"/>
    <col min="6144" max="6144" width="12.33203125" style="287" customWidth="1"/>
    <col min="6145" max="6145" width="11.77734375" style="287" bestFit="1" customWidth="1"/>
    <col min="6146" max="6146" width="12.6640625" style="287" customWidth="1"/>
    <col min="6147" max="6147" width="12.109375" style="287" customWidth="1"/>
    <col min="6148" max="6148" width="2.5546875" style="287" customWidth="1"/>
    <col min="6149" max="6395" width="8.88671875" style="287"/>
    <col min="6396" max="6396" width="1" style="287" customWidth="1"/>
    <col min="6397" max="6397" width="24.109375" style="287" customWidth="1"/>
    <col min="6398" max="6398" width="14.33203125" style="287" bestFit="1" customWidth="1"/>
    <col min="6399" max="6399" width="13.21875" style="287" bestFit="1" customWidth="1"/>
    <col min="6400" max="6400" width="12.33203125" style="287" customWidth="1"/>
    <col min="6401" max="6401" width="11.77734375" style="287" bestFit="1" customWidth="1"/>
    <col min="6402" max="6402" width="12.6640625" style="287" customWidth="1"/>
    <col min="6403" max="6403" width="12.109375" style="287" customWidth="1"/>
    <col min="6404" max="6404" width="2.5546875" style="287" customWidth="1"/>
    <col min="6405" max="6651" width="8.88671875" style="287"/>
    <col min="6652" max="6652" width="1" style="287" customWidth="1"/>
    <col min="6653" max="6653" width="24.109375" style="287" customWidth="1"/>
    <col min="6654" max="6654" width="14.33203125" style="287" bestFit="1" customWidth="1"/>
    <col min="6655" max="6655" width="13.21875" style="287" bestFit="1" customWidth="1"/>
    <col min="6656" max="6656" width="12.33203125" style="287" customWidth="1"/>
    <col min="6657" max="6657" width="11.77734375" style="287" bestFit="1" customWidth="1"/>
    <col min="6658" max="6658" width="12.6640625" style="287" customWidth="1"/>
    <col min="6659" max="6659" width="12.109375" style="287" customWidth="1"/>
    <col min="6660" max="6660" width="2.5546875" style="287" customWidth="1"/>
    <col min="6661" max="6907" width="8.88671875" style="287"/>
    <col min="6908" max="6908" width="1" style="287" customWidth="1"/>
    <col min="6909" max="6909" width="24.109375" style="287" customWidth="1"/>
    <col min="6910" max="6910" width="14.33203125" style="287" bestFit="1" customWidth="1"/>
    <col min="6911" max="6911" width="13.21875" style="287" bestFit="1" customWidth="1"/>
    <col min="6912" max="6912" width="12.33203125" style="287" customWidth="1"/>
    <col min="6913" max="6913" width="11.77734375" style="287" bestFit="1" customWidth="1"/>
    <col min="6914" max="6914" width="12.6640625" style="287" customWidth="1"/>
    <col min="6915" max="6915" width="12.109375" style="287" customWidth="1"/>
    <col min="6916" max="6916" width="2.5546875" style="287" customWidth="1"/>
    <col min="6917" max="7163" width="8.88671875" style="287"/>
    <col min="7164" max="7164" width="1" style="287" customWidth="1"/>
    <col min="7165" max="7165" width="24.109375" style="287" customWidth="1"/>
    <col min="7166" max="7166" width="14.33203125" style="287" bestFit="1" customWidth="1"/>
    <col min="7167" max="7167" width="13.21875" style="287" bestFit="1" customWidth="1"/>
    <col min="7168" max="7168" width="12.33203125" style="287" customWidth="1"/>
    <col min="7169" max="7169" width="11.77734375" style="287" bestFit="1" customWidth="1"/>
    <col min="7170" max="7170" width="12.6640625" style="287" customWidth="1"/>
    <col min="7171" max="7171" width="12.109375" style="287" customWidth="1"/>
    <col min="7172" max="7172" width="2.5546875" style="287" customWidth="1"/>
    <col min="7173" max="7419" width="8.88671875" style="287"/>
    <col min="7420" max="7420" width="1" style="287" customWidth="1"/>
    <col min="7421" max="7421" width="24.109375" style="287" customWidth="1"/>
    <col min="7422" max="7422" width="14.33203125" style="287" bestFit="1" customWidth="1"/>
    <col min="7423" max="7423" width="13.21875" style="287" bestFit="1" customWidth="1"/>
    <col min="7424" max="7424" width="12.33203125" style="287" customWidth="1"/>
    <col min="7425" max="7425" width="11.77734375" style="287" bestFit="1" customWidth="1"/>
    <col min="7426" max="7426" width="12.6640625" style="287" customWidth="1"/>
    <col min="7427" max="7427" width="12.109375" style="287" customWidth="1"/>
    <col min="7428" max="7428" width="2.5546875" style="287" customWidth="1"/>
    <col min="7429" max="7675" width="8.88671875" style="287"/>
    <col min="7676" max="7676" width="1" style="287" customWidth="1"/>
    <col min="7677" max="7677" width="24.109375" style="287" customWidth="1"/>
    <col min="7678" max="7678" width="14.33203125" style="287" bestFit="1" customWidth="1"/>
    <col min="7679" max="7679" width="13.21875" style="287" bestFit="1" customWidth="1"/>
    <col min="7680" max="7680" width="12.33203125" style="287" customWidth="1"/>
    <col min="7681" max="7681" width="11.77734375" style="287" bestFit="1" customWidth="1"/>
    <col min="7682" max="7682" width="12.6640625" style="287" customWidth="1"/>
    <col min="7683" max="7683" width="12.109375" style="287" customWidth="1"/>
    <col min="7684" max="7684" width="2.5546875" style="287" customWidth="1"/>
    <col min="7685" max="7931" width="8.88671875" style="287"/>
    <col min="7932" max="7932" width="1" style="287" customWidth="1"/>
    <col min="7933" max="7933" width="24.109375" style="287" customWidth="1"/>
    <col min="7934" max="7934" width="14.33203125" style="287" bestFit="1" customWidth="1"/>
    <col min="7935" max="7935" width="13.21875" style="287" bestFit="1" customWidth="1"/>
    <col min="7936" max="7936" width="12.33203125" style="287" customWidth="1"/>
    <col min="7937" max="7937" width="11.77734375" style="287" bestFit="1" customWidth="1"/>
    <col min="7938" max="7938" width="12.6640625" style="287" customWidth="1"/>
    <col min="7939" max="7939" width="12.109375" style="287" customWidth="1"/>
    <col min="7940" max="7940" width="2.5546875" style="287" customWidth="1"/>
    <col min="7941" max="8187" width="8.88671875" style="287"/>
    <col min="8188" max="8188" width="1" style="287" customWidth="1"/>
    <col min="8189" max="8189" width="24.109375" style="287" customWidth="1"/>
    <col min="8190" max="8190" width="14.33203125" style="287" bestFit="1" customWidth="1"/>
    <col min="8191" max="8191" width="13.21875" style="287" bestFit="1" customWidth="1"/>
    <col min="8192" max="8192" width="12.33203125" style="287" customWidth="1"/>
    <col min="8193" max="8193" width="11.77734375" style="287" bestFit="1" customWidth="1"/>
    <col min="8194" max="8194" width="12.6640625" style="287" customWidth="1"/>
    <col min="8195" max="8195" width="12.109375" style="287" customWidth="1"/>
    <col min="8196" max="8196" width="2.5546875" style="287" customWidth="1"/>
    <col min="8197" max="8443" width="8.88671875" style="287"/>
    <col min="8444" max="8444" width="1" style="287" customWidth="1"/>
    <col min="8445" max="8445" width="24.109375" style="287" customWidth="1"/>
    <col min="8446" max="8446" width="14.33203125" style="287" bestFit="1" customWidth="1"/>
    <col min="8447" max="8447" width="13.21875" style="287" bestFit="1" customWidth="1"/>
    <col min="8448" max="8448" width="12.33203125" style="287" customWidth="1"/>
    <col min="8449" max="8449" width="11.77734375" style="287" bestFit="1" customWidth="1"/>
    <col min="8450" max="8450" width="12.6640625" style="287" customWidth="1"/>
    <col min="8451" max="8451" width="12.109375" style="287" customWidth="1"/>
    <col min="8452" max="8452" width="2.5546875" style="287" customWidth="1"/>
    <col min="8453" max="8699" width="8.88671875" style="287"/>
    <col min="8700" max="8700" width="1" style="287" customWidth="1"/>
    <col min="8701" max="8701" width="24.109375" style="287" customWidth="1"/>
    <col min="8702" max="8702" width="14.33203125" style="287" bestFit="1" customWidth="1"/>
    <col min="8703" max="8703" width="13.21875" style="287" bestFit="1" customWidth="1"/>
    <col min="8704" max="8704" width="12.33203125" style="287" customWidth="1"/>
    <col min="8705" max="8705" width="11.77734375" style="287" bestFit="1" customWidth="1"/>
    <col min="8706" max="8706" width="12.6640625" style="287" customWidth="1"/>
    <col min="8707" max="8707" width="12.109375" style="287" customWidth="1"/>
    <col min="8708" max="8708" width="2.5546875" style="287" customWidth="1"/>
    <col min="8709" max="8955" width="8.88671875" style="287"/>
    <col min="8956" max="8956" width="1" style="287" customWidth="1"/>
    <col min="8957" max="8957" width="24.109375" style="287" customWidth="1"/>
    <col min="8958" max="8958" width="14.33203125" style="287" bestFit="1" customWidth="1"/>
    <col min="8959" max="8959" width="13.21875" style="287" bestFit="1" customWidth="1"/>
    <col min="8960" max="8960" width="12.33203125" style="287" customWidth="1"/>
    <col min="8961" max="8961" width="11.77734375" style="287" bestFit="1" customWidth="1"/>
    <col min="8962" max="8962" width="12.6640625" style="287" customWidth="1"/>
    <col min="8963" max="8963" width="12.109375" style="287" customWidth="1"/>
    <col min="8964" max="8964" width="2.5546875" style="287" customWidth="1"/>
    <col min="8965" max="9211" width="8.88671875" style="287"/>
    <col min="9212" max="9212" width="1" style="287" customWidth="1"/>
    <col min="9213" max="9213" width="24.109375" style="287" customWidth="1"/>
    <col min="9214" max="9214" width="14.33203125" style="287" bestFit="1" customWidth="1"/>
    <col min="9215" max="9215" width="13.21875" style="287" bestFit="1" customWidth="1"/>
    <col min="9216" max="9216" width="12.33203125" style="287" customWidth="1"/>
    <col min="9217" max="9217" width="11.77734375" style="287" bestFit="1" customWidth="1"/>
    <col min="9218" max="9218" width="12.6640625" style="287" customWidth="1"/>
    <col min="9219" max="9219" width="12.109375" style="287" customWidth="1"/>
    <col min="9220" max="9220" width="2.5546875" style="287" customWidth="1"/>
    <col min="9221" max="9467" width="8.88671875" style="287"/>
    <col min="9468" max="9468" width="1" style="287" customWidth="1"/>
    <col min="9469" max="9469" width="24.109375" style="287" customWidth="1"/>
    <col min="9470" max="9470" width="14.33203125" style="287" bestFit="1" customWidth="1"/>
    <col min="9471" max="9471" width="13.21875" style="287" bestFit="1" customWidth="1"/>
    <col min="9472" max="9472" width="12.33203125" style="287" customWidth="1"/>
    <col min="9473" max="9473" width="11.77734375" style="287" bestFit="1" customWidth="1"/>
    <col min="9474" max="9474" width="12.6640625" style="287" customWidth="1"/>
    <col min="9475" max="9475" width="12.109375" style="287" customWidth="1"/>
    <col min="9476" max="9476" width="2.5546875" style="287" customWidth="1"/>
    <col min="9477" max="9723" width="8.88671875" style="287"/>
    <col min="9724" max="9724" width="1" style="287" customWidth="1"/>
    <col min="9725" max="9725" width="24.109375" style="287" customWidth="1"/>
    <col min="9726" max="9726" width="14.33203125" style="287" bestFit="1" customWidth="1"/>
    <col min="9727" max="9727" width="13.21875" style="287" bestFit="1" customWidth="1"/>
    <col min="9728" max="9728" width="12.33203125" style="287" customWidth="1"/>
    <col min="9729" max="9729" width="11.77734375" style="287" bestFit="1" customWidth="1"/>
    <col min="9730" max="9730" width="12.6640625" style="287" customWidth="1"/>
    <col min="9731" max="9731" width="12.109375" style="287" customWidth="1"/>
    <col min="9732" max="9732" width="2.5546875" style="287" customWidth="1"/>
    <col min="9733" max="9979" width="8.88671875" style="287"/>
    <col min="9980" max="9980" width="1" style="287" customWidth="1"/>
    <col min="9981" max="9981" width="24.109375" style="287" customWidth="1"/>
    <col min="9982" max="9982" width="14.33203125" style="287" bestFit="1" customWidth="1"/>
    <col min="9983" max="9983" width="13.21875" style="287" bestFit="1" customWidth="1"/>
    <col min="9984" max="9984" width="12.33203125" style="287" customWidth="1"/>
    <col min="9985" max="9985" width="11.77734375" style="287" bestFit="1" customWidth="1"/>
    <col min="9986" max="9986" width="12.6640625" style="287" customWidth="1"/>
    <col min="9987" max="9987" width="12.109375" style="287" customWidth="1"/>
    <col min="9988" max="9988" width="2.5546875" style="287" customWidth="1"/>
    <col min="9989" max="10235" width="8.88671875" style="287"/>
    <col min="10236" max="10236" width="1" style="287" customWidth="1"/>
    <col min="10237" max="10237" width="24.109375" style="287" customWidth="1"/>
    <col min="10238" max="10238" width="14.33203125" style="287" bestFit="1" customWidth="1"/>
    <col min="10239" max="10239" width="13.21875" style="287" bestFit="1" customWidth="1"/>
    <col min="10240" max="10240" width="12.33203125" style="287" customWidth="1"/>
    <col min="10241" max="10241" width="11.77734375" style="287" bestFit="1" customWidth="1"/>
    <col min="10242" max="10242" width="12.6640625" style="287" customWidth="1"/>
    <col min="10243" max="10243" width="12.109375" style="287" customWidth="1"/>
    <col min="10244" max="10244" width="2.5546875" style="287" customWidth="1"/>
    <col min="10245" max="10491" width="8.88671875" style="287"/>
    <col min="10492" max="10492" width="1" style="287" customWidth="1"/>
    <col min="10493" max="10493" width="24.109375" style="287" customWidth="1"/>
    <col min="10494" max="10494" width="14.33203125" style="287" bestFit="1" customWidth="1"/>
    <col min="10495" max="10495" width="13.21875" style="287" bestFit="1" customWidth="1"/>
    <col min="10496" max="10496" width="12.33203125" style="287" customWidth="1"/>
    <col min="10497" max="10497" width="11.77734375" style="287" bestFit="1" customWidth="1"/>
    <col min="10498" max="10498" width="12.6640625" style="287" customWidth="1"/>
    <col min="10499" max="10499" width="12.109375" style="287" customWidth="1"/>
    <col min="10500" max="10500" width="2.5546875" style="287" customWidth="1"/>
    <col min="10501" max="10747" width="8.88671875" style="287"/>
    <col min="10748" max="10748" width="1" style="287" customWidth="1"/>
    <col min="10749" max="10749" width="24.109375" style="287" customWidth="1"/>
    <col min="10750" max="10750" width="14.33203125" style="287" bestFit="1" customWidth="1"/>
    <col min="10751" max="10751" width="13.21875" style="287" bestFit="1" customWidth="1"/>
    <col min="10752" max="10752" width="12.33203125" style="287" customWidth="1"/>
    <col min="10753" max="10753" width="11.77734375" style="287" bestFit="1" customWidth="1"/>
    <col min="10754" max="10754" width="12.6640625" style="287" customWidth="1"/>
    <col min="10755" max="10755" width="12.109375" style="287" customWidth="1"/>
    <col min="10756" max="10756" width="2.5546875" style="287" customWidth="1"/>
    <col min="10757" max="11003" width="8.88671875" style="287"/>
    <col min="11004" max="11004" width="1" style="287" customWidth="1"/>
    <col min="11005" max="11005" width="24.109375" style="287" customWidth="1"/>
    <col min="11006" max="11006" width="14.33203125" style="287" bestFit="1" customWidth="1"/>
    <col min="11007" max="11007" width="13.21875" style="287" bestFit="1" customWidth="1"/>
    <col min="11008" max="11008" width="12.33203125" style="287" customWidth="1"/>
    <col min="11009" max="11009" width="11.77734375" style="287" bestFit="1" customWidth="1"/>
    <col min="11010" max="11010" width="12.6640625" style="287" customWidth="1"/>
    <col min="11011" max="11011" width="12.109375" style="287" customWidth="1"/>
    <col min="11012" max="11012" width="2.5546875" style="287" customWidth="1"/>
    <col min="11013" max="11259" width="8.88671875" style="287"/>
    <col min="11260" max="11260" width="1" style="287" customWidth="1"/>
    <col min="11261" max="11261" width="24.109375" style="287" customWidth="1"/>
    <col min="11262" max="11262" width="14.33203125" style="287" bestFit="1" customWidth="1"/>
    <col min="11263" max="11263" width="13.21875" style="287" bestFit="1" customWidth="1"/>
    <col min="11264" max="11264" width="12.33203125" style="287" customWidth="1"/>
    <col min="11265" max="11265" width="11.77734375" style="287" bestFit="1" customWidth="1"/>
    <col min="11266" max="11266" width="12.6640625" style="287" customWidth="1"/>
    <col min="11267" max="11267" width="12.109375" style="287" customWidth="1"/>
    <col min="11268" max="11268" width="2.5546875" style="287" customWidth="1"/>
    <col min="11269" max="11515" width="8.88671875" style="287"/>
    <col min="11516" max="11516" width="1" style="287" customWidth="1"/>
    <col min="11517" max="11517" width="24.109375" style="287" customWidth="1"/>
    <col min="11518" max="11518" width="14.33203125" style="287" bestFit="1" customWidth="1"/>
    <col min="11519" max="11519" width="13.21875" style="287" bestFit="1" customWidth="1"/>
    <col min="11520" max="11520" width="12.33203125" style="287" customWidth="1"/>
    <col min="11521" max="11521" width="11.77734375" style="287" bestFit="1" customWidth="1"/>
    <col min="11522" max="11522" width="12.6640625" style="287" customWidth="1"/>
    <col min="11523" max="11523" width="12.109375" style="287" customWidth="1"/>
    <col min="11524" max="11524" width="2.5546875" style="287" customWidth="1"/>
    <col min="11525" max="11771" width="8.88671875" style="287"/>
    <col min="11772" max="11772" width="1" style="287" customWidth="1"/>
    <col min="11773" max="11773" width="24.109375" style="287" customWidth="1"/>
    <col min="11774" max="11774" width="14.33203125" style="287" bestFit="1" customWidth="1"/>
    <col min="11775" max="11775" width="13.21875" style="287" bestFit="1" customWidth="1"/>
    <col min="11776" max="11776" width="12.33203125" style="287" customWidth="1"/>
    <col min="11777" max="11777" width="11.77734375" style="287" bestFit="1" customWidth="1"/>
    <col min="11778" max="11778" width="12.6640625" style="287" customWidth="1"/>
    <col min="11779" max="11779" width="12.109375" style="287" customWidth="1"/>
    <col min="11780" max="11780" width="2.5546875" style="287" customWidth="1"/>
    <col min="11781" max="12027" width="8.88671875" style="287"/>
    <col min="12028" max="12028" width="1" style="287" customWidth="1"/>
    <col min="12029" max="12029" width="24.109375" style="287" customWidth="1"/>
    <col min="12030" max="12030" width="14.33203125" style="287" bestFit="1" customWidth="1"/>
    <col min="12031" max="12031" width="13.21875" style="287" bestFit="1" customWidth="1"/>
    <col min="12032" max="12032" width="12.33203125" style="287" customWidth="1"/>
    <col min="12033" max="12033" width="11.77734375" style="287" bestFit="1" customWidth="1"/>
    <col min="12034" max="12034" width="12.6640625" style="287" customWidth="1"/>
    <col min="12035" max="12035" width="12.109375" style="287" customWidth="1"/>
    <col min="12036" max="12036" width="2.5546875" style="287" customWidth="1"/>
    <col min="12037" max="12283" width="8.88671875" style="287"/>
    <col min="12284" max="12284" width="1" style="287" customWidth="1"/>
    <col min="12285" max="12285" width="24.109375" style="287" customWidth="1"/>
    <col min="12286" max="12286" width="14.33203125" style="287" bestFit="1" customWidth="1"/>
    <col min="12287" max="12287" width="13.21875" style="287" bestFit="1" customWidth="1"/>
    <col min="12288" max="12288" width="12.33203125" style="287" customWidth="1"/>
    <col min="12289" max="12289" width="11.77734375" style="287" bestFit="1" customWidth="1"/>
    <col min="12290" max="12290" width="12.6640625" style="287" customWidth="1"/>
    <col min="12291" max="12291" width="12.109375" style="287" customWidth="1"/>
    <col min="12292" max="12292" width="2.5546875" style="287" customWidth="1"/>
    <col min="12293" max="12539" width="8.88671875" style="287"/>
    <col min="12540" max="12540" width="1" style="287" customWidth="1"/>
    <col min="12541" max="12541" width="24.109375" style="287" customWidth="1"/>
    <col min="12542" max="12542" width="14.33203125" style="287" bestFit="1" customWidth="1"/>
    <col min="12543" max="12543" width="13.21875" style="287" bestFit="1" customWidth="1"/>
    <col min="12544" max="12544" width="12.33203125" style="287" customWidth="1"/>
    <col min="12545" max="12545" width="11.77734375" style="287" bestFit="1" customWidth="1"/>
    <col min="12546" max="12546" width="12.6640625" style="287" customWidth="1"/>
    <col min="12547" max="12547" width="12.109375" style="287" customWidth="1"/>
    <col min="12548" max="12548" width="2.5546875" style="287" customWidth="1"/>
    <col min="12549" max="12795" width="8.88671875" style="287"/>
    <col min="12796" max="12796" width="1" style="287" customWidth="1"/>
    <col min="12797" max="12797" width="24.109375" style="287" customWidth="1"/>
    <col min="12798" max="12798" width="14.33203125" style="287" bestFit="1" customWidth="1"/>
    <col min="12799" max="12799" width="13.21875" style="287" bestFit="1" customWidth="1"/>
    <col min="12800" max="12800" width="12.33203125" style="287" customWidth="1"/>
    <col min="12801" max="12801" width="11.77734375" style="287" bestFit="1" customWidth="1"/>
    <col min="12802" max="12802" width="12.6640625" style="287" customWidth="1"/>
    <col min="12803" max="12803" width="12.109375" style="287" customWidth="1"/>
    <col min="12804" max="12804" width="2.5546875" style="287" customWidth="1"/>
    <col min="12805" max="13051" width="8.88671875" style="287"/>
    <col min="13052" max="13052" width="1" style="287" customWidth="1"/>
    <col min="13053" max="13053" width="24.109375" style="287" customWidth="1"/>
    <col min="13054" max="13054" width="14.33203125" style="287" bestFit="1" customWidth="1"/>
    <col min="13055" max="13055" width="13.21875" style="287" bestFit="1" customWidth="1"/>
    <col min="13056" max="13056" width="12.33203125" style="287" customWidth="1"/>
    <col min="13057" max="13057" width="11.77734375" style="287" bestFit="1" customWidth="1"/>
    <col min="13058" max="13058" width="12.6640625" style="287" customWidth="1"/>
    <col min="13059" max="13059" width="12.109375" style="287" customWidth="1"/>
    <col min="13060" max="13060" width="2.5546875" style="287" customWidth="1"/>
    <col min="13061" max="13307" width="8.88671875" style="287"/>
    <col min="13308" max="13308" width="1" style="287" customWidth="1"/>
    <col min="13309" max="13309" width="24.109375" style="287" customWidth="1"/>
    <col min="13310" max="13310" width="14.33203125" style="287" bestFit="1" customWidth="1"/>
    <col min="13311" max="13311" width="13.21875" style="287" bestFit="1" customWidth="1"/>
    <col min="13312" max="13312" width="12.33203125" style="287" customWidth="1"/>
    <col min="13313" max="13313" width="11.77734375" style="287" bestFit="1" customWidth="1"/>
    <col min="13314" max="13314" width="12.6640625" style="287" customWidth="1"/>
    <col min="13315" max="13315" width="12.109375" style="287" customWidth="1"/>
    <col min="13316" max="13316" width="2.5546875" style="287" customWidth="1"/>
    <col min="13317" max="13563" width="8.88671875" style="287"/>
    <col min="13564" max="13564" width="1" style="287" customWidth="1"/>
    <col min="13565" max="13565" width="24.109375" style="287" customWidth="1"/>
    <col min="13566" max="13566" width="14.33203125" style="287" bestFit="1" customWidth="1"/>
    <col min="13567" max="13567" width="13.21875" style="287" bestFit="1" customWidth="1"/>
    <col min="13568" max="13568" width="12.33203125" style="287" customWidth="1"/>
    <col min="13569" max="13569" width="11.77734375" style="287" bestFit="1" customWidth="1"/>
    <col min="13570" max="13570" width="12.6640625" style="287" customWidth="1"/>
    <col min="13571" max="13571" width="12.109375" style="287" customWidth="1"/>
    <col min="13572" max="13572" width="2.5546875" style="287" customWidth="1"/>
    <col min="13573" max="13819" width="8.88671875" style="287"/>
    <col min="13820" max="13820" width="1" style="287" customWidth="1"/>
    <col min="13821" max="13821" width="24.109375" style="287" customWidth="1"/>
    <col min="13822" max="13822" width="14.33203125" style="287" bestFit="1" customWidth="1"/>
    <col min="13823" max="13823" width="13.21875" style="287" bestFit="1" customWidth="1"/>
    <col min="13824" max="13824" width="12.33203125" style="287" customWidth="1"/>
    <col min="13825" max="13825" width="11.77734375" style="287" bestFit="1" customWidth="1"/>
    <col min="13826" max="13826" width="12.6640625" style="287" customWidth="1"/>
    <col min="13827" max="13827" width="12.109375" style="287" customWidth="1"/>
    <col min="13828" max="13828" width="2.5546875" style="287" customWidth="1"/>
    <col min="13829" max="14075" width="8.88671875" style="287"/>
    <col min="14076" max="14076" width="1" style="287" customWidth="1"/>
    <col min="14077" max="14077" width="24.109375" style="287" customWidth="1"/>
    <col min="14078" max="14078" width="14.33203125" style="287" bestFit="1" customWidth="1"/>
    <col min="14079" max="14079" width="13.21875" style="287" bestFit="1" customWidth="1"/>
    <col min="14080" max="14080" width="12.33203125" style="287" customWidth="1"/>
    <col min="14081" max="14081" width="11.77734375" style="287" bestFit="1" customWidth="1"/>
    <col min="14082" max="14082" width="12.6640625" style="287" customWidth="1"/>
    <col min="14083" max="14083" width="12.109375" style="287" customWidth="1"/>
    <col min="14084" max="14084" width="2.5546875" style="287" customWidth="1"/>
    <col min="14085" max="14331" width="8.88671875" style="287"/>
    <col min="14332" max="14332" width="1" style="287" customWidth="1"/>
    <col min="14333" max="14333" width="24.109375" style="287" customWidth="1"/>
    <col min="14334" max="14334" width="14.33203125" style="287" bestFit="1" customWidth="1"/>
    <col min="14335" max="14335" width="13.21875" style="287" bestFit="1" customWidth="1"/>
    <col min="14336" max="14336" width="12.33203125" style="287" customWidth="1"/>
    <col min="14337" max="14337" width="11.77734375" style="287" bestFit="1" customWidth="1"/>
    <col min="14338" max="14338" width="12.6640625" style="287" customWidth="1"/>
    <col min="14339" max="14339" width="12.109375" style="287" customWidth="1"/>
    <col min="14340" max="14340" width="2.5546875" style="287" customWidth="1"/>
    <col min="14341" max="14587" width="8.88671875" style="287"/>
    <col min="14588" max="14588" width="1" style="287" customWidth="1"/>
    <col min="14589" max="14589" width="24.109375" style="287" customWidth="1"/>
    <col min="14590" max="14590" width="14.33203125" style="287" bestFit="1" customWidth="1"/>
    <col min="14591" max="14591" width="13.21875" style="287" bestFit="1" customWidth="1"/>
    <col min="14592" max="14592" width="12.33203125" style="287" customWidth="1"/>
    <col min="14593" max="14593" width="11.77734375" style="287" bestFit="1" customWidth="1"/>
    <col min="14594" max="14594" width="12.6640625" style="287" customWidth="1"/>
    <col min="14595" max="14595" width="12.109375" style="287" customWidth="1"/>
    <col min="14596" max="14596" width="2.5546875" style="287" customWidth="1"/>
    <col min="14597" max="14843" width="8.88671875" style="287"/>
    <col min="14844" max="14844" width="1" style="287" customWidth="1"/>
    <col min="14845" max="14845" width="24.109375" style="287" customWidth="1"/>
    <col min="14846" max="14846" width="14.33203125" style="287" bestFit="1" customWidth="1"/>
    <col min="14847" max="14847" width="13.21875" style="287" bestFit="1" customWidth="1"/>
    <col min="14848" max="14848" width="12.33203125" style="287" customWidth="1"/>
    <col min="14849" max="14849" width="11.77734375" style="287" bestFit="1" customWidth="1"/>
    <col min="14850" max="14850" width="12.6640625" style="287" customWidth="1"/>
    <col min="14851" max="14851" width="12.109375" style="287" customWidth="1"/>
    <col min="14852" max="14852" width="2.5546875" style="287" customWidth="1"/>
    <col min="14853" max="15099" width="8.88671875" style="287"/>
    <col min="15100" max="15100" width="1" style="287" customWidth="1"/>
    <col min="15101" max="15101" width="24.109375" style="287" customWidth="1"/>
    <col min="15102" max="15102" width="14.33203125" style="287" bestFit="1" customWidth="1"/>
    <col min="15103" max="15103" width="13.21875" style="287" bestFit="1" customWidth="1"/>
    <col min="15104" max="15104" width="12.33203125" style="287" customWidth="1"/>
    <col min="15105" max="15105" width="11.77734375" style="287" bestFit="1" customWidth="1"/>
    <col min="15106" max="15106" width="12.6640625" style="287" customWidth="1"/>
    <col min="15107" max="15107" width="12.109375" style="287" customWidth="1"/>
    <col min="15108" max="15108" width="2.5546875" style="287" customWidth="1"/>
    <col min="15109" max="15355" width="8.88671875" style="287"/>
    <col min="15356" max="15356" width="1" style="287" customWidth="1"/>
    <col min="15357" max="15357" width="24.109375" style="287" customWidth="1"/>
    <col min="15358" max="15358" width="14.33203125" style="287" bestFit="1" customWidth="1"/>
    <col min="15359" max="15359" width="13.21875" style="287" bestFit="1" customWidth="1"/>
    <col min="15360" max="15360" width="12.33203125" style="287" customWidth="1"/>
    <col min="15361" max="15361" width="11.77734375" style="287" bestFit="1" customWidth="1"/>
    <col min="15362" max="15362" width="12.6640625" style="287" customWidth="1"/>
    <col min="15363" max="15363" width="12.109375" style="287" customWidth="1"/>
    <col min="15364" max="15364" width="2.5546875" style="287" customWidth="1"/>
    <col min="15365" max="15611" width="8.88671875" style="287"/>
    <col min="15612" max="15612" width="1" style="287" customWidth="1"/>
    <col min="15613" max="15613" width="24.109375" style="287" customWidth="1"/>
    <col min="15614" max="15614" width="14.33203125" style="287" bestFit="1" customWidth="1"/>
    <col min="15615" max="15615" width="13.21875" style="287" bestFit="1" customWidth="1"/>
    <col min="15616" max="15616" width="12.33203125" style="287" customWidth="1"/>
    <col min="15617" max="15617" width="11.77734375" style="287" bestFit="1" customWidth="1"/>
    <col min="15618" max="15618" width="12.6640625" style="287" customWidth="1"/>
    <col min="15619" max="15619" width="12.109375" style="287" customWidth="1"/>
    <col min="15620" max="15620" width="2.5546875" style="287" customWidth="1"/>
    <col min="15621" max="15867" width="8.88671875" style="287"/>
    <col min="15868" max="15868" width="1" style="287" customWidth="1"/>
    <col min="15869" max="15869" width="24.109375" style="287" customWidth="1"/>
    <col min="15870" max="15870" width="14.33203125" style="287" bestFit="1" customWidth="1"/>
    <col min="15871" max="15871" width="13.21875" style="287" bestFit="1" customWidth="1"/>
    <col min="15872" max="15872" width="12.33203125" style="287" customWidth="1"/>
    <col min="15873" max="15873" width="11.77734375" style="287" bestFit="1" customWidth="1"/>
    <col min="15874" max="15874" width="12.6640625" style="287" customWidth="1"/>
    <col min="15875" max="15875" width="12.109375" style="287" customWidth="1"/>
    <col min="15876" max="15876" width="2.5546875" style="287" customWidth="1"/>
    <col min="15877" max="16123" width="8.88671875" style="287"/>
    <col min="16124" max="16124" width="1" style="287" customWidth="1"/>
    <col min="16125" max="16125" width="24.109375" style="287" customWidth="1"/>
    <col min="16126" max="16126" width="14.33203125" style="287" bestFit="1" customWidth="1"/>
    <col min="16127" max="16127" width="13.21875" style="287" bestFit="1" customWidth="1"/>
    <col min="16128" max="16128" width="12.33203125" style="287" customWidth="1"/>
    <col min="16129" max="16129" width="11.77734375" style="287" bestFit="1" customWidth="1"/>
    <col min="16130" max="16130" width="12.6640625" style="287" customWidth="1"/>
    <col min="16131" max="16131" width="12.109375" style="287" customWidth="1"/>
    <col min="16132" max="16132" width="2.5546875" style="287" customWidth="1"/>
    <col min="16133" max="16384" width="8.88671875" style="287"/>
  </cols>
  <sheetData>
    <row r="1" spans="1:7" ht="13.5" thickBot="1">
      <c r="A1" s="284"/>
      <c r="B1" s="285"/>
      <c r="C1" s="286"/>
      <c r="D1" s="286"/>
      <c r="E1" s="285"/>
      <c r="F1" s="284"/>
    </row>
    <row r="2" spans="1:7" ht="15.75">
      <c r="B2" s="288" t="s">
        <v>711</v>
      </c>
      <c r="C2" s="289"/>
      <c r="D2" s="289"/>
      <c r="E2" s="290"/>
    </row>
    <row r="3" spans="1:7" ht="15.75">
      <c r="B3" s="291"/>
      <c r="C3" s="292"/>
      <c r="D3" s="293" t="s">
        <v>550</v>
      </c>
      <c r="E3" s="294"/>
    </row>
    <row r="4" spans="1:7">
      <c r="B4" s="295" t="s">
        <v>551</v>
      </c>
      <c r="C4" s="293" t="s">
        <v>552</v>
      </c>
      <c r="D4" s="293" t="s">
        <v>553</v>
      </c>
      <c r="E4" s="296" t="s">
        <v>554</v>
      </c>
    </row>
    <row r="5" spans="1:7">
      <c r="B5" s="297" t="s">
        <v>555</v>
      </c>
      <c r="C5" s="298">
        <f>+SIGE!J108+SIGE!J114</f>
        <v>344661937.9265421</v>
      </c>
      <c r="D5" s="299">
        <v>135153976.70721492</v>
      </c>
      <c r="E5" s="300">
        <f>+C5-D5</f>
        <v>209507961.21932718</v>
      </c>
      <c r="G5" s="352"/>
    </row>
    <row r="6" spans="1:7">
      <c r="B6" s="297" t="s">
        <v>556</v>
      </c>
      <c r="C6" s="298">
        <f>+SIGE!J125</f>
        <v>-79832681.878261417</v>
      </c>
      <c r="D6" s="301">
        <f>D5/C5*C6</f>
        <v>-31305181.221805394</v>
      </c>
      <c r="E6" s="300">
        <f>+C6-D6</f>
        <v>-48527500.656456023</v>
      </c>
    </row>
    <row r="7" spans="1:7">
      <c r="B7" s="297" t="s">
        <v>557</v>
      </c>
      <c r="C7" s="298">
        <f>+SIGE!J135-C5-C6</f>
        <v>7587965.3137488663</v>
      </c>
      <c r="D7" s="302">
        <f>D5/C5*C7</f>
        <v>2975506.066724848</v>
      </c>
      <c r="E7" s="303">
        <f>+C7-D7</f>
        <v>4612459.2470240183</v>
      </c>
    </row>
    <row r="8" spans="1:7">
      <c r="B8" s="297" t="s">
        <v>558</v>
      </c>
      <c r="C8" s="304">
        <f>SUM(C5:C7)</f>
        <v>272417221.36202955</v>
      </c>
      <c r="D8" s="305">
        <f>SUM(D5:D7)</f>
        <v>106824301.55213438</v>
      </c>
      <c r="E8" s="300">
        <f>SUM(E5:E7)</f>
        <v>165592919.80989519</v>
      </c>
    </row>
    <row r="9" spans="1:7">
      <c r="B9" s="297" t="s">
        <v>559</v>
      </c>
      <c r="C9" s="306">
        <f>+SIGE!J293</f>
        <v>8.1097747932470474E-2</v>
      </c>
      <c r="D9" s="307">
        <f>+C9</f>
        <v>8.1097747932470474E-2</v>
      </c>
      <c r="E9" s="308">
        <f>+D9</f>
        <v>8.1097747932470474E-2</v>
      </c>
    </row>
    <row r="10" spans="1:7">
      <c r="B10" s="297" t="s">
        <v>560</v>
      </c>
      <c r="C10" s="309">
        <f>+C9*C8</f>
        <v>22092423.150481883</v>
      </c>
      <c r="D10" s="309">
        <f>+D8*D9</f>
        <v>8663210.2803372089</v>
      </c>
      <c r="E10" s="300">
        <f>+E8*E9</f>
        <v>13429212.870144676</v>
      </c>
    </row>
    <row r="11" spans="1:7">
      <c r="B11" s="297" t="s">
        <v>561</v>
      </c>
      <c r="C11" s="310">
        <f>+(G11/C9)*C10</f>
        <v>16480210.206703983</v>
      </c>
      <c r="D11" s="309">
        <f>+(G11/D9)*D10</f>
        <v>6462465.6839293791</v>
      </c>
      <c r="E11" s="311">
        <f>+(G11/E9)*E10</f>
        <v>10017744.522774607</v>
      </c>
      <c r="G11" s="312">
        <f>+SIGE!J292</f>
        <v>6.0496212846993865E-2</v>
      </c>
    </row>
    <row r="12" spans="1:7">
      <c r="B12" s="297" t="s">
        <v>562</v>
      </c>
      <c r="C12" s="313">
        <f>+'Workpapers (Page 9)'!F23</f>
        <v>0.55911472132157003</v>
      </c>
      <c r="D12" s="314">
        <f>+C12</f>
        <v>0.55911472132157003</v>
      </c>
      <c r="E12" s="315">
        <f>+C12</f>
        <v>0.55911472132157003</v>
      </c>
    </row>
    <row r="13" spans="1:7">
      <c r="B13" s="297" t="s">
        <v>563</v>
      </c>
      <c r="C13" s="316">
        <f>+C12*C8</f>
        <v>152312478.8050276</v>
      </c>
      <c r="D13" s="316">
        <f>+D12*D8</f>
        <v>59727039.592692971</v>
      </c>
      <c r="E13" s="317">
        <f>+E12*E8</f>
        <v>92585439.212334648</v>
      </c>
    </row>
    <row r="14" spans="1:7" ht="13.5" thickBot="1">
      <c r="B14" s="297" t="s">
        <v>564</v>
      </c>
      <c r="C14" s="318">
        <f>+C11/C13</f>
        <v>0.10819999999999998</v>
      </c>
      <c r="D14" s="318">
        <f>+D11/D13</f>
        <v>0.10819999999999999</v>
      </c>
      <c r="E14" s="319">
        <f>+E11/E13</f>
        <v>0.10819999999999998</v>
      </c>
    </row>
    <row r="15" spans="1:7" ht="13.5" thickTop="1">
      <c r="B15" s="297"/>
      <c r="C15" s="292"/>
      <c r="D15" s="292"/>
      <c r="E15" s="294"/>
    </row>
    <row r="16" spans="1:7">
      <c r="B16" s="297" t="s">
        <v>565</v>
      </c>
      <c r="C16" s="320">
        <f>+SIGE!J92+SIGE!J114</f>
        <v>477626042.65037018</v>
      </c>
      <c r="D16" s="320">
        <v>157706669.41</v>
      </c>
      <c r="E16" s="321">
        <f>+C16-D16</f>
        <v>319919373.24037015</v>
      </c>
    </row>
    <row r="17" spans="2:8">
      <c r="B17" s="297"/>
      <c r="C17" s="292"/>
      <c r="D17" s="292"/>
      <c r="E17" s="294"/>
    </row>
    <row r="18" spans="2:8">
      <c r="B18" s="322" t="s">
        <v>566</v>
      </c>
      <c r="C18" s="292"/>
      <c r="D18" s="292"/>
      <c r="E18" s="294"/>
    </row>
    <row r="19" spans="2:8">
      <c r="B19" s="297" t="s">
        <v>567</v>
      </c>
      <c r="C19" s="323">
        <f>+C5</f>
        <v>344661937.9265421</v>
      </c>
      <c r="D19" s="292"/>
      <c r="E19" s="294"/>
    </row>
    <row r="20" spans="2:8">
      <c r="B20" s="297" t="s">
        <v>568</v>
      </c>
      <c r="C20" s="324">
        <f>+C10</f>
        <v>22092423.150481883</v>
      </c>
      <c r="D20" s="292"/>
      <c r="E20" s="294"/>
    </row>
    <row r="21" spans="2:8">
      <c r="B21" s="297" t="s">
        <v>569</v>
      </c>
      <c r="C21" s="325">
        <f>+C20/C19</f>
        <v>6.4098818927869103E-2</v>
      </c>
      <c r="D21" s="292"/>
      <c r="E21" s="294"/>
    </row>
    <row r="22" spans="2:8">
      <c r="B22" s="297" t="s">
        <v>559</v>
      </c>
      <c r="C22" s="326">
        <f>-D5</f>
        <v>-135153976.70721492</v>
      </c>
      <c r="D22" s="292"/>
      <c r="E22" s="294"/>
    </row>
    <row r="23" spans="2:8">
      <c r="B23" s="297"/>
      <c r="C23" s="327">
        <f>+C21*C22</f>
        <v>-8663210.280337207</v>
      </c>
      <c r="D23" s="292"/>
      <c r="E23" s="294"/>
    </row>
    <row r="24" spans="2:8">
      <c r="B24" s="297"/>
      <c r="C24" s="292" t="s">
        <v>570</v>
      </c>
      <c r="D24" s="292"/>
      <c r="E24" s="294"/>
    </row>
    <row r="25" spans="2:8">
      <c r="B25" s="297"/>
      <c r="C25" s="292"/>
      <c r="D25" s="292"/>
      <c r="E25" s="294"/>
    </row>
    <row r="26" spans="2:8">
      <c r="B26" s="297"/>
      <c r="C26" s="292"/>
      <c r="D26" s="293" t="s">
        <v>550</v>
      </c>
      <c r="E26" s="294"/>
    </row>
    <row r="27" spans="2:8">
      <c r="B27" s="295" t="s">
        <v>571</v>
      </c>
      <c r="C27" s="328" t="s">
        <v>552</v>
      </c>
      <c r="D27" s="328" t="s">
        <v>553</v>
      </c>
      <c r="E27" s="329" t="s">
        <v>554</v>
      </c>
    </row>
    <row r="28" spans="2:8">
      <c r="B28" s="297" t="s">
        <v>572</v>
      </c>
      <c r="C28" s="330">
        <f>+C10</f>
        <v>22092423.150481883</v>
      </c>
      <c r="D28" s="330">
        <f>+D10</f>
        <v>8663210.2803372089</v>
      </c>
      <c r="E28" s="331">
        <f>+E10</f>
        <v>13429212.870144676</v>
      </c>
    </row>
    <row r="29" spans="2:8">
      <c r="B29" s="297" t="s">
        <v>573</v>
      </c>
      <c r="C29" s="320">
        <f>+SIGE!J169-SIGE!J170</f>
        <v>2951658.8299999982</v>
      </c>
      <c r="D29" s="332">
        <f>+$D$16/$C$16*C29</f>
        <v>974604.0662499381</v>
      </c>
      <c r="E29" s="333">
        <f t="shared" ref="E29:E34" si="0">+C29-D29</f>
        <v>1977054.76375006</v>
      </c>
    </row>
    <row r="30" spans="2:8">
      <c r="B30" s="297" t="s">
        <v>574</v>
      </c>
      <c r="C30" s="320">
        <f>+SIGE!J172-SIGE!J174</f>
        <v>3833821.3760723011</v>
      </c>
      <c r="D30" s="332">
        <f>+$D$16/$C$16*C30</f>
        <v>1265884.0731928358</v>
      </c>
      <c r="E30" s="333">
        <f t="shared" si="0"/>
        <v>2567937.3028794653</v>
      </c>
    </row>
    <row r="31" spans="2:8">
      <c r="B31" s="297" t="s">
        <v>575</v>
      </c>
      <c r="C31" s="320">
        <f>+SIGE!J181</f>
        <v>9911434</v>
      </c>
      <c r="D31" s="320">
        <v>3390632.4276298168</v>
      </c>
      <c r="E31" s="333">
        <f t="shared" si="0"/>
        <v>6520801.5723701827</v>
      </c>
      <c r="G31" s="287">
        <f>+E16*0.02</f>
        <v>6398387.4648074033</v>
      </c>
      <c r="H31" s="334">
        <f>+D31+G31</f>
        <v>9789019.8924372196</v>
      </c>
    </row>
    <row r="32" spans="2:8">
      <c r="B32" s="297" t="s">
        <v>576</v>
      </c>
      <c r="C32" s="320">
        <f>+SIGE!J183+SIGE!J184</f>
        <v>442754.18518364773</v>
      </c>
      <c r="D32" s="332">
        <f>+$D$16/$C$16*C32</f>
        <v>146192.3799740641</v>
      </c>
      <c r="E32" s="333">
        <f t="shared" si="0"/>
        <v>296561.8052095836</v>
      </c>
    </row>
    <row r="33" spans="2:7">
      <c r="B33" s="297" t="s">
        <v>577</v>
      </c>
      <c r="C33" s="320">
        <f>+SIGE!J192</f>
        <v>1632698.0559089012</v>
      </c>
      <c r="D33" s="332">
        <f>+$D$16/$C$16*C33</f>
        <v>539098.2684293444</v>
      </c>
      <c r="E33" s="333">
        <f t="shared" si="0"/>
        <v>1093599.7874795566</v>
      </c>
    </row>
    <row r="34" spans="2:7">
      <c r="B34" s="297" t="s">
        <v>578</v>
      </c>
      <c r="C34" s="335">
        <f>+SIGE!J209</f>
        <v>10367098.130326724</v>
      </c>
      <c r="D34" s="336">
        <f>+$D$5/$C$5*C34</f>
        <v>4065301.0531328754</v>
      </c>
      <c r="E34" s="337">
        <f t="shared" si="0"/>
        <v>6301797.0771938488</v>
      </c>
      <c r="G34" s="352"/>
    </row>
    <row r="35" spans="2:7">
      <c r="B35" s="297" t="s">
        <v>579</v>
      </c>
      <c r="C35" s="338">
        <f>SUM(C28:C34)</f>
        <v>51231887.727973454</v>
      </c>
      <c r="D35" s="339">
        <f>SUM(D28:D34)</f>
        <v>19044922.548946083</v>
      </c>
      <c r="E35" s="340">
        <f>SUM(E28:E34)</f>
        <v>32186965.179027375</v>
      </c>
    </row>
    <row r="36" spans="2:7">
      <c r="B36" s="297" t="s">
        <v>580</v>
      </c>
      <c r="C36" s="338"/>
      <c r="D36" s="341"/>
      <c r="E36" s="340">
        <f>-SIGE!J15</f>
        <v>-1028366</v>
      </c>
    </row>
    <row r="37" spans="2:7">
      <c r="B37" s="297" t="s">
        <v>581</v>
      </c>
      <c r="C37" s="338"/>
      <c r="D37" s="341"/>
      <c r="E37" s="340">
        <v>0</v>
      </c>
    </row>
    <row r="38" spans="2:7">
      <c r="B38" s="297" t="s">
        <v>582</v>
      </c>
      <c r="C38" s="324"/>
      <c r="D38" s="342">
        <v>0</v>
      </c>
      <c r="E38" s="343">
        <v>0</v>
      </c>
    </row>
    <row r="39" spans="2:7">
      <c r="B39" s="297" t="s">
        <v>583</v>
      </c>
      <c r="C39" s="338">
        <f>+C35+C36</f>
        <v>51231887.727973454</v>
      </c>
      <c r="D39" s="338">
        <f>SUM(D35:D38)</f>
        <v>19044922.548946083</v>
      </c>
      <c r="E39" s="321">
        <f>SUM(E35:E38)</f>
        <v>31158599.179027375</v>
      </c>
    </row>
    <row r="40" spans="2:7">
      <c r="B40" s="297" t="s">
        <v>584</v>
      </c>
      <c r="C40" s="344">
        <v>0.12530809283653851</v>
      </c>
      <c r="D40" s="341"/>
      <c r="E40" s="340">
        <f>+C40*E39</f>
        <v>3904424.638582055</v>
      </c>
    </row>
    <row r="41" spans="2:7">
      <c r="B41" s="297"/>
      <c r="C41" s="344"/>
      <c r="D41" s="341"/>
      <c r="E41" s="340"/>
    </row>
    <row r="42" spans="2:7">
      <c r="B42" s="297" t="s">
        <v>581</v>
      </c>
      <c r="C42" s="345"/>
      <c r="D42" s="341"/>
      <c r="E42" s="340">
        <v>1010660</v>
      </c>
    </row>
    <row r="43" spans="2:7">
      <c r="B43" s="297" t="s">
        <v>582</v>
      </c>
      <c r="C43" s="338"/>
      <c r="D43" s="341"/>
      <c r="E43" s="343">
        <v>8287</v>
      </c>
    </row>
    <row r="44" spans="2:7">
      <c r="B44" s="297"/>
      <c r="C44" s="338"/>
      <c r="D44" s="341"/>
      <c r="E44" s="340">
        <f>+E42+E43</f>
        <v>1018947</v>
      </c>
    </row>
    <row r="45" spans="2:7">
      <c r="B45" s="297" t="s">
        <v>639</v>
      </c>
      <c r="C45" s="344">
        <v>0.12530809283653851</v>
      </c>
      <c r="D45" s="341"/>
      <c r="E45" s="340">
        <f>+C45*E44</f>
        <v>127682.30527151241</v>
      </c>
    </row>
    <row r="46" spans="2:7">
      <c r="B46" s="297"/>
      <c r="C46" s="344"/>
      <c r="D46" s="341"/>
      <c r="E46" s="340"/>
    </row>
    <row r="47" spans="2:7">
      <c r="B47" s="297"/>
      <c r="C47" s="344"/>
      <c r="D47" s="341"/>
      <c r="E47" s="340">
        <f>+E40+E45</f>
        <v>4032106.9438535674</v>
      </c>
    </row>
    <row r="48" spans="2:7" ht="13.5" thickBot="1">
      <c r="B48" s="346"/>
      <c r="C48" s="347"/>
      <c r="D48" s="347"/>
      <c r="E48" s="348"/>
    </row>
    <row r="57" spans="8:8">
      <c r="H57" s="287" t="s">
        <v>585</v>
      </c>
    </row>
  </sheetData>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2"/>
  <sheetViews>
    <sheetView zoomScaleNormal="100" workbookViewId="0"/>
  </sheetViews>
  <sheetFormatPr defaultRowHeight="15"/>
  <cols>
    <col min="1" max="1" width="6.44140625" style="252" customWidth="1"/>
    <col min="2" max="2" width="25.44140625" style="252" customWidth="1"/>
    <col min="3" max="8" width="18.77734375" style="252" customWidth="1"/>
    <col min="9" max="11" width="11" style="252" customWidth="1"/>
    <col min="12" max="16384" width="8.88671875" style="252"/>
  </cols>
  <sheetData>
    <row r="1" spans="1:11" ht="18">
      <c r="A1" s="193" t="s">
        <v>383</v>
      </c>
    </row>
    <row r="2" spans="1:11" ht="17.25">
      <c r="A2" s="198" t="s">
        <v>484</v>
      </c>
    </row>
    <row r="4" spans="1:11" s="206" customFormat="1" ht="17.25">
      <c r="B4" s="206" t="s">
        <v>485</v>
      </c>
    </row>
    <row r="5" spans="1:11" s="206" customFormat="1" ht="17.25">
      <c r="B5" s="253"/>
    </row>
    <row r="6" spans="1:11" s="206" customFormat="1" ht="17.25">
      <c r="B6" s="206" t="s">
        <v>486</v>
      </c>
    </row>
    <row r="7" spans="1:11" s="206" customFormat="1" ht="17.25">
      <c r="B7" s="206" t="s">
        <v>487</v>
      </c>
      <c r="C7" s="200">
        <v>1028366</v>
      </c>
    </row>
    <row r="8" spans="1:11" s="206" customFormat="1" ht="17.25">
      <c r="B8" s="206" t="s">
        <v>488</v>
      </c>
      <c r="C8" s="200">
        <v>3853512</v>
      </c>
    </row>
    <row r="9" spans="1:11" s="206" customFormat="1" ht="17.25">
      <c r="B9" s="206" t="s">
        <v>489</v>
      </c>
      <c r="C9" s="200">
        <v>18585485</v>
      </c>
      <c r="D9" s="201"/>
      <c r="G9" s="201"/>
      <c r="H9" s="201"/>
      <c r="I9" s="201"/>
      <c r="J9" s="201"/>
      <c r="K9" s="201"/>
    </row>
    <row r="10" spans="1:11" s="206" customFormat="1" ht="17.25">
      <c r="B10" s="209" t="s">
        <v>490</v>
      </c>
      <c r="C10" s="202">
        <v>0</v>
      </c>
      <c r="D10" s="201"/>
      <c r="G10" s="201"/>
      <c r="H10" s="201"/>
      <c r="I10" s="201"/>
      <c r="J10" s="201"/>
      <c r="K10" s="201"/>
    </row>
    <row r="11" spans="1:11" s="206" customFormat="1" ht="17.25">
      <c r="B11" s="206" t="s">
        <v>219</v>
      </c>
      <c r="C11" s="200">
        <f>SUM(C7:C10)</f>
        <v>23467363</v>
      </c>
      <c r="D11" s="201"/>
      <c r="G11" s="201"/>
      <c r="H11" s="201"/>
      <c r="I11" s="201"/>
      <c r="J11" s="201"/>
      <c r="K11" s="201"/>
    </row>
    <row r="12" spans="1:11" s="206" customFormat="1" ht="17.25">
      <c r="C12" s="200"/>
      <c r="D12" s="201"/>
      <c r="G12" s="201"/>
      <c r="H12" s="201"/>
      <c r="I12" s="201"/>
      <c r="J12" s="201"/>
      <c r="K12" s="201"/>
    </row>
    <row r="13" spans="1:11" s="206" customFormat="1" ht="17.25">
      <c r="B13" s="206" t="s">
        <v>491</v>
      </c>
      <c r="C13" s="200"/>
      <c r="D13" s="201"/>
      <c r="E13" s="201"/>
      <c r="F13" s="201"/>
      <c r="G13" s="201"/>
      <c r="H13" s="201"/>
      <c r="I13" s="201"/>
      <c r="J13" s="201"/>
      <c r="K13" s="201"/>
    </row>
    <row r="14" spans="1:11" s="206" customFormat="1" ht="17.25">
      <c r="B14" s="206" t="s">
        <v>492</v>
      </c>
      <c r="C14" s="200">
        <v>308838</v>
      </c>
      <c r="D14" s="201"/>
      <c r="E14" s="201"/>
      <c r="F14" s="201"/>
      <c r="G14" s="201"/>
      <c r="H14" s="201"/>
      <c r="I14" s="201"/>
      <c r="J14" s="201"/>
      <c r="K14" s="201"/>
    </row>
    <row r="15" spans="1:11" s="206" customFormat="1" ht="17.25">
      <c r="B15" s="206" t="s">
        <v>493</v>
      </c>
      <c r="C15" s="200">
        <v>255181</v>
      </c>
      <c r="D15" s="200"/>
      <c r="E15" s="200"/>
      <c r="F15" s="200"/>
      <c r="G15" s="200"/>
      <c r="H15" s="200"/>
      <c r="I15" s="200"/>
      <c r="J15" s="200"/>
      <c r="K15" s="200"/>
    </row>
    <row r="16" spans="1:11" s="206" customFormat="1" ht="17.25">
      <c r="B16" s="206" t="s">
        <v>494</v>
      </c>
      <c r="C16" s="199">
        <v>654939</v>
      </c>
      <c r="D16" s="199"/>
      <c r="E16" s="199"/>
      <c r="F16" s="199"/>
      <c r="G16" s="199"/>
      <c r="H16" s="199"/>
      <c r="I16" s="199"/>
      <c r="J16" s="199"/>
      <c r="K16" s="199"/>
    </row>
    <row r="17" spans="2:11" s="206" customFormat="1" ht="17.25">
      <c r="C17" s="202"/>
      <c r="D17" s="199"/>
      <c r="E17" s="199"/>
      <c r="F17" s="199"/>
      <c r="G17" s="199"/>
      <c r="H17" s="199"/>
      <c r="I17" s="199"/>
      <c r="J17" s="199"/>
      <c r="K17" s="199"/>
    </row>
    <row r="18" spans="2:11" s="206" customFormat="1" ht="17.25">
      <c r="B18" s="206" t="s">
        <v>495</v>
      </c>
      <c r="C18" s="200">
        <f>SUM(C11:C16)</f>
        <v>24686321</v>
      </c>
      <c r="D18" s="201"/>
      <c r="E18" s="201"/>
      <c r="F18" s="201"/>
      <c r="G18" s="201"/>
      <c r="H18" s="201"/>
      <c r="I18" s="201"/>
      <c r="J18" s="201"/>
      <c r="K18" s="201"/>
    </row>
    <row r="19" spans="2:11" s="206" customFormat="1" ht="17.25">
      <c r="C19" s="200"/>
    </row>
    <row r="20" spans="2:11" s="206" customFormat="1" ht="17.25">
      <c r="B20" s="206" t="s">
        <v>496</v>
      </c>
      <c r="C20" s="200">
        <f>+C14</f>
        <v>308838</v>
      </c>
    </row>
    <row r="21" spans="2:11" s="206" customFormat="1" ht="17.25">
      <c r="B21" s="206" t="s">
        <v>497</v>
      </c>
      <c r="C21" s="200">
        <f>+C15</f>
        <v>255181</v>
      </c>
    </row>
    <row r="22" spans="2:11" s="206" customFormat="1" ht="17.25">
      <c r="B22" s="206" t="s">
        <v>498</v>
      </c>
      <c r="C22" s="199">
        <f>+C8</f>
        <v>3853512</v>
      </c>
    </row>
    <row r="23" spans="2:11" s="206" customFormat="1" ht="17.25">
      <c r="B23" s="206" t="s">
        <v>499</v>
      </c>
      <c r="C23" s="200">
        <f>+C16</f>
        <v>654939</v>
      </c>
    </row>
    <row r="24" spans="2:11" s="206" customFormat="1" ht="17.25" hidden="1"/>
    <row r="25" spans="2:11" s="206" customFormat="1" ht="17.25">
      <c r="B25" s="206" t="s">
        <v>500</v>
      </c>
      <c r="C25" s="202">
        <f>+C9</f>
        <v>18585485</v>
      </c>
      <c r="G25" s="204"/>
    </row>
    <row r="26" spans="2:11" s="206" customFormat="1" ht="17.25">
      <c r="D26" s="204"/>
      <c r="E26" s="204"/>
      <c r="F26" s="204"/>
      <c r="H26" s="204"/>
      <c r="I26" s="204"/>
      <c r="J26" s="204"/>
      <c r="K26" s="204"/>
    </row>
    <row r="27" spans="2:11" s="206" customFormat="1" ht="18" thickBot="1">
      <c r="B27" s="254" t="s">
        <v>501</v>
      </c>
      <c r="C27" s="255">
        <f>C18-SUM(C20:C25)</f>
        <v>1028366</v>
      </c>
    </row>
    <row r="28" spans="2:11" s="206" customFormat="1" ht="18" thickTop="1">
      <c r="D28" s="204"/>
      <c r="E28" s="204"/>
      <c r="G28" s="204"/>
      <c r="H28" s="204"/>
      <c r="I28" s="204"/>
      <c r="J28" s="204"/>
      <c r="K28" s="204"/>
    </row>
    <row r="29" spans="2:11" s="206" customFormat="1" ht="17.25"/>
    <row r="30" spans="2:11" s="206" customFormat="1" ht="17.25"/>
    <row r="32" spans="2:11" ht="15.75">
      <c r="B32" s="256"/>
    </row>
  </sheetData>
  <phoneticPr fontId="51"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23"/>
  <sheetViews>
    <sheetView zoomScaleNormal="100" workbookViewId="0"/>
  </sheetViews>
  <sheetFormatPr defaultColWidth="7.109375" defaultRowHeight="12.75"/>
  <cols>
    <col min="1" max="1" width="22.21875" style="257" bestFit="1" customWidth="1"/>
    <col min="2" max="3" width="14.5546875" style="257" customWidth="1"/>
    <col min="4" max="7" width="13.44140625" style="257" hidden="1" customWidth="1"/>
    <col min="8" max="8" width="13.44140625" style="257" customWidth="1"/>
    <col min="9" max="12" width="13.44140625" style="257" hidden="1" customWidth="1"/>
    <col min="13" max="13" width="13.44140625" style="257" customWidth="1"/>
    <col min="14" max="14" width="13.44140625" style="257" hidden="1" customWidth="1"/>
    <col min="15" max="15" width="15.6640625" style="257" hidden="1" customWidth="1"/>
    <col min="16" max="16" width="10.21875" style="257" hidden="1" customWidth="1"/>
    <col min="17" max="18" width="8.88671875" style="257" hidden="1" customWidth="1"/>
    <col min="19" max="19" width="9.33203125" style="257" hidden="1" customWidth="1"/>
    <col min="20" max="20" width="13.21875" style="257" hidden="1" customWidth="1"/>
    <col min="21" max="22" width="9.33203125" style="257" hidden="1" customWidth="1"/>
    <col min="23" max="23" width="9.33203125" style="257" customWidth="1"/>
    <col min="24" max="24" width="13.21875" style="257" customWidth="1"/>
    <col min="25" max="26" width="9.33203125" style="257" customWidth="1"/>
    <col min="27" max="16384" width="7.109375" style="257"/>
  </cols>
  <sheetData>
    <row r="1" spans="1:22" ht="18">
      <c r="A1" s="193" t="s">
        <v>383</v>
      </c>
    </row>
    <row r="2" spans="1:22" ht="18">
      <c r="A2" s="193" t="s">
        <v>502</v>
      </c>
    </row>
    <row r="3" spans="1:22">
      <c r="C3" s="258" t="s">
        <v>503</v>
      </c>
      <c r="D3" s="259">
        <v>40543</v>
      </c>
      <c r="E3" s="260"/>
      <c r="F3" s="259">
        <v>40908</v>
      </c>
      <c r="G3" s="260"/>
      <c r="H3" s="259">
        <v>41274</v>
      </c>
      <c r="I3" s="260"/>
      <c r="J3" s="260"/>
      <c r="K3" s="260"/>
      <c r="L3" s="260"/>
      <c r="M3" s="260"/>
      <c r="N3" s="260"/>
      <c r="O3" s="260"/>
      <c r="P3" s="257" t="s">
        <v>504</v>
      </c>
    </row>
    <row r="4" spans="1:22">
      <c r="B4" s="258" t="s">
        <v>505</v>
      </c>
      <c r="C4" s="258" t="s">
        <v>506</v>
      </c>
      <c r="D4" s="261" t="s">
        <v>507</v>
      </c>
      <c r="E4" s="261"/>
      <c r="F4" s="261" t="s">
        <v>507</v>
      </c>
      <c r="G4" s="261"/>
      <c r="H4" s="261" t="s">
        <v>507</v>
      </c>
      <c r="I4" s="261"/>
      <c r="J4" s="261"/>
      <c r="K4" s="261"/>
      <c r="L4" s="261"/>
      <c r="M4" s="261"/>
      <c r="N4" s="261"/>
      <c r="O4" s="261"/>
      <c r="P4" s="257" t="s">
        <v>508</v>
      </c>
      <c r="S4" s="257" t="s">
        <v>509</v>
      </c>
      <c r="T4" s="257" t="s">
        <v>510</v>
      </c>
      <c r="U4" s="257" t="s">
        <v>511</v>
      </c>
      <c r="V4" s="257" t="s">
        <v>512</v>
      </c>
    </row>
    <row r="5" spans="1:22">
      <c r="B5" s="258" t="s">
        <v>513</v>
      </c>
      <c r="C5" s="258" t="s">
        <v>514</v>
      </c>
      <c r="D5" s="261" t="s">
        <v>515</v>
      </c>
      <c r="E5" s="261" t="s">
        <v>516</v>
      </c>
      <c r="F5" s="261" t="s">
        <v>515</v>
      </c>
      <c r="G5" s="261" t="s">
        <v>516</v>
      </c>
      <c r="H5" s="261" t="s">
        <v>515</v>
      </c>
      <c r="I5" s="261" t="s">
        <v>516</v>
      </c>
      <c r="J5" s="261" t="s">
        <v>516</v>
      </c>
      <c r="K5" s="261" t="s">
        <v>516</v>
      </c>
      <c r="L5" s="261" t="s">
        <v>516</v>
      </c>
      <c r="M5" s="261" t="s">
        <v>516</v>
      </c>
      <c r="N5" s="261" t="s">
        <v>517</v>
      </c>
      <c r="O5" s="261" t="s">
        <v>518</v>
      </c>
      <c r="P5" s="257" t="s">
        <v>519</v>
      </c>
      <c r="T5" s="257" t="s">
        <v>520</v>
      </c>
    </row>
    <row r="6" spans="1:22">
      <c r="B6" s="258" t="s">
        <v>521</v>
      </c>
      <c r="C6" s="261" t="s">
        <v>522</v>
      </c>
      <c r="D6" s="261" t="s">
        <v>523</v>
      </c>
      <c r="E6" s="261">
        <v>2011</v>
      </c>
      <c r="F6" s="261" t="s">
        <v>523</v>
      </c>
      <c r="G6" s="261">
        <v>2012</v>
      </c>
      <c r="H6" s="261" t="s">
        <v>523</v>
      </c>
      <c r="I6" s="261">
        <v>2013</v>
      </c>
      <c r="J6" s="261">
        <v>2014</v>
      </c>
      <c r="K6" s="261">
        <v>2015</v>
      </c>
      <c r="L6" s="261">
        <v>2016</v>
      </c>
      <c r="M6" s="261">
        <v>2017</v>
      </c>
      <c r="N6" s="261">
        <v>2018</v>
      </c>
      <c r="O6" s="261" t="s">
        <v>524</v>
      </c>
    </row>
    <row r="7" spans="1:22">
      <c r="A7" s="262" t="s">
        <v>525</v>
      </c>
      <c r="B7" s="263">
        <v>40161.1</v>
      </c>
      <c r="C7" s="264">
        <v>2.1296931181246089E-2</v>
      </c>
      <c r="D7" s="265">
        <v>396.65094338952576</v>
      </c>
      <c r="E7" s="265">
        <v>397</v>
      </c>
      <c r="F7" s="265">
        <v>0</v>
      </c>
      <c r="G7" s="265">
        <v>0</v>
      </c>
      <c r="H7" s="265">
        <f>+F7-G7</f>
        <v>0</v>
      </c>
      <c r="I7" s="265">
        <v>0</v>
      </c>
      <c r="J7" s="265">
        <v>0</v>
      </c>
      <c r="K7" s="265">
        <v>0</v>
      </c>
      <c r="L7" s="265">
        <v>0</v>
      </c>
      <c r="M7" s="265">
        <v>0</v>
      </c>
      <c r="N7" s="265">
        <v>0</v>
      </c>
      <c r="O7" s="265" t="e">
        <f>+#REF!-#REF!-#REF!-E7-G7-I7-J7-K7-L7-M7-N7</f>
        <v>#REF!</v>
      </c>
      <c r="P7" s="266">
        <v>2.6646E-2</v>
      </c>
      <c r="Q7" s="265" t="e">
        <f>+B7*P7-#REF!</f>
        <v>#REF!</v>
      </c>
      <c r="S7" s="257">
        <v>0</v>
      </c>
      <c r="T7" s="257">
        <v>1</v>
      </c>
      <c r="U7" s="257">
        <v>0</v>
      </c>
      <c r="V7" s="257">
        <v>0</v>
      </c>
    </row>
    <row r="8" spans="1:22">
      <c r="A8" s="262" t="s">
        <v>526</v>
      </c>
      <c r="B8" s="263">
        <v>679159.96</v>
      </c>
      <c r="C8" s="264">
        <v>2.1296931181246089E-2</v>
      </c>
      <c r="D8" s="265">
        <v>9431.952706633856</v>
      </c>
      <c r="E8" s="265">
        <v>9432</v>
      </c>
      <c r="F8" s="265">
        <v>0</v>
      </c>
      <c r="G8" s="265">
        <v>0</v>
      </c>
      <c r="H8" s="265">
        <f t="shared" ref="F8:H19" si="0">+F8-G8</f>
        <v>0</v>
      </c>
      <c r="I8" s="265">
        <v>0</v>
      </c>
      <c r="J8" s="265">
        <v>0</v>
      </c>
      <c r="K8" s="265">
        <v>0</v>
      </c>
      <c r="L8" s="265">
        <v>0</v>
      </c>
      <c r="M8" s="265">
        <v>0</v>
      </c>
      <c r="N8" s="265">
        <v>0</v>
      </c>
      <c r="O8" s="265" t="e">
        <f>+#REF!-#REF!-#REF!-E8-G8-I8-J8-K8-L8-M8-N8</f>
        <v>#REF!</v>
      </c>
      <c r="P8" s="266">
        <v>2.6646E-2</v>
      </c>
      <c r="Q8" s="265" t="e">
        <f>+B8*P8-#REF!</f>
        <v>#REF!</v>
      </c>
      <c r="S8" s="257">
        <v>3.2114700000000003E-2</v>
      </c>
      <c r="T8" s="257">
        <v>0.17142080000000001</v>
      </c>
      <c r="U8" s="257">
        <v>0.28477659999999999</v>
      </c>
      <c r="V8" s="257">
        <v>0.51168789999999997</v>
      </c>
    </row>
    <row r="9" spans="1:22">
      <c r="A9" s="262" t="s">
        <v>527</v>
      </c>
      <c r="B9" s="263">
        <v>1338169.76</v>
      </c>
      <c r="C9" s="264">
        <v>2.1635877596602245E-2</v>
      </c>
      <c r="D9" s="265">
        <v>2566.8866370579999</v>
      </c>
      <c r="E9" s="265">
        <v>2568</v>
      </c>
      <c r="F9" s="265">
        <v>0</v>
      </c>
      <c r="G9" s="265">
        <v>0</v>
      </c>
      <c r="H9" s="265">
        <f t="shared" si="0"/>
        <v>0</v>
      </c>
      <c r="I9" s="265">
        <v>0</v>
      </c>
      <c r="J9" s="265">
        <v>0</v>
      </c>
      <c r="K9" s="265">
        <v>0</v>
      </c>
      <c r="L9" s="265">
        <v>0</v>
      </c>
      <c r="M9" s="265">
        <v>0</v>
      </c>
      <c r="N9" s="265">
        <v>0</v>
      </c>
      <c r="O9" s="265" t="e">
        <f>+#REF!-#REF!-#REF!-E9-G9-I9-J9-K9-L9-M9-N9</f>
        <v>#REF!</v>
      </c>
      <c r="P9" s="266">
        <v>3.0998999999999999E-2</v>
      </c>
      <c r="Q9" s="265" t="e">
        <f>+B9*P9-#REF!</f>
        <v>#REF!</v>
      </c>
      <c r="S9" s="257">
        <v>3.2114700000000003E-2</v>
      </c>
      <c r="T9" s="257">
        <v>0.17142080000000001</v>
      </c>
      <c r="U9" s="257">
        <v>0.28477659999999999</v>
      </c>
      <c r="V9" s="257">
        <v>0.51168789999999997</v>
      </c>
    </row>
    <row r="10" spans="1:22">
      <c r="A10" s="262" t="s">
        <v>528</v>
      </c>
      <c r="B10" s="263">
        <v>941009.23</v>
      </c>
      <c r="C10" s="264">
        <v>1.9779533139811716E-2</v>
      </c>
      <c r="D10" s="265">
        <v>69896.225674647663</v>
      </c>
      <c r="E10" s="265">
        <f>+B10*C10</f>
        <v>18612.723249653704</v>
      </c>
      <c r="F10" s="265">
        <f t="shared" si="0"/>
        <v>51283.50242499396</v>
      </c>
      <c r="G10" s="265">
        <f>+B10*C10</f>
        <v>18612.723249653704</v>
      </c>
      <c r="H10" s="265">
        <f t="shared" si="0"/>
        <v>32670.779175340256</v>
      </c>
      <c r="I10" s="265">
        <v>18613</v>
      </c>
      <c r="J10" s="265">
        <v>14058</v>
      </c>
      <c r="K10" s="265">
        <v>0</v>
      </c>
      <c r="L10" s="265">
        <v>0</v>
      </c>
      <c r="M10" s="265">
        <v>0</v>
      </c>
      <c r="N10" s="265">
        <v>0</v>
      </c>
      <c r="O10" s="265" t="e">
        <f>+#REF!-#REF!-#REF!-E10-G10-I10-J10-K10-L10-M10-N10</f>
        <v>#REF!</v>
      </c>
      <c r="P10" s="266">
        <v>3.2312E-2</v>
      </c>
      <c r="Q10" s="265" t="e">
        <f>+B10*P10-#REF!</f>
        <v>#REF!</v>
      </c>
      <c r="S10" s="257">
        <v>2.5126650161889169E-2</v>
      </c>
      <c r="T10" s="257">
        <v>0.60726816760903601</v>
      </c>
      <c r="U10" s="257">
        <v>0.14072234097970479</v>
      </c>
      <c r="V10" s="257">
        <v>0.22688284124936994</v>
      </c>
    </row>
    <row r="11" spans="1:22">
      <c r="A11" s="262" t="s">
        <v>529</v>
      </c>
      <c r="B11" s="263">
        <v>2408765.1800000002</v>
      </c>
      <c r="C11" s="264">
        <v>1.5625875888863442E-2</v>
      </c>
      <c r="D11" s="265">
        <v>176663.15788382734</v>
      </c>
      <c r="E11" s="265">
        <f>+C11*B11</f>
        <v>37639.065748095811</v>
      </c>
      <c r="F11" s="265">
        <f t="shared" si="0"/>
        <v>139024.09213573154</v>
      </c>
      <c r="G11" s="265">
        <f>+B11*C11</f>
        <v>37639.065748095811</v>
      </c>
      <c r="H11" s="265">
        <f t="shared" si="0"/>
        <v>101385.02638763573</v>
      </c>
      <c r="I11" s="265">
        <f>+B11*C11</f>
        <v>37639.065748095811</v>
      </c>
      <c r="J11" s="265">
        <f>+B11*C11</f>
        <v>37639.065748095811</v>
      </c>
      <c r="K11" s="265">
        <v>26107</v>
      </c>
      <c r="L11" s="265">
        <v>0</v>
      </c>
      <c r="M11" s="265">
        <v>0</v>
      </c>
      <c r="N11" s="265">
        <v>0</v>
      </c>
      <c r="O11" s="265" t="e">
        <f>+#REF!-#REF!-#REF!-E11-G11-I11-J11-K11-L11-M11-N11</f>
        <v>#REF!</v>
      </c>
      <c r="P11" s="266">
        <v>3.6770999999999998E-2</v>
      </c>
      <c r="Q11" s="265" t="e">
        <f>+B11*P11-#REF!</f>
        <v>#REF!</v>
      </c>
      <c r="S11" s="257">
        <v>1</v>
      </c>
      <c r="T11" s="257">
        <v>0</v>
      </c>
      <c r="U11" s="257">
        <v>0</v>
      </c>
      <c r="V11" s="257">
        <v>0</v>
      </c>
    </row>
    <row r="12" spans="1:22">
      <c r="A12" s="262" t="s">
        <v>530</v>
      </c>
      <c r="B12" s="263">
        <v>1066200.17</v>
      </c>
      <c r="C12" s="264">
        <v>2.2306885982023471E-2</v>
      </c>
      <c r="D12" s="265">
        <v>138828.20393777313</v>
      </c>
      <c r="E12" s="265">
        <f>+B12*C12</f>
        <v>23783.60562620404</v>
      </c>
      <c r="F12" s="265">
        <f t="shared" si="0"/>
        <v>115044.59831156909</v>
      </c>
      <c r="G12" s="265">
        <f>+B12*C12</f>
        <v>23783.60562620404</v>
      </c>
      <c r="H12" s="265">
        <f t="shared" si="0"/>
        <v>91260.992685365054</v>
      </c>
      <c r="I12" s="265">
        <f>+B12*C12</f>
        <v>23783.60562620404</v>
      </c>
      <c r="J12" s="265">
        <f>+B12*C12</f>
        <v>23783.60562620404</v>
      </c>
      <c r="K12" s="265">
        <f>+B12*C12</f>
        <v>23783.60562620404</v>
      </c>
      <c r="L12" s="265">
        <v>19910</v>
      </c>
      <c r="M12" s="265">
        <v>0</v>
      </c>
      <c r="N12" s="265">
        <v>0</v>
      </c>
      <c r="O12" s="265" t="e">
        <f>+#REF!-#REF!-#REF!-E12-G12-I12-J12-K12-L12-M12-N12</f>
        <v>#REF!</v>
      </c>
      <c r="P12" s="266">
        <v>3.3896000000000003E-2</v>
      </c>
      <c r="Q12" s="265" t="e">
        <f>+B12*P12-#REF!</f>
        <v>#REF!</v>
      </c>
      <c r="S12" s="257">
        <v>1</v>
      </c>
      <c r="T12" s="257">
        <v>0</v>
      </c>
      <c r="U12" s="257">
        <v>0</v>
      </c>
      <c r="V12" s="257">
        <v>0</v>
      </c>
    </row>
    <row r="13" spans="1:22">
      <c r="A13" s="262" t="s">
        <v>531</v>
      </c>
      <c r="B13" s="263">
        <v>1164745.99</v>
      </c>
      <c r="C13" s="264">
        <v>2.1765153085184924E-2</v>
      </c>
      <c r="D13" s="265">
        <v>254808.35748231577</v>
      </c>
      <c r="E13" s="265">
        <v>25351</v>
      </c>
      <c r="F13" s="265">
        <f t="shared" si="0"/>
        <v>229457.35748231577</v>
      </c>
      <c r="G13" s="265">
        <v>25351</v>
      </c>
      <c r="H13" s="265">
        <f t="shared" si="0"/>
        <v>204106.35748231577</v>
      </c>
      <c r="I13" s="265">
        <v>25351</v>
      </c>
      <c r="J13" s="265">
        <v>25351</v>
      </c>
      <c r="K13" s="265">
        <v>25351</v>
      </c>
      <c r="L13" s="265">
        <v>25351</v>
      </c>
      <c r="M13" s="265">
        <v>25351</v>
      </c>
      <c r="N13" s="265">
        <v>25351</v>
      </c>
      <c r="O13" s="265" t="e">
        <f>+#REF!-#REF!-#REF!-E13-G13-I13-J13-K13-L13-M13-N13</f>
        <v>#REF!</v>
      </c>
      <c r="P13" s="266">
        <v>3.1200000000000002E-2</v>
      </c>
      <c r="Q13" s="265" t="e">
        <f>+B13*P13-#REF!</f>
        <v>#REF!</v>
      </c>
      <c r="S13" s="257">
        <v>1</v>
      </c>
      <c r="T13" s="257">
        <v>0</v>
      </c>
      <c r="U13" s="257">
        <v>0</v>
      </c>
      <c r="V13" s="257">
        <v>0</v>
      </c>
    </row>
    <row r="14" spans="1:22">
      <c r="A14" s="262" t="s">
        <v>532</v>
      </c>
      <c r="B14" s="263">
        <v>16149807.67</v>
      </c>
      <c r="C14" s="264">
        <v>2.2048237901963131E-2</v>
      </c>
      <c r="D14" s="265">
        <v>3549877.322852904</v>
      </c>
      <c r="E14" s="265">
        <v>356075</v>
      </c>
      <c r="F14" s="265">
        <f t="shared" si="0"/>
        <v>3193802.322852904</v>
      </c>
      <c r="G14" s="265">
        <v>356075</v>
      </c>
      <c r="H14" s="265">
        <f t="shared" si="0"/>
        <v>2837727.322852904</v>
      </c>
      <c r="I14" s="265">
        <v>356075</v>
      </c>
      <c r="J14" s="265">
        <v>356075</v>
      </c>
      <c r="K14" s="265">
        <v>356075</v>
      </c>
      <c r="L14" s="265">
        <v>356075</v>
      </c>
      <c r="M14" s="265">
        <v>356075</v>
      </c>
      <c r="N14" s="265">
        <v>356075</v>
      </c>
      <c r="O14" s="265" t="e">
        <f>+#REF!-#REF!-#REF!-E14-G14-I14-J14-K14-L14-M14-N14</f>
        <v>#REF!</v>
      </c>
      <c r="P14" s="266">
        <v>2.853E-2</v>
      </c>
      <c r="Q14" s="265" t="e">
        <f>+B14*P14-#REF!</f>
        <v>#REF!</v>
      </c>
      <c r="S14" s="257">
        <v>0</v>
      </c>
      <c r="T14" s="257">
        <v>0</v>
      </c>
      <c r="U14" s="257">
        <v>1</v>
      </c>
      <c r="V14" s="257">
        <v>0</v>
      </c>
    </row>
    <row r="15" spans="1:22">
      <c r="A15" s="262" t="s">
        <v>533</v>
      </c>
      <c r="B15" s="263">
        <v>285248.77</v>
      </c>
      <c r="C15" s="264">
        <v>2.3043080668343041E-2</v>
      </c>
      <c r="D15" s="265">
        <v>49384.550207801221</v>
      </c>
      <c r="E15" s="265">
        <v>6573</v>
      </c>
      <c r="F15" s="265">
        <f t="shared" si="0"/>
        <v>42811.550207801221</v>
      </c>
      <c r="G15" s="265">
        <v>6573</v>
      </c>
      <c r="H15" s="265">
        <f t="shared" si="0"/>
        <v>36238.550207801221</v>
      </c>
      <c r="I15" s="265">
        <v>6573</v>
      </c>
      <c r="J15" s="265">
        <v>6573</v>
      </c>
      <c r="K15" s="265">
        <v>6573</v>
      </c>
      <c r="L15" s="265">
        <v>6573</v>
      </c>
      <c r="M15" s="265">
        <v>6573</v>
      </c>
      <c r="N15" s="265">
        <v>3374</v>
      </c>
      <c r="O15" s="265" t="e">
        <f>+#REF!-#REF!-#REF!-E15-G15-I15-J15-K15-L15-M15-N15</f>
        <v>#REF!</v>
      </c>
      <c r="P15" s="266">
        <v>3.1626000000000001E-2</v>
      </c>
      <c r="Q15" s="265" t="e">
        <f>+B15*P15-#REF!</f>
        <v>#REF!</v>
      </c>
      <c r="S15" s="257">
        <v>1</v>
      </c>
      <c r="T15" s="257">
        <v>0</v>
      </c>
      <c r="U15" s="257">
        <v>0</v>
      </c>
      <c r="V15" s="257">
        <v>0</v>
      </c>
    </row>
    <row r="16" spans="1:22">
      <c r="A16" s="262" t="s">
        <v>534</v>
      </c>
      <c r="B16" s="263">
        <v>23255.55</v>
      </c>
      <c r="C16" s="264">
        <v>1.7299999999999999E-2</v>
      </c>
      <c r="D16" s="265">
        <v>9958.128200000001</v>
      </c>
      <c r="E16" s="265">
        <v>402</v>
      </c>
      <c r="F16" s="265">
        <f t="shared" si="0"/>
        <v>9556.128200000001</v>
      </c>
      <c r="G16" s="265">
        <v>402</v>
      </c>
      <c r="H16" s="265">
        <f t="shared" si="0"/>
        <v>9154.128200000001</v>
      </c>
      <c r="I16" s="265">
        <v>402</v>
      </c>
      <c r="J16" s="265">
        <v>402</v>
      </c>
      <c r="K16" s="265">
        <v>402</v>
      </c>
      <c r="L16" s="265">
        <v>402</v>
      </c>
      <c r="M16" s="265">
        <v>402</v>
      </c>
      <c r="N16" s="265">
        <v>402</v>
      </c>
      <c r="O16" s="265" t="e">
        <f>+#REF!-#REF!-#REF!-E16-G16-I16-J16-K16-L16-M16-N16</f>
        <v>#REF!</v>
      </c>
      <c r="P16" s="266">
        <v>2.75E-2</v>
      </c>
      <c r="Q16" s="265" t="e">
        <f>+B16*P16-#REF!</f>
        <v>#REF!</v>
      </c>
      <c r="S16" s="257">
        <v>1</v>
      </c>
      <c r="T16" s="257">
        <v>0</v>
      </c>
      <c r="U16" s="257">
        <v>0</v>
      </c>
      <c r="V16" s="257">
        <v>0</v>
      </c>
    </row>
    <row r="17" spans="1:22">
      <c r="A17" s="262" t="s">
        <v>535</v>
      </c>
      <c r="B17" s="263">
        <v>363814.87</v>
      </c>
      <c r="C17" s="264">
        <v>2.2048237901963131E-2</v>
      </c>
      <c r="D17" s="265">
        <v>101299.34903270072</v>
      </c>
      <c r="E17" s="265">
        <v>8021</v>
      </c>
      <c r="F17" s="265">
        <f t="shared" si="0"/>
        <v>93278.349032700717</v>
      </c>
      <c r="G17" s="265">
        <v>8021</v>
      </c>
      <c r="H17" s="265">
        <f t="shared" si="0"/>
        <v>85257.349032700717</v>
      </c>
      <c r="I17" s="265">
        <v>8021</v>
      </c>
      <c r="J17" s="265">
        <v>8021</v>
      </c>
      <c r="K17" s="265">
        <v>8021</v>
      </c>
      <c r="L17" s="265">
        <v>8021</v>
      </c>
      <c r="M17" s="265">
        <v>8021</v>
      </c>
      <c r="N17" s="265">
        <v>8021</v>
      </c>
      <c r="O17" s="265" t="e">
        <f>+#REF!-#REF!-#REF!-E17-G17-I17-J17-K17-L17-M17-N17</f>
        <v>#REF!</v>
      </c>
      <c r="P17" s="266">
        <v>2.6417E-2</v>
      </c>
      <c r="Q17" s="265" t="e">
        <f>+B17*P17-#REF!</f>
        <v>#REF!</v>
      </c>
      <c r="S17" s="257">
        <v>0</v>
      </c>
      <c r="T17" s="257">
        <v>0</v>
      </c>
      <c r="U17" s="257">
        <v>0.4542853</v>
      </c>
      <c r="V17" s="257">
        <v>0.5457147</v>
      </c>
    </row>
    <row r="18" spans="1:22">
      <c r="A18" s="262" t="s">
        <v>536</v>
      </c>
      <c r="B18" s="263">
        <v>142703.56</v>
      </c>
      <c r="C18" s="264">
        <v>2.1098284419999339E-2</v>
      </c>
      <c r="D18" s="265">
        <v>39353.448051031861</v>
      </c>
      <c r="E18" s="265">
        <v>3011</v>
      </c>
      <c r="F18" s="265">
        <f t="shared" si="0"/>
        <v>36342.448051031861</v>
      </c>
      <c r="G18" s="265">
        <v>3011</v>
      </c>
      <c r="H18" s="265">
        <f t="shared" si="0"/>
        <v>33331.448051031861</v>
      </c>
      <c r="I18" s="265">
        <v>3011</v>
      </c>
      <c r="J18" s="265">
        <v>3011</v>
      </c>
      <c r="K18" s="265">
        <v>3011</v>
      </c>
      <c r="L18" s="265">
        <v>3011</v>
      </c>
      <c r="M18" s="265">
        <v>3011</v>
      </c>
      <c r="N18" s="265">
        <v>3011</v>
      </c>
      <c r="O18" s="265" t="e">
        <f>+#REF!-#REF!-#REF!-E18-G18-I18-J18-K18-L18-M18-N18</f>
        <v>#REF!</v>
      </c>
      <c r="P18" s="266">
        <v>3.1472E-2</v>
      </c>
      <c r="Q18" s="265" t="e">
        <f>+B18*P18-#REF!</f>
        <v>#REF!</v>
      </c>
      <c r="S18" s="257">
        <v>1</v>
      </c>
      <c r="T18" s="257">
        <v>0</v>
      </c>
      <c r="U18" s="257">
        <v>0</v>
      </c>
      <c r="V18" s="257">
        <v>0</v>
      </c>
    </row>
    <row r="19" spans="1:22">
      <c r="A19" s="262" t="s">
        <v>537</v>
      </c>
      <c r="B19" s="263">
        <v>-2968.0491999999999</v>
      </c>
      <c r="C19" s="264">
        <v>2.410118733511072E-2</v>
      </c>
      <c r="D19" s="265">
        <v>-1067.3305377549821</v>
      </c>
      <c r="E19" s="265">
        <v>-72</v>
      </c>
      <c r="F19" s="265">
        <f t="shared" si="0"/>
        <v>-995.33053775498206</v>
      </c>
      <c r="G19" s="265">
        <v>-72</v>
      </c>
      <c r="H19" s="265">
        <f t="shared" si="0"/>
        <v>-923.33053775498206</v>
      </c>
      <c r="I19" s="265">
        <v>-72</v>
      </c>
      <c r="J19" s="265">
        <v>-72</v>
      </c>
      <c r="K19" s="265">
        <v>-72</v>
      </c>
      <c r="L19" s="265">
        <v>-72</v>
      </c>
      <c r="M19" s="265">
        <v>-72</v>
      </c>
      <c r="N19" s="265">
        <v>-72</v>
      </c>
      <c r="O19" s="265" t="e">
        <f>+#REF!-#REF!-#REF!-E19-G19-I19-J19-K19-L19-M19-N19</f>
        <v>#REF!</v>
      </c>
      <c r="P19" s="267">
        <v>3.1472E-2</v>
      </c>
      <c r="Q19" s="265" t="e">
        <f>+B19*P19-#REF!</f>
        <v>#REF!</v>
      </c>
    </row>
    <row r="20" spans="1:22" s="269" customFormat="1">
      <c r="A20" s="268" t="s">
        <v>538</v>
      </c>
      <c r="B20" s="268">
        <f>SUM(B7:B19)</f>
        <v>24600073.760800004</v>
      </c>
      <c r="C20" s="268"/>
      <c r="D20" s="268">
        <f t="shared" ref="D20:O20" si="1">SUM(D7:D19)</f>
        <v>4401396.9030723283</v>
      </c>
      <c r="E20" s="268">
        <f t="shared" si="1"/>
        <v>491793.39462395356</v>
      </c>
      <c r="F20" s="268">
        <f t="shared" si="1"/>
        <v>3909605.0181612927</v>
      </c>
      <c r="G20" s="268">
        <f t="shared" si="1"/>
        <v>479396.39462395356</v>
      </c>
      <c r="H20" s="268">
        <f>SUM(H7:H19)</f>
        <v>3430208.6235373393</v>
      </c>
      <c r="I20" s="268">
        <f t="shared" si="1"/>
        <v>479396.67137429985</v>
      </c>
      <c r="J20" s="268">
        <f t="shared" si="1"/>
        <v>474841.67137429985</v>
      </c>
      <c r="K20" s="268">
        <f t="shared" si="1"/>
        <v>449251.60562620405</v>
      </c>
      <c r="L20" s="268">
        <f t="shared" si="1"/>
        <v>419271</v>
      </c>
      <c r="M20" s="268">
        <f t="shared" si="1"/>
        <v>399361</v>
      </c>
      <c r="N20" s="268">
        <f t="shared" si="1"/>
        <v>396162</v>
      </c>
      <c r="O20" s="268" t="e">
        <f t="shared" si="1"/>
        <v>#REF!</v>
      </c>
      <c r="P20" s="268"/>
      <c r="Q20" s="268"/>
      <c r="R20" s="268"/>
      <c r="S20" s="268"/>
      <c r="T20" s="268"/>
      <c r="U20" s="268"/>
      <c r="V20" s="268"/>
    </row>
    <row r="21" spans="1:22">
      <c r="A21" s="270"/>
      <c r="B21" s="270"/>
      <c r="D21" s="270"/>
      <c r="E21" s="270"/>
      <c r="F21" s="270"/>
      <c r="G21" s="270"/>
      <c r="H21" s="270"/>
      <c r="I21" s="270"/>
      <c r="J21" s="270"/>
      <c r="K21" s="270"/>
      <c r="L21" s="270"/>
      <c r="M21" s="270"/>
      <c r="N21" s="270"/>
      <c r="O21" s="270"/>
    </row>
    <row r="22" spans="1:22">
      <c r="D22" s="262"/>
      <c r="F22" s="262"/>
      <c r="H22" s="262"/>
    </row>
    <row r="23" spans="1:22">
      <c r="D23" s="271"/>
      <c r="E23" s="271"/>
      <c r="F23" s="271"/>
      <c r="G23" s="271"/>
      <c r="H23" s="271"/>
      <c r="I23" s="271"/>
      <c r="J23" s="271"/>
      <c r="K23" s="271"/>
      <c r="L23" s="271"/>
      <c r="M23" s="271"/>
      <c r="N23" s="271"/>
      <c r="O23" s="271"/>
    </row>
  </sheetData>
  <phoneticPr fontId="51" type="noConversion"/>
  <pageMargins left="0.75" right="0.75" top="1" bottom="1"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G15"/>
  <sheetViews>
    <sheetView workbookViewId="0"/>
  </sheetViews>
  <sheetFormatPr defaultRowHeight="15"/>
  <cols>
    <col min="1" max="1" width="3.5546875" customWidth="1"/>
    <col min="2" max="2" width="17.44140625" customWidth="1"/>
    <col min="7" max="7" width="14.5546875" customWidth="1"/>
  </cols>
  <sheetData>
    <row r="2" spans="2:7" ht="18">
      <c r="B2" s="272" t="s">
        <v>383</v>
      </c>
    </row>
    <row r="3" spans="2:7">
      <c r="B3" t="s">
        <v>645</v>
      </c>
    </row>
    <row r="5" spans="2:7">
      <c r="B5" s="501" t="s">
        <v>238</v>
      </c>
      <c r="C5" s="502"/>
      <c r="D5" s="502"/>
      <c r="E5" s="502"/>
      <c r="F5" s="502"/>
      <c r="G5" s="503"/>
    </row>
    <row r="6" spans="2:7">
      <c r="B6" s="2"/>
      <c r="C6" s="22"/>
      <c r="D6" s="23"/>
      <c r="E6" s="24"/>
      <c r="F6" s="22"/>
      <c r="G6" s="25"/>
    </row>
    <row r="7" spans="2:7">
      <c r="B7" s="278">
        <f>+SIGE!J256</f>
        <v>3146022.2700000005</v>
      </c>
      <c r="C7" s="15" t="s">
        <v>48</v>
      </c>
      <c r="D7" s="23"/>
      <c r="E7" s="24"/>
      <c r="F7" s="22"/>
      <c r="G7" s="25"/>
    </row>
    <row r="8" spans="2:7">
      <c r="B8" s="279">
        <f>ROUND(444427.85+203234.12,0)</f>
        <v>647662</v>
      </c>
      <c r="C8" s="6" t="s">
        <v>201</v>
      </c>
      <c r="D8" s="46"/>
      <c r="E8" s="46"/>
      <c r="G8" s="34"/>
    </row>
    <row r="9" spans="2:7">
      <c r="B9" s="1">
        <f>B7-B8</f>
        <v>2498360.2700000005</v>
      </c>
      <c r="C9" s="6" t="s">
        <v>49</v>
      </c>
      <c r="G9" s="34"/>
    </row>
    <row r="10" spans="2:7">
      <c r="B10" s="27"/>
      <c r="C10" s="16" t="s">
        <v>50</v>
      </c>
      <c r="D10" s="17"/>
      <c r="E10" s="17"/>
      <c r="F10" s="22"/>
      <c r="G10" s="25"/>
    </row>
    <row r="11" spans="2:7">
      <c r="B11" s="45">
        <v>0</v>
      </c>
      <c r="C11" s="17" t="s">
        <v>107</v>
      </c>
      <c r="D11" s="3"/>
      <c r="E11" s="17"/>
      <c r="F11" s="22"/>
      <c r="G11" s="25"/>
    </row>
    <row r="12" spans="2:7">
      <c r="B12" s="26"/>
      <c r="C12" s="17" t="s">
        <v>109</v>
      </c>
      <c r="D12" s="3"/>
      <c r="E12" s="17"/>
      <c r="F12" s="22"/>
      <c r="G12" s="25"/>
    </row>
    <row r="13" spans="2:7">
      <c r="B13" s="28" t="s">
        <v>272</v>
      </c>
      <c r="C13" s="17" t="s">
        <v>111</v>
      </c>
      <c r="D13" s="3"/>
      <c r="E13" s="18"/>
      <c r="F13" s="22"/>
      <c r="G13" s="25"/>
    </row>
    <row r="14" spans="2:7">
      <c r="B14" s="1">
        <f>SUM(B11:B13)</f>
        <v>0</v>
      </c>
      <c r="C14" s="19" t="s">
        <v>113</v>
      </c>
      <c r="D14" s="23"/>
      <c r="E14" s="24"/>
      <c r="F14" s="22"/>
      <c r="G14" s="25"/>
    </row>
    <row r="15" spans="2:7">
      <c r="B15" s="29">
        <f>B9-B14</f>
        <v>2498360.2700000005</v>
      </c>
      <c r="C15" s="20" t="s">
        <v>51</v>
      </c>
      <c r="D15" s="30"/>
      <c r="E15" s="31"/>
      <c r="F15" s="33"/>
      <c r="G15" s="32"/>
    </row>
  </sheetData>
  <mergeCells count="1">
    <mergeCell ref="B5:G5"/>
  </mergeCells>
  <phoneticPr fontId="51" type="noConversion"/>
  <pageMargins left="0.5" right="0.5" top="1" bottom="1" header="0.5" footer="0.5"/>
  <pageSetup scale="1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zoomScale="75" zoomScaleNormal="75" workbookViewId="0">
      <selection activeCell="G11" sqref="G11"/>
    </sheetView>
  </sheetViews>
  <sheetFormatPr defaultRowHeight="15"/>
  <cols>
    <col min="1" max="1" width="50.77734375" customWidth="1"/>
    <col min="2" max="2" width="10.77734375" customWidth="1"/>
    <col min="3" max="3" width="13.6640625" customWidth="1"/>
    <col min="4" max="8" width="15.77734375" customWidth="1"/>
    <col min="9" max="10" width="15.77734375" hidden="1" customWidth="1"/>
    <col min="11" max="11" width="15.77734375" customWidth="1"/>
    <col min="12" max="12" width="5.77734375" customWidth="1"/>
  </cols>
  <sheetData>
    <row r="1" spans="1:12" ht="15.75">
      <c r="A1" s="353" t="s">
        <v>589</v>
      </c>
      <c r="B1" s="353"/>
    </row>
    <row r="2" spans="1:12" ht="15.75">
      <c r="A2" s="353" t="s">
        <v>590</v>
      </c>
      <c r="B2" s="353"/>
      <c r="F2" s="354"/>
      <c r="G2" s="355">
        <v>3543207.64</v>
      </c>
      <c r="H2" s="354" t="s">
        <v>591</v>
      </c>
      <c r="I2" s="354"/>
      <c r="J2" s="354"/>
      <c r="K2" s="354"/>
      <c r="L2" s="354"/>
    </row>
    <row r="3" spans="1:12" ht="15.75">
      <c r="A3" s="353" t="s">
        <v>638</v>
      </c>
      <c r="B3" s="353"/>
      <c r="F3" s="354"/>
      <c r="G3" s="356">
        <f>+D20</f>
        <v>27.862906452864991</v>
      </c>
      <c r="H3" s="357" t="s">
        <v>592</v>
      </c>
      <c r="I3" s="355"/>
      <c r="J3" s="354"/>
      <c r="K3" s="354"/>
      <c r="L3" s="354"/>
    </row>
    <row r="4" spans="1:12">
      <c r="F4" s="354"/>
      <c r="G4" s="358">
        <f>+G2/G3</f>
        <v>127165.75874788796</v>
      </c>
      <c r="H4" s="354" t="s">
        <v>593</v>
      </c>
      <c r="I4" s="354"/>
      <c r="J4" s="354"/>
      <c r="K4" s="354"/>
      <c r="L4" s="354"/>
    </row>
    <row r="5" spans="1:12">
      <c r="F5" s="354"/>
      <c r="G5" s="356">
        <f>+(D9+D30)/D17</f>
        <v>31.080031910316105</v>
      </c>
      <c r="H5" s="354" t="s">
        <v>594</v>
      </c>
      <c r="I5" s="354"/>
      <c r="J5" s="354"/>
      <c r="K5" s="354"/>
      <c r="L5" s="354"/>
    </row>
    <row r="6" spans="1:12" ht="15.75">
      <c r="A6" s="353" t="s">
        <v>595</v>
      </c>
      <c r="B6" s="353"/>
      <c r="C6" s="359"/>
      <c r="F6" s="354"/>
      <c r="G6" s="360">
        <f>+G4*G5</f>
        <v>3952315.8397839172</v>
      </c>
      <c r="H6" s="354" t="s">
        <v>596</v>
      </c>
      <c r="I6" s="354"/>
      <c r="J6" s="354"/>
      <c r="K6" s="354"/>
      <c r="L6" s="354"/>
    </row>
    <row r="7" spans="1:12">
      <c r="A7" s="252" t="s">
        <v>597</v>
      </c>
      <c r="B7" s="252"/>
      <c r="C7" s="361">
        <f>+ROUND(SIGE!J26+SIGE!J218,0)</f>
        <v>51222469</v>
      </c>
      <c r="F7" s="354"/>
      <c r="G7" s="362">
        <f>+G2-G6</f>
        <v>-409108.19978391705</v>
      </c>
      <c r="H7" s="354" t="s">
        <v>651</v>
      </c>
      <c r="I7" s="354"/>
      <c r="J7" s="354"/>
      <c r="K7" s="354"/>
      <c r="L7" s="354"/>
    </row>
    <row r="8" spans="1:12">
      <c r="A8" s="252" t="s">
        <v>598</v>
      </c>
      <c r="B8" s="252"/>
      <c r="C8" s="363">
        <f>-ROUND(SIGE!J218,0)</f>
        <v>-19044923</v>
      </c>
      <c r="F8" s="354"/>
      <c r="G8" s="354"/>
      <c r="H8" s="354"/>
      <c r="I8" s="354"/>
      <c r="J8" s="354"/>
      <c r="K8" s="354"/>
      <c r="L8" s="354"/>
    </row>
    <row r="9" spans="1:12">
      <c r="A9" s="252"/>
      <c r="B9" s="252"/>
      <c r="C9" s="364"/>
      <c r="D9" s="359">
        <f>+C7+C8</f>
        <v>32177546</v>
      </c>
      <c r="E9" t="s">
        <v>20</v>
      </c>
      <c r="F9" s="354"/>
      <c r="G9" s="365">
        <f>+G7+G8</f>
        <v>-409108.19978391705</v>
      </c>
      <c r="H9" s="354" t="s">
        <v>650</v>
      </c>
      <c r="I9" s="354"/>
      <c r="J9" s="354"/>
      <c r="K9" s="354"/>
      <c r="L9" s="354"/>
    </row>
    <row r="10" spans="1:12">
      <c r="A10" s="252"/>
      <c r="B10" s="252"/>
      <c r="C10" s="364"/>
      <c r="D10" s="359"/>
      <c r="F10" s="354"/>
      <c r="G10" s="366"/>
      <c r="H10" s="354"/>
      <c r="I10" s="354"/>
      <c r="J10" s="354"/>
      <c r="K10" s="354"/>
      <c r="L10" s="354"/>
    </row>
    <row r="11" spans="1:12">
      <c r="A11" s="252" t="s">
        <v>599</v>
      </c>
      <c r="B11" s="252"/>
      <c r="C11" s="361">
        <f>28060554+21584379</f>
        <v>49644933</v>
      </c>
      <c r="F11" s="354"/>
      <c r="G11" s="367">
        <f>+G4/D17</f>
        <v>0.12273248151239137</v>
      </c>
      <c r="H11" s="354" t="s">
        <v>600</v>
      </c>
      <c r="I11" s="354"/>
      <c r="J11" s="354"/>
      <c r="K11" s="354"/>
      <c r="L11" s="354"/>
    </row>
    <row r="12" spans="1:12">
      <c r="A12" s="252" t="s">
        <v>601</v>
      </c>
      <c r="B12" s="252"/>
      <c r="C12" s="363">
        <v>-21584379</v>
      </c>
      <c r="F12" s="354"/>
      <c r="G12" s="354"/>
      <c r="H12" s="354"/>
      <c r="I12" s="354"/>
      <c r="J12" s="354"/>
      <c r="K12" s="354"/>
      <c r="L12" s="354"/>
    </row>
    <row r="13" spans="1:12">
      <c r="A13" s="252"/>
      <c r="B13" s="252"/>
      <c r="C13" s="364"/>
      <c r="D13" s="359">
        <f>+C11+C12</f>
        <v>28060554</v>
      </c>
      <c r="F13" s="354"/>
      <c r="G13" s="354">
        <v>1050135.4600000002</v>
      </c>
      <c r="H13" s="354" t="s">
        <v>602</v>
      </c>
      <c r="I13" s="354"/>
      <c r="J13" s="354"/>
      <c r="K13" s="354"/>
      <c r="L13" s="354"/>
    </row>
    <row r="14" spans="1:12">
      <c r="D14" s="368"/>
      <c r="F14" s="354"/>
      <c r="G14" s="357">
        <f>+G2</f>
        <v>3543207.64</v>
      </c>
      <c r="H14" s="354" t="s">
        <v>603</v>
      </c>
      <c r="I14" s="354"/>
      <c r="J14" s="354"/>
      <c r="K14" s="354"/>
      <c r="L14" s="354"/>
    </row>
    <row r="15" spans="1:12">
      <c r="A15" s="252" t="s">
        <v>646</v>
      </c>
      <c r="B15" s="252"/>
      <c r="D15" s="359">
        <f>+D9-D13</f>
        <v>4116992</v>
      </c>
      <c r="F15" s="354"/>
      <c r="G15" s="354">
        <f>+G13+G14</f>
        <v>4593343.1000000006</v>
      </c>
      <c r="H15" s="354" t="s">
        <v>604</v>
      </c>
      <c r="I15" s="354"/>
      <c r="J15" s="354"/>
      <c r="K15" s="354"/>
      <c r="L15" s="354"/>
    </row>
    <row r="16" spans="1:12">
      <c r="A16" s="369"/>
      <c r="B16" s="369"/>
      <c r="F16" s="354"/>
      <c r="G16" s="354"/>
      <c r="H16" s="354"/>
      <c r="I16" s="354"/>
      <c r="J16" s="354"/>
      <c r="K16" s="354"/>
      <c r="L16" s="354"/>
    </row>
    <row r="17" spans="1:12">
      <c r="A17" s="370" t="s">
        <v>605</v>
      </c>
      <c r="B17" s="370"/>
      <c r="D17" s="359">
        <f>+'Workpapers (Page 10)'!D23</f>
        <v>1036121.4666310564</v>
      </c>
      <c r="E17" t="s">
        <v>42</v>
      </c>
      <c r="F17" s="354"/>
      <c r="G17" s="354"/>
      <c r="H17" s="354"/>
      <c r="I17" s="354"/>
      <c r="J17" s="354"/>
      <c r="K17" s="354"/>
      <c r="L17" s="354"/>
    </row>
    <row r="18" spans="1:12">
      <c r="A18" s="370" t="s">
        <v>606</v>
      </c>
      <c r="B18" s="370"/>
      <c r="D18" s="363">
        <v>1007093.5632765298</v>
      </c>
      <c r="F18" s="354"/>
      <c r="G18" s="355"/>
      <c r="H18" s="354"/>
      <c r="I18" s="354"/>
      <c r="J18" s="354"/>
      <c r="K18" s="354"/>
      <c r="L18" s="354"/>
    </row>
    <row r="19" spans="1:12">
      <c r="A19" s="370" t="s">
        <v>607</v>
      </c>
      <c r="B19" s="370"/>
      <c r="D19" s="359">
        <f>+D17-D18</f>
        <v>29027.903354526614</v>
      </c>
      <c r="F19" s="354"/>
      <c r="G19" s="355"/>
      <c r="H19" s="354"/>
      <c r="I19" s="354"/>
      <c r="J19" s="354"/>
      <c r="K19" s="354"/>
      <c r="L19" s="354"/>
    </row>
    <row r="20" spans="1:12">
      <c r="A20" s="371" t="s">
        <v>608</v>
      </c>
      <c r="B20" s="412"/>
      <c r="D20" s="372">
        <v>27.862906452864991</v>
      </c>
      <c r="F20" s="354"/>
      <c r="G20" s="355"/>
      <c r="H20" s="354"/>
      <c r="I20" s="354"/>
      <c r="J20" s="354"/>
      <c r="K20" s="354"/>
      <c r="L20" s="354"/>
    </row>
    <row r="21" spans="1:12">
      <c r="A21" s="252" t="s">
        <v>647</v>
      </c>
      <c r="B21" s="252"/>
      <c r="D21" s="359">
        <f>-D19*D20</f>
        <v>-808801.75568998093</v>
      </c>
      <c r="F21" s="354"/>
      <c r="G21" s="355"/>
      <c r="H21" s="354"/>
      <c r="I21" s="354"/>
      <c r="J21" s="354"/>
      <c r="K21" s="354"/>
      <c r="L21" s="354"/>
    </row>
    <row r="22" spans="1:12">
      <c r="A22" s="370"/>
      <c r="B22" s="370"/>
      <c r="D22" s="363"/>
      <c r="F22" s="354"/>
      <c r="G22" s="355"/>
      <c r="H22" s="354"/>
      <c r="I22" s="354"/>
      <c r="J22" s="354"/>
      <c r="K22" s="354"/>
      <c r="L22" s="354"/>
    </row>
    <row r="23" spans="1:12">
      <c r="A23" s="252" t="s">
        <v>648</v>
      </c>
      <c r="B23" s="252"/>
      <c r="D23" s="373">
        <f>+D21+D15</f>
        <v>3308190.2443100191</v>
      </c>
      <c r="F23" s="354"/>
      <c r="G23" s="355"/>
      <c r="H23" s="354"/>
      <c r="I23" s="354"/>
      <c r="J23" s="354"/>
      <c r="K23" s="354"/>
      <c r="L23" s="354"/>
    </row>
    <row r="24" spans="1:12">
      <c r="A24" s="252"/>
      <c r="B24" s="252"/>
      <c r="C24" s="373"/>
      <c r="F24" s="354"/>
      <c r="G24" s="355"/>
      <c r="H24" s="354"/>
      <c r="I24" s="354"/>
      <c r="J24" s="354"/>
      <c r="K24" s="354"/>
      <c r="L24" s="354"/>
    </row>
    <row r="25" spans="1:12">
      <c r="A25" s="252" t="s">
        <v>609</v>
      </c>
      <c r="B25" s="252"/>
      <c r="C25" s="373"/>
      <c r="F25" s="354"/>
      <c r="G25" s="355"/>
      <c r="H25" s="354"/>
      <c r="I25" s="354"/>
      <c r="J25" s="354"/>
      <c r="K25" s="354"/>
      <c r="L25" s="354"/>
    </row>
    <row r="26" spans="1:12">
      <c r="C26" s="373"/>
      <c r="F26" s="354"/>
      <c r="G26" s="355"/>
      <c r="H26" s="354"/>
      <c r="I26" s="354"/>
      <c r="J26" s="354"/>
      <c r="K26" s="354"/>
      <c r="L26" s="354"/>
    </row>
    <row r="27" spans="1:12">
      <c r="A27" s="252" t="s">
        <v>610</v>
      </c>
      <c r="B27" s="252"/>
      <c r="D27" s="410">
        <f>0.38%/12</f>
        <v>3.1666666666666665E-4</v>
      </c>
      <c r="F27" s="354"/>
      <c r="G27" s="355"/>
      <c r="H27" s="354"/>
      <c r="I27" s="354"/>
      <c r="J27" s="354"/>
      <c r="K27" s="354"/>
      <c r="L27" s="354"/>
    </row>
    <row r="28" spans="1:12">
      <c r="C28" s="374" t="s">
        <v>611</v>
      </c>
      <c r="D28" s="373">
        <f>+D23*D27</f>
        <v>1047.5935773648393</v>
      </c>
      <c r="F28" s="354"/>
      <c r="G28" s="375"/>
      <c r="H28" s="354"/>
      <c r="I28" s="354"/>
      <c r="J28" s="354"/>
      <c r="K28" s="354"/>
      <c r="L28" s="354"/>
    </row>
    <row r="29" spans="1:12">
      <c r="A29" s="252"/>
      <c r="B29" s="252"/>
      <c r="D29" s="376" t="s">
        <v>612</v>
      </c>
      <c r="F29" s="354"/>
      <c r="G29" s="377"/>
      <c r="H29" s="354"/>
      <c r="I29" s="354"/>
      <c r="J29" s="354"/>
      <c r="K29" s="354"/>
      <c r="L29" s="354"/>
    </row>
    <row r="30" spans="1:12">
      <c r="A30" s="252"/>
      <c r="B30" s="252"/>
      <c r="D30" s="378">
        <f>24*D28</f>
        <v>25142.245856756144</v>
      </c>
      <c r="E30" t="s">
        <v>21</v>
      </c>
      <c r="F30" s="354"/>
      <c r="G30" s="377"/>
      <c r="H30" s="354"/>
      <c r="I30" s="354"/>
      <c r="J30" s="354"/>
      <c r="K30" s="354"/>
      <c r="L30" s="354"/>
    </row>
    <row r="31" spans="1:12">
      <c r="A31" s="252"/>
      <c r="B31" s="252"/>
      <c r="D31" s="378"/>
      <c r="F31" s="354"/>
      <c r="G31" s="377"/>
      <c r="H31" s="354"/>
      <c r="I31" s="354"/>
      <c r="J31" s="354"/>
      <c r="K31" s="354"/>
      <c r="L31" s="354"/>
    </row>
    <row r="32" spans="1:12">
      <c r="A32" s="252" t="s">
        <v>649</v>
      </c>
      <c r="B32" s="252"/>
      <c r="D32" s="373">
        <f>+D23+D30</f>
        <v>3333332.4901667754</v>
      </c>
      <c r="E32" s="379"/>
      <c r="F32" s="354"/>
      <c r="G32" s="355"/>
      <c r="H32" s="354"/>
      <c r="I32" s="354"/>
      <c r="J32" s="354"/>
      <c r="K32" s="354"/>
      <c r="L32" s="354"/>
    </row>
    <row r="33" spans="1:13">
      <c r="A33" s="252"/>
      <c r="B33" s="252"/>
      <c r="C33" s="373"/>
      <c r="F33" s="283"/>
      <c r="G33" s="283"/>
      <c r="H33" s="283"/>
      <c r="I33" s="283"/>
      <c r="J33" s="283"/>
    </row>
    <row r="34" spans="1:13" ht="15.75">
      <c r="A34" s="384"/>
      <c r="B34" s="384"/>
      <c r="C34" s="384"/>
      <c r="D34" s="384"/>
      <c r="E34" s="384"/>
      <c r="F34" s="385" t="s">
        <v>613</v>
      </c>
      <c r="G34" s="386"/>
      <c r="H34" s="384"/>
      <c r="I34" s="384"/>
      <c r="J34" s="384"/>
      <c r="K34" s="384"/>
    </row>
    <row r="35" spans="1:13" ht="15.75">
      <c r="A35" s="384"/>
      <c r="B35" s="384"/>
      <c r="C35" s="387"/>
      <c r="D35" s="384"/>
      <c r="E35" s="388"/>
      <c r="F35" s="389" t="s">
        <v>614</v>
      </c>
      <c r="G35" s="386"/>
      <c r="H35" s="386"/>
      <c r="I35" s="386"/>
      <c r="J35" s="386"/>
      <c r="K35" s="384"/>
    </row>
    <row r="36" spans="1:13" s="392" customFormat="1" ht="15.75">
      <c r="A36" s="390" t="s">
        <v>615</v>
      </c>
      <c r="B36" s="413" t="s">
        <v>663</v>
      </c>
      <c r="C36" s="380" t="s">
        <v>616</v>
      </c>
      <c r="D36" s="391"/>
      <c r="E36" s="380" t="s">
        <v>617</v>
      </c>
      <c r="F36" s="380" t="s">
        <v>618</v>
      </c>
      <c r="G36" s="391"/>
      <c r="H36" s="391"/>
      <c r="I36" s="391"/>
      <c r="J36" s="380" t="s">
        <v>619</v>
      </c>
      <c r="K36" s="391"/>
    </row>
    <row r="37" spans="1:13" s="392" customFormat="1" ht="15.75">
      <c r="A37" s="393"/>
      <c r="B37" s="413" t="s">
        <v>626</v>
      </c>
      <c r="C37" s="394" t="s">
        <v>620</v>
      </c>
      <c r="D37" s="393"/>
      <c r="E37" s="394" t="s">
        <v>621</v>
      </c>
      <c r="F37" s="394" t="s">
        <v>620</v>
      </c>
      <c r="G37" s="391"/>
      <c r="H37" s="394" t="s">
        <v>622</v>
      </c>
      <c r="I37" s="394" t="s">
        <v>623</v>
      </c>
      <c r="J37" s="394" t="s">
        <v>624</v>
      </c>
      <c r="K37" s="391"/>
    </row>
    <row r="38" spans="1:13" s="392" customFormat="1" ht="15.75">
      <c r="A38" s="395" t="s">
        <v>626</v>
      </c>
      <c r="B38" s="395" t="s">
        <v>664</v>
      </c>
      <c r="C38" s="395" t="s">
        <v>627</v>
      </c>
      <c r="D38" s="396" t="s">
        <v>628</v>
      </c>
      <c r="E38" s="396" t="s">
        <v>629</v>
      </c>
      <c r="F38" s="395" t="s">
        <v>627</v>
      </c>
      <c r="G38" s="395" t="s">
        <v>619</v>
      </c>
      <c r="H38" s="395" t="s">
        <v>630</v>
      </c>
      <c r="I38" s="395" t="s">
        <v>631</v>
      </c>
      <c r="J38" s="395" t="s">
        <v>619</v>
      </c>
      <c r="K38" s="395" t="s">
        <v>625</v>
      </c>
    </row>
    <row r="39" spans="1:13" s="392" customFormat="1">
      <c r="A39" s="397" t="s">
        <v>632</v>
      </c>
      <c r="B39" s="414">
        <v>1004</v>
      </c>
      <c r="C39" s="398">
        <v>3115162</v>
      </c>
      <c r="D39" s="399">
        <f>+C39/$C$44</f>
        <v>0.15252077038812681</v>
      </c>
      <c r="E39" s="398">
        <f>+D39*$E$44</f>
        <v>3220451.3583804946</v>
      </c>
      <c r="F39" s="398">
        <v>2700772.0704750894</v>
      </c>
      <c r="G39" s="400">
        <f>+F39-E39</f>
        <v>-519679.28790540528</v>
      </c>
      <c r="H39" s="401">
        <f>+G39/$G$44*$G$47</f>
        <v>-33779.153713851345</v>
      </c>
      <c r="I39" s="401">
        <v>0</v>
      </c>
      <c r="J39" s="401">
        <v>0</v>
      </c>
      <c r="K39" s="400">
        <f>+G39+H39+I39+J39</f>
        <v>-553458.44161925663</v>
      </c>
    </row>
    <row r="40" spans="1:13" s="392" customFormat="1">
      <c r="A40" s="397" t="s">
        <v>633</v>
      </c>
      <c r="B40" s="414">
        <v>1259</v>
      </c>
      <c r="C40" s="398">
        <v>2004111</v>
      </c>
      <c r="D40" s="399">
        <f>+C40/$C$44</f>
        <v>9.8122843583518041E-2</v>
      </c>
      <c r="E40" s="398">
        <f>+D40*$E$44</f>
        <v>2071847.9463653229</v>
      </c>
      <c r="F40" s="398">
        <v>1732097.1218188608</v>
      </c>
      <c r="G40" s="400">
        <f>+F40-E40</f>
        <v>-339750.82454646216</v>
      </c>
      <c r="H40" s="401">
        <f>+G40/$G$44*$G$47</f>
        <v>-22083.803595520039</v>
      </c>
      <c r="I40" s="401">
        <v>0</v>
      </c>
      <c r="J40" s="401">
        <v>0</v>
      </c>
      <c r="K40" s="400">
        <f>+G40+H40+I40+J40</f>
        <v>-361834.62814198219</v>
      </c>
    </row>
    <row r="41" spans="1:13" s="392" customFormat="1">
      <c r="A41" s="397" t="s">
        <v>634</v>
      </c>
      <c r="B41" s="414">
        <v>1970</v>
      </c>
      <c r="C41" s="401">
        <v>1013869</v>
      </c>
      <c r="D41" s="399">
        <f>+C41/$C$44</f>
        <v>4.963982000057774E-2</v>
      </c>
      <c r="E41" s="398">
        <f>+D41*$E$44</f>
        <v>1048136.7576613589</v>
      </c>
      <c r="F41" s="398">
        <v>876117.90298449248</v>
      </c>
      <c r="G41" s="400">
        <f>+F41-E41</f>
        <v>-172018.85467686644</v>
      </c>
      <c r="H41" s="401">
        <f>+G41/$G$44*$G$47</f>
        <v>-11181.225553996317</v>
      </c>
      <c r="I41" s="401">
        <v>0</v>
      </c>
      <c r="J41" s="401">
        <v>0</v>
      </c>
      <c r="K41" s="400">
        <f>+G41+H41+I41+J41</f>
        <v>-183200.08023086275</v>
      </c>
    </row>
    <row r="42" spans="1:13" s="392" customFormat="1">
      <c r="A42" s="397" t="s">
        <v>635</v>
      </c>
      <c r="B42" s="414">
        <v>1257</v>
      </c>
      <c r="C42" s="401">
        <f>6659657+6652403+16967-1</f>
        <v>13329026</v>
      </c>
      <c r="D42" s="399">
        <f>+C42/$C$44</f>
        <v>0.65259954828781697</v>
      </c>
      <c r="E42" s="398">
        <f>+D42*$E$44</f>
        <v>13779533.740970433</v>
      </c>
      <c r="F42" s="398">
        <v>12541971.34155892</v>
      </c>
      <c r="G42" s="400">
        <f>+F42-E42</f>
        <v>-1237562.3994115125</v>
      </c>
      <c r="H42" s="401">
        <f>+G42/$G$44*$G$47</f>
        <v>-80441.555961748309</v>
      </c>
      <c r="I42" s="401">
        <v>0</v>
      </c>
      <c r="J42" s="401">
        <v>0</v>
      </c>
      <c r="K42" s="400">
        <f>+G42+H42+I42+J42</f>
        <v>-1318003.9553732609</v>
      </c>
    </row>
    <row r="43" spans="1:13" s="392" customFormat="1">
      <c r="A43" s="397" t="s">
        <v>636</v>
      </c>
      <c r="B43" s="414">
        <v>3212</v>
      </c>
      <c r="C43" s="400">
        <v>962342</v>
      </c>
      <c r="D43" s="399">
        <f>+C43/$C$44</f>
        <v>4.7117017739960472E-2</v>
      </c>
      <c r="E43" s="398">
        <f>+D43*$E$44</f>
        <v>994868.19662239146</v>
      </c>
      <c r="F43" s="398">
        <v>199323.11210871959</v>
      </c>
      <c r="G43" s="400">
        <f>+F43-E43</f>
        <v>-795545.08451367193</v>
      </c>
      <c r="H43" s="400">
        <f>+G43/$G$44*$G$47</f>
        <v>-51710.430493388674</v>
      </c>
      <c r="I43" s="400">
        <v>0</v>
      </c>
      <c r="J43" s="400">
        <v>0</v>
      </c>
      <c r="K43" s="400">
        <f>+G43+H43+I43+J43</f>
        <v>-847255.5150070606</v>
      </c>
    </row>
    <row r="44" spans="1:13" s="392" customFormat="1">
      <c r="A44" s="393"/>
      <c r="B44" s="393"/>
      <c r="C44" s="402">
        <f>SUM(C39:C43)</f>
        <v>20424510</v>
      </c>
      <c r="D44" s="391"/>
      <c r="E44" s="402">
        <v>21114838</v>
      </c>
      <c r="F44" s="402">
        <f t="shared" ref="F44:K44" si="0">SUM(F39:F43)</f>
        <v>18050281.548946083</v>
      </c>
      <c r="G44" s="402">
        <f t="shared" si="0"/>
        <v>-3064556.4510539183</v>
      </c>
      <c r="H44" s="402">
        <f t="shared" si="0"/>
        <v>-199196.16931850469</v>
      </c>
      <c r="I44" s="402">
        <f t="shared" si="0"/>
        <v>0</v>
      </c>
      <c r="J44" s="402">
        <f t="shared" si="0"/>
        <v>0</v>
      </c>
      <c r="K44" s="402">
        <f t="shared" si="0"/>
        <v>-3263752.620372423</v>
      </c>
      <c r="L44" s="381"/>
    </row>
    <row r="45" spans="1:13" s="392" customFormat="1">
      <c r="A45" s="391"/>
      <c r="B45" s="391"/>
      <c r="C45" s="391"/>
      <c r="D45" s="391"/>
      <c r="E45" s="391"/>
      <c r="F45" s="391"/>
      <c r="G45" s="391"/>
      <c r="H45" s="391"/>
      <c r="I45" s="391"/>
      <c r="J45" s="391"/>
      <c r="K45" s="400"/>
      <c r="L45" s="22"/>
      <c r="M45" s="22"/>
    </row>
    <row r="46" spans="1:13" s="392" customFormat="1">
      <c r="A46" s="391"/>
      <c r="B46" s="391"/>
      <c r="C46" s="391"/>
      <c r="D46" s="391"/>
      <c r="E46" s="391"/>
      <c r="F46" s="400">
        <f>+G46</f>
        <v>0</v>
      </c>
      <c r="G46" s="400">
        <f>+I44</f>
        <v>0</v>
      </c>
      <c r="H46" s="391"/>
      <c r="I46" s="391"/>
      <c r="J46" s="391"/>
      <c r="K46" s="400"/>
      <c r="L46" s="22"/>
      <c r="M46" s="22"/>
    </row>
    <row r="47" spans="1:13" s="392" customFormat="1">
      <c r="A47" s="391"/>
      <c r="B47" s="391"/>
      <c r="C47" s="391"/>
      <c r="D47" s="415" t="s">
        <v>637</v>
      </c>
      <c r="E47" s="415"/>
      <c r="F47" s="400">
        <f>+G47</f>
        <v>-199196.16931850469</v>
      </c>
      <c r="G47" s="400">
        <f>0.0325*G44*2</f>
        <v>-199196.16931850469</v>
      </c>
      <c r="H47" s="400"/>
      <c r="I47" s="400"/>
      <c r="J47" s="401"/>
      <c r="K47" s="400"/>
      <c r="L47" s="22"/>
      <c r="M47" s="22"/>
    </row>
    <row r="48" spans="1:13" s="392" customFormat="1">
      <c r="A48" s="391"/>
      <c r="B48" s="391"/>
      <c r="C48" s="391"/>
      <c r="D48" s="415"/>
      <c r="E48" s="415"/>
      <c r="F48" s="400"/>
      <c r="G48" s="400"/>
      <c r="H48" s="400"/>
      <c r="I48" s="400"/>
      <c r="J48" s="401"/>
      <c r="K48" s="400"/>
      <c r="L48" s="22"/>
      <c r="M48" s="22"/>
    </row>
    <row r="49" spans="1:11" s="392" customFormat="1">
      <c r="A49" s="391"/>
      <c r="B49" s="391"/>
      <c r="C49" s="391"/>
      <c r="D49" s="415" t="s">
        <v>662</v>
      </c>
      <c r="E49" s="415"/>
      <c r="F49" s="403">
        <f>+F44+F46+F47+F48</f>
        <v>17851085.379627578</v>
      </c>
      <c r="G49" s="404">
        <f>+G44+G46+G47+G48</f>
        <v>-3263752.620372423</v>
      </c>
      <c r="H49" s="405"/>
      <c r="I49" s="405"/>
      <c r="J49" s="401"/>
      <c r="K49" s="391"/>
    </row>
    <row r="50" spans="1:11" s="392" customFormat="1"/>
    <row r="51" spans="1:11" s="392" customFormat="1"/>
    <row r="52" spans="1:11" s="392" customFormat="1">
      <c r="A52" s="411"/>
    </row>
    <row r="53" spans="1:11" s="392" customFormat="1"/>
    <row r="57" spans="1:11">
      <c r="D57" s="381"/>
    </row>
  </sheetData>
  <pageMargins left="0.7" right="0.7" top="0.75" bottom="0.75" header="0.3" footer="0.3"/>
  <pageSetup scale="58" orientation="landscape" r:id="rId1"/>
  <headerFooter>
    <oddFooter>&amp;L&amp;8&amp;Z&amp;F&amp;R&amp;8&amp;A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97"/>
  <sheetViews>
    <sheetView tabSelected="1" zoomScale="80" zoomScaleNormal="80" zoomScaleSheetLayoutView="75" workbookViewId="0"/>
  </sheetViews>
  <sheetFormatPr defaultRowHeight="15.75"/>
  <cols>
    <col min="1" max="1" width="5.77734375" style="21" customWidth="1"/>
    <col min="2" max="2" width="1.77734375" style="21" customWidth="1"/>
    <col min="3" max="3" width="38.77734375" style="21" customWidth="1"/>
    <col min="4" max="4" width="30.77734375" style="21" customWidth="1"/>
    <col min="5" max="5" width="15.77734375" style="21" customWidth="1"/>
    <col min="6" max="6" width="6.77734375" style="21" customWidth="1"/>
    <col min="7" max="7" width="9.77734375" style="21" customWidth="1"/>
    <col min="8" max="8" width="10.77734375" style="21" customWidth="1"/>
    <col min="9" max="9" width="5.77734375" style="21" customWidth="1"/>
    <col min="10" max="10" width="15.77734375" style="21" customWidth="1"/>
    <col min="11" max="11" width="3.44140625" style="21" customWidth="1"/>
    <col min="12" max="12" width="7.21875" style="44" customWidth="1"/>
    <col min="13" max="13" width="8.88671875" style="21" customWidth="1"/>
    <col min="14" max="14" width="12.77734375" style="21" customWidth="1"/>
    <col min="15" max="15" width="18.77734375" style="21" customWidth="1"/>
    <col min="16" max="16384" width="8.88671875" style="21"/>
  </cols>
  <sheetData>
    <row r="1" spans="1:16">
      <c r="C1" s="36"/>
      <c r="D1" s="36"/>
      <c r="E1" s="47"/>
      <c r="F1" s="36"/>
      <c r="G1" s="36"/>
      <c r="H1" s="36"/>
      <c r="I1" s="48"/>
      <c r="J1" s="48"/>
      <c r="K1" s="49"/>
      <c r="L1" s="50" t="s">
        <v>226</v>
      </c>
      <c r="N1" s="492" t="s">
        <v>667</v>
      </c>
      <c r="O1" s="493"/>
      <c r="P1" s="494"/>
    </row>
    <row r="2" spans="1:16">
      <c r="C2" s="36"/>
      <c r="D2" s="36"/>
      <c r="E2" s="47"/>
      <c r="F2" s="36"/>
      <c r="G2" s="36"/>
      <c r="H2" s="36"/>
      <c r="I2" s="48"/>
      <c r="J2" s="48"/>
      <c r="K2" s="49"/>
      <c r="L2" s="51"/>
      <c r="N2" s="495"/>
      <c r="O2" s="496"/>
      <c r="P2" s="497"/>
    </row>
    <row r="3" spans="1:16">
      <c r="C3" s="36" t="s">
        <v>205</v>
      </c>
      <c r="D3" s="36"/>
      <c r="E3" s="47" t="s">
        <v>271</v>
      </c>
      <c r="F3" s="36"/>
      <c r="G3" s="36"/>
      <c r="H3" s="36"/>
      <c r="I3" s="48"/>
      <c r="J3" s="52" t="s">
        <v>669</v>
      </c>
      <c r="K3" s="53"/>
      <c r="L3" s="53"/>
      <c r="N3" s="495"/>
      <c r="O3" s="496"/>
      <c r="P3" s="497"/>
    </row>
    <row r="4" spans="1:16">
      <c r="C4" s="36"/>
      <c r="D4" s="38" t="s">
        <v>272</v>
      </c>
      <c r="E4" s="38" t="s">
        <v>227</v>
      </c>
      <c r="F4" s="38"/>
      <c r="G4" s="38"/>
      <c r="H4" s="38"/>
      <c r="I4" s="48"/>
      <c r="J4" s="48"/>
      <c r="K4" s="49"/>
      <c r="L4" s="51"/>
      <c r="N4" s="498"/>
      <c r="O4" s="499"/>
      <c r="P4" s="500"/>
    </row>
    <row r="5" spans="1:16">
      <c r="C5" s="49"/>
      <c r="D5" s="49"/>
      <c r="E5" s="49"/>
      <c r="F5" s="49"/>
      <c r="G5" s="49"/>
      <c r="H5" s="49"/>
      <c r="I5" s="49"/>
      <c r="J5" s="49"/>
      <c r="K5" s="49"/>
      <c r="L5" s="51"/>
    </row>
    <row r="6" spans="1:16">
      <c r="A6" s="10"/>
      <c r="C6" s="49"/>
      <c r="D6" s="49"/>
      <c r="E6" s="158" t="s">
        <v>278</v>
      </c>
      <c r="F6" s="49"/>
      <c r="G6" s="49"/>
      <c r="H6" s="49"/>
      <c r="I6" s="49"/>
      <c r="J6" s="49"/>
      <c r="K6" s="49"/>
      <c r="L6" s="51"/>
    </row>
    <row r="7" spans="1:16">
      <c r="A7" s="10"/>
      <c r="C7" s="49"/>
      <c r="D7" s="49"/>
      <c r="E7" s="54"/>
      <c r="F7" s="49"/>
      <c r="G7" s="49"/>
      <c r="H7" s="49"/>
      <c r="I7" s="49"/>
      <c r="J7" s="49"/>
      <c r="K7" s="49"/>
      <c r="L7" s="51"/>
    </row>
    <row r="8" spans="1:16">
      <c r="A8" s="10" t="s">
        <v>273</v>
      </c>
      <c r="C8" s="49"/>
      <c r="D8" s="49"/>
      <c r="E8" s="54"/>
      <c r="F8" s="49"/>
      <c r="G8" s="49"/>
      <c r="H8" s="49"/>
      <c r="I8" s="49"/>
      <c r="J8" s="10" t="s">
        <v>216</v>
      </c>
      <c r="K8" s="49"/>
      <c r="L8" s="51"/>
    </row>
    <row r="9" spans="1:16" ht="16.5" thickBot="1">
      <c r="A9" s="55" t="s">
        <v>274</v>
      </c>
      <c r="C9" s="49"/>
      <c r="D9" s="49"/>
      <c r="E9" s="49"/>
      <c r="F9" s="49"/>
      <c r="G9" s="49"/>
      <c r="H9" s="49"/>
      <c r="I9" s="49"/>
      <c r="J9" s="55" t="s">
        <v>275</v>
      </c>
      <c r="K9" s="49"/>
      <c r="L9" s="51"/>
    </row>
    <row r="10" spans="1:16">
      <c r="A10" s="10">
        <v>1</v>
      </c>
      <c r="C10" s="49" t="s">
        <v>371</v>
      </c>
      <c r="D10" s="49"/>
      <c r="E10" s="56"/>
      <c r="F10" s="49"/>
      <c r="G10" s="49"/>
      <c r="H10" s="49"/>
      <c r="I10" s="49"/>
      <c r="J10" s="57">
        <f>+J223</f>
        <v>32186964.727973461</v>
      </c>
      <c r="K10" s="49"/>
      <c r="L10" s="51"/>
    </row>
    <row r="11" spans="1:16">
      <c r="A11" s="10"/>
      <c r="C11" s="49"/>
      <c r="D11" s="49"/>
      <c r="E11" s="49"/>
      <c r="F11" s="49"/>
      <c r="G11" s="49"/>
      <c r="H11" s="49"/>
      <c r="I11" s="49"/>
      <c r="J11" s="56"/>
      <c r="K11" s="49"/>
      <c r="L11" s="51"/>
    </row>
    <row r="12" spans="1:16">
      <c r="A12" s="10"/>
      <c r="C12" s="49"/>
      <c r="D12" s="49"/>
      <c r="E12" s="49"/>
      <c r="F12" s="49"/>
      <c r="G12" s="49"/>
      <c r="H12" s="49"/>
      <c r="I12" s="49"/>
      <c r="J12" s="56"/>
      <c r="K12" s="49"/>
      <c r="L12" s="51"/>
    </row>
    <row r="13" spans="1:16" ht="16.5" thickBot="1">
      <c r="A13" s="10" t="s">
        <v>272</v>
      </c>
      <c r="C13" s="37" t="s">
        <v>217</v>
      </c>
      <c r="D13" s="41" t="s">
        <v>206</v>
      </c>
      <c r="E13" s="55" t="s">
        <v>219</v>
      </c>
      <c r="F13" s="38"/>
      <c r="G13" s="58" t="s">
        <v>220</v>
      </c>
      <c r="H13" s="58"/>
      <c r="I13" s="49"/>
      <c r="J13" s="56"/>
      <c r="K13" s="49"/>
      <c r="L13" s="51"/>
    </row>
    <row r="14" spans="1:16">
      <c r="A14" s="10">
        <v>2</v>
      </c>
      <c r="C14" s="37" t="s">
        <v>221</v>
      </c>
      <c r="D14" s="38" t="s">
        <v>302</v>
      </c>
      <c r="E14" s="38">
        <f>J303</f>
        <v>0</v>
      </c>
      <c r="F14" s="38"/>
      <c r="G14" s="38" t="s">
        <v>14</v>
      </c>
      <c r="H14" s="59">
        <f>J251</f>
        <v>1</v>
      </c>
      <c r="I14" s="38"/>
      <c r="J14" s="38">
        <f>+H14*E14</f>
        <v>0</v>
      </c>
      <c r="K14" s="49"/>
      <c r="L14" s="51"/>
    </row>
    <row r="15" spans="1:16">
      <c r="A15" s="10">
        <v>3</v>
      </c>
      <c r="C15" s="37" t="s">
        <v>279</v>
      </c>
      <c r="D15" s="38" t="s">
        <v>303</v>
      </c>
      <c r="E15" s="38">
        <f>J310</f>
        <v>1028366</v>
      </c>
      <c r="F15" s="38"/>
      <c r="G15" s="38" t="str">
        <f t="shared" ref="G15:H17" si="0">+G14</f>
        <v>TP</v>
      </c>
      <c r="H15" s="59">
        <f t="shared" si="0"/>
        <v>1</v>
      </c>
      <c r="I15" s="38"/>
      <c r="J15" s="38">
        <f>+H15*E15</f>
        <v>1028366</v>
      </c>
      <c r="K15" s="49"/>
      <c r="L15" s="51"/>
    </row>
    <row r="16" spans="1:16">
      <c r="A16" s="10">
        <v>4</v>
      </c>
      <c r="C16" s="60" t="s">
        <v>222</v>
      </c>
      <c r="D16" s="38"/>
      <c r="E16" s="61">
        <v>0</v>
      </c>
      <c r="F16" s="38"/>
      <c r="G16" s="38" t="str">
        <f t="shared" si="0"/>
        <v>TP</v>
      </c>
      <c r="H16" s="59">
        <f t="shared" si="0"/>
        <v>1</v>
      </c>
      <c r="I16" s="38"/>
      <c r="J16" s="38">
        <f>+H16*E16</f>
        <v>0</v>
      </c>
      <c r="K16" s="49"/>
      <c r="L16" s="51"/>
      <c r="M16" s="7"/>
      <c r="N16" s="7" t="s">
        <v>165</v>
      </c>
      <c r="O16" s="5"/>
      <c r="P16" s="5"/>
    </row>
    <row r="17" spans="1:16" ht="16.5" thickBot="1">
      <c r="A17" s="10">
        <v>5</v>
      </c>
      <c r="C17" s="60" t="s">
        <v>0</v>
      </c>
      <c r="D17" s="38"/>
      <c r="E17" s="61">
        <v>0</v>
      </c>
      <c r="F17" s="38"/>
      <c r="G17" s="38" t="str">
        <f t="shared" si="0"/>
        <v>TP</v>
      </c>
      <c r="H17" s="59">
        <f t="shared" si="0"/>
        <v>1</v>
      </c>
      <c r="I17" s="38"/>
      <c r="J17" s="62">
        <f>+H17*E17</f>
        <v>0</v>
      </c>
      <c r="K17" s="49"/>
      <c r="L17" s="51"/>
      <c r="M17" s="7"/>
      <c r="N17" s="7" t="s">
        <v>166</v>
      </c>
      <c r="O17" s="5"/>
      <c r="P17" s="5"/>
    </row>
    <row r="18" spans="1:16">
      <c r="A18" s="10">
        <v>6</v>
      </c>
      <c r="C18" s="37" t="s">
        <v>57</v>
      </c>
      <c r="D18" s="49"/>
      <c r="E18" s="63" t="s">
        <v>272</v>
      </c>
      <c r="F18" s="38"/>
      <c r="G18" s="38"/>
      <c r="H18" s="59"/>
      <c r="I18" s="38"/>
      <c r="J18" s="38">
        <f>SUM(J14:J17)</f>
        <v>1028366</v>
      </c>
      <c r="K18" s="49"/>
      <c r="L18" s="51"/>
      <c r="M18" s="281"/>
      <c r="N18" s="5"/>
      <c r="O18" s="5"/>
      <c r="P18" s="5"/>
    </row>
    <row r="19" spans="1:16">
      <c r="A19" s="10"/>
      <c r="D19" s="49"/>
      <c r="E19" s="38" t="s">
        <v>272</v>
      </c>
      <c r="F19" s="49"/>
      <c r="G19" s="49"/>
      <c r="H19" s="59"/>
      <c r="I19" s="49"/>
      <c r="K19" s="49"/>
      <c r="L19" s="51"/>
      <c r="M19" s="4"/>
      <c r="N19" s="5"/>
      <c r="O19" s="5"/>
      <c r="P19" s="5"/>
    </row>
    <row r="20" spans="1:16">
      <c r="A20" s="11" t="s">
        <v>329</v>
      </c>
      <c r="B20" s="44"/>
      <c r="C20" s="44" t="s">
        <v>330</v>
      </c>
      <c r="D20" s="51"/>
      <c r="E20" s="38"/>
      <c r="F20" s="49"/>
      <c r="G20" s="49"/>
      <c r="H20" s="59"/>
      <c r="I20" s="49"/>
      <c r="J20" s="351">
        <v>29710019.844294302</v>
      </c>
      <c r="K20" s="49"/>
      <c r="L20" s="51"/>
      <c r="M20" s="281"/>
      <c r="N20" s="282"/>
      <c r="O20" s="5"/>
      <c r="P20" s="5"/>
    </row>
    <row r="21" spans="1:16">
      <c r="A21" s="11" t="s">
        <v>331</v>
      </c>
      <c r="B21" s="44"/>
      <c r="C21" s="44" t="s">
        <v>335</v>
      </c>
      <c r="D21" s="51" t="s">
        <v>339</v>
      </c>
      <c r="E21" s="38"/>
      <c r="F21" s="49"/>
      <c r="G21" s="49"/>
      <c r="H21" s="59"/>
      <c r="I21" s="49"/>
      <c r="J21" s="351">
        <v>29127965</v>
      </c>
      <c r="K21" s="49"/>
      <c r="L21" s="51"/>
      <c r="M21" s="283"/>
      <c r="N21" s="5"/>
      <c r="O21" s="5"/>
      <c r="P21" s="5"/>
    </row>
    <row r="22" spans="1:16">
      <c r="A22" s="11" t="s">
        <v>332</v>
      </c>
      <c r="B22" s="44"/>
      <c r="C22" s="44" t="s">
        <v>336</v>
      </c>
      <c r="D22" s="51" t="s">
        <v>340</v>
      </c>
      <c r="E22" s="38"/>
      <c r="F22" s="49"/>
      <c r="G22" s="49"/>
      <c r="H22" s="59"/>
      <c r="I22" s="49"/>
      <c r="J22" s="351">
        <f>+J20-J21</f>
        <v>582054.84429430217</v>
      </c>
      <c r="K22" s="49"/>
      <c r="L22" s="51"/>
      <c r="M22" s="349"/>
      <c r="N22" s="282"/>
      <c r="O22" s="5"/>
      <c r="P22" s="5"/>
    </row>
    <row r="23" spans="1:16">
      <c r="A23" s="11" t="s">
        <v>333</v>
      </c>
      <c r="B23" s="44"/>
      <c r="C23" s="44" t="s">
        <v>337</v>
      </c>
      <c r="D23" s="51" t="s">
        <v>341</v>
      </c>
      <c r="E23" s="38"/>
      <c r="F23" s="49"/>
      <c r="G23" s="49"/>
      <c r="H23" s="59"/>
      <c r="I23" s="49"/>
      <c r="J23" s="351">
        <v>428605.09517709241</v>
      </c>
      <c r="K23" s="49"/>
      <c r="L23" s="51"/>
      <c r="M23" s="282"/>
      <c r="N23" s="282"/>
      <c r="O23" s="5"/>
      <c r="P23" s="5"/>
    </row>
    <row r="24" spans="1:16">
      <c r="A24" s="11" t="s">
        <v>334</v>
      </c>
      <c r="B24" s="44"/>
      <c r="C24" s="44" t="s">
        <v>338</v>
      </c>
      <c r="D24" s="51"/>
      <c r="E24" s="38"/>
      <c r="F24" s="49"/>
      <c r="G24" s="49"/>
      <c r="H24" s="59"/>
      <c r="I24" s="49"/>
      <c r="J24" s="351">
        <v>8287.411503665433</v>
      </c>
      <c r="K24" s="49"/>
      <c r="L24" s="51"/>
      <c r="M24" s="4"/>
      <c r="N24" s="5"/>
      <c r="O24" s="5"/>
      <c r="P24" s="5"/>
    </row>
    <row r="25" spans="1:16">
      <c r="A25" s="11"/>
      <c r="B25" s="44"/>
      <c r="C25" s="43"/>
      <c r="D25" s="51"/>
      <c r="J25" s="38"/>
      <c r="K25" s="49"/>
      <c r="L25" s="51"/>
      <c r="M25" s="4"/>
      <c r="N25" s="5"/>
      <c r="O25" s="5"/>
      <c r="P25" s="5"/>
    </row>
    <row r="26" spans="1:16" ht="16.5" thickBot="1">
      <c r="A26" s="11">
        <v>7</v>
      </c>
      <c r="B26" s="44"/>
      <c r="C26" s="43" t="s">
        <v>276</v>
      </c>
      <c r="D26" s="51" t="s">
        <v>356</v>
      </c>
      <c r="E26" s="63" t="s">
        <v>272</v>
      </c>
      <c r="F26" s="38"/>
      <c r="G26" s="38"/>
      <c r="H26" s="38"/>
      <c r="I26" s="38"/>
      <c r="J26" s="64">
        <f>+ROUND(J10-J18+J22+J23+J24,0)</f>
        <v>32177546</v>
      </c>
      <c r="K26" s="49"/>
      <c r="L26" s="51"/>
      <c r="M26" s="281"/>
      <c r="N26" s="5"/>
      <c r="O26" s="5"/>
      <c r="P26" s="5"/>
    </row>
    <row r="27" spans="1:16" ht="16.5" thickTop="1">
      <c r="A27" s="10"/>
      <c r="D27" s="49"/>
      <c r="E27" s="63"/>
      <c r="F27" s="38"/>
      <c r="G27" s="38"/>
      <c r="H27" s="38"/>
      <c r="I27" s="38"/>
      <c r="K27" s="49"/>
      <c r="L27" s="51"/>
      <c r="M27" s="4"/>
      <c r="N27" s="5"/>
      <c r="O27" s="5"/>
      <c r="P27" s="5"/>
    </row>
    <row r="28" spans="1:16">
      <c r="A28" s="10"/>
      <c r="D28" s="38"/>
      <c r="J28" s="38"/>
      <c r="K28" s="49"/>
      <c r="L28" s="51"/>
      <c r="M28" s="4"/>
      <c r="N28" s="5"/>
      <c r="O28" s="5"/>
      <c r="P28" s="5"/>
    </row>
    <row r="29" spans="1:16">
      <c r="A29" s="10"/>
      <c r="C29" s="37" t="s">
        <v>277</v>
      </c>
      <c r="D29" s="49"/>
      <c r="E29" s="56"/>
      <c r="F29" s="49"/>
      <c r="G29" s="49"/>
      <c r="H29" s="49"/>
      <c r="I29" s="49"/>
      <c r="J29" s="56"/>
      <c r="K29" s="49"/>
      <c r="L29" s="51"/>
      <c r="M29" s="4"/>
      <c r="N29" s="5"/>
      <c r="O29" s="5"/>
      <c r="P29" s="5"/>
    </row>
    <row r="30" spans="1:16">
      <c r="A30" s="10">
        <v>8</v>
      </c>
      <c r="C30" s="37" t="s">
        <v>138</v>
      </c>
      <c r="E30" s="56"/>
      <c r="F30" s="49"/>
      <c r="G30" s="49"/>
      <c r="H30" s="65" t="s">
        <v>139</v>
      </c>
      <c r="I30" s="49"/>
      <c r="J30" s="66">
        <f>'Workpapers (Page 10)'!D23</f>
        <v>1036121.4666310564</v>
      </c>
      <c r="K30" s="49"/>
      <c r="L30" s="51"/>
      <c r="M30" s="6"/>
      <c r="N30" s="5"/>
      <c r="O30" s="5"/>
      <c r="P30" s="5"/>
    </row>
    <row r="31" spans="1:16">
      <c r="A31" s="10">
        <v>9</v>
      </c>
      <c r="C31" s="37" t="s">
        <v>223</v>
      </c>
      <c r="D31" s="38"/>
      <c r="E31" s="38"/>
      <c r="F31" s="38"/>
      <c r="G31" s="38"/>
      <c r="H31" s="41" t="s">
        <v>140</v>
      </c>
      <c r="I31" s="38"/>
      <c r="J31" s="66">
        <v>0</v>
      </c>
      <c r="K31" s="49"/>
      <c r="L31" s="51"/>
    </row>
    <row r="32" spans="1:16">
      <c r="A32" s="10">
        <v>10</v>
      </c>
      <c r="C32" s="60" t="s">
        <v>174</v>
      </c>
      <c r="D32" s="49"/>
      <c r="E32" s="49"/>
      <c r="F32" s="49"/>
      <c r="H32" s="65" t="s">
        <v>141</v>
      </c>
      <c r="I32" s="49"/>
      <c r="J32" s="66">
        <v>0</v>
      </c>
      <c r="K32" s="49"/>
      <c r="L32" s="51"/>
    </row>
    <row r="33" spans="1:12">
      <c r="A33" s="10">
        <v>11</v>
      </c>
      <c r="C33" s="37" t="s">
        <v>142</v>
      </c>
      <c r="D33" s="49"/>
      <c r="E33" s="49"/>
      <c r="F33" s="49"/>
      <c r="H33" s="65" t="s">
        <v>143</v>
      </c>
      <c r="I33" s="49"/>
      <c r="J33" s="67">
        <v>0</v>
      </c>
      <c r="K33" s="49"/>
      <c r="L33" s="51"/>
    </row>
    <row r="34" spans="1:12">
      <c r="A34" s="10">
        <v>12</v>
      </c>
      <c r="C34" s="60" t="s">
        <v>22</v>
      </c>
      <c r="D34" s="49"/>
      <c r="E34" s="49"/>
      <c r="F34" s="49"/>
      <c r="G34" s="49"/>
      <c r="H34" s="48"/>
      <c r="I34" s="49"/>
      <c r="J34" s="67">
        <v>0</v>
      </c>
      <c r="K34" s="49"/>
      <c r="L34" s="51"/>
    </row>
    <row r="35" spans="1:12">
      <c r="A35" s="10">
        <v>13</v>
      </c>
      <c r="C35" s="60" t="s">
        <v>304</v>
      </c>
      <c r="D35" s="49"/>
      <c r="E35" s="49"/>
      <c r="F35" s="49"/>
      <c r="G35" s="49"/>
      <c r="H35" s="65"/>
      <c r="I35" s="49"/>
      <c r="J35" s="67">
        <v>0</v>
      </c>
      <c r="K35" s="49"/>
      <c r="L35" s="51"/>
    </row>
    <row r="36" spans="1:12" ht="16.5" thickBot="1">
      <c r="A36" s="10">
        <v>14</v>
      </c>
      <c r="C36" s="60" t="s">
        <v>239</v>
      </c>
      <c r="D36" s="49"/>
      <c r="E36" s="49"/>
      <c r="F36" s="49"/>
      <c r="G36" s="49"/>
      <c r="H36" s="48"/>
      <c r="I36" s="49"/>
      <c r="J36" s="68">
        <v>0</v>
      </c>
      <c r="K36" s="49"/>
      <c r="L36" s="51"/>
    </row>
    <row r="37" spans="1:12">
      <c r="A37" s="10">
        <v>15</v>
      </c>
      <c r="C37" s="36" t="s">
        <v>175</v>
      </c>
      <c r="D37" s="49"/>
      <c r="E37" s="49"/>
      <c r="F37" s="49"/>
      <c r="G37" s="49"/>
      <c r="H37" s="49"/>
      <c r="I37" s="49"/>
      <c r="J37" s="56">
        <f>SUM(J30:J36)</f>
        <v>1036121.4666310564</v>
      </c>
      <c r="K37" s="49"/>
      <c r="L37" s="51"/>
    </row>
    <row r="38" spans="1:12">
      <c r="A38" s="10"/>
      <c r="C38" s="37"/>
      <c r="D38" s="49"/>
      <c r="E38" s="49"/>
      <c r="F38" s="49"/>
      <c r="G38" s="49"/>
      <c r="H38" s="49"/>
      <c r="I38" s="49"/>
      <c r="J38" s="56"/>
      <c r="K38" s="49"/>
      <c r="L38" s="51"/>
    </row>
    <row r="39" spans="1:12">
      <c r="A39" s="10">
        <v>16</v>
      </c>
      <c r="C39" s="37" t="s">
        <v>146</v>
      </c>
      <c r="D39" s="49" t="s">
        <v>270</v>
      </c>
      <c r="E39" s="69">
        <f>IF(J37&gt;0,J26/J37,0)</f>
        <v>31.055766178289044</v>
      </c>
      <c r="F39" s="49"/>
      <c r="G39" s="49"/>
      <c r="H39" s="49"/>
      <c r="I39" s="49"/>
      <c r="K39" s="49"/>
      <c r="L39" s="51"/>
    </row>
    <row r="40" spans="1:12">
      <c r="A40" s="10">
        <v>17</v>
      </c>
      <c r="C40" s="37" t="s">
        <v>147</v>
      </c>
      <c r="D40" s="49" t="s">
        <v>70</v>
      </c>
      <c r="E40" s="69">
        <f>+E39/12</f>
        <v>2.5879805148574202</v>
      </c>
      <c r="F40" s="49"/>
      <c r="G40" s="49"/>
      <c r="H40" s="49"/>
      <c r="I40" s="49"/>
      <c r="K40" s="49"/>
      <c r="L40" s="51"/>
    </row>
    <row r="41" spans="1:12">
      <c r="A41" s="10"/>
      <c r="C41" s="37"/>
      <c r="D41" s="49"/>
      <c r="E41" s="69"/>
      <c r="F41" s="49"/>
      <c r="G41" s="49"/>
      <c r="H41" s="49"/>
      <c r="I41" s="49"/>
      <c r="K41" s="49"/>
      <c r="L41" s="51"/>
    </row>
    <row r="42" spans="1:12">
      <c r="A42" s="10"/>
      <c r="C42" s="37"/>
      <c r="D42" s="49"/>
      <c r="E42" s="70" t="s">
        <v>148</v>
      </c>
      <c r="F42" s="49"/>
      <c r="G42" s="49"/>
      <c r="H42" s="49"/>
      <c r="I42" s="49"/>
      <c r="J42" s="71" t="s">
        <v>149</v>
      </c>
      <c r="K42" s="49"/>
      <c r="L42" s="51"/>
    </row>
    <row r="43" spans="1:12">
      <c r="A43" s="10"/>
      <c r="C43" s="37"/>
      <c r="D43" s="49"/>
      <c r="E43" s="69"/>
      <c r="F43" s="49"/>
      <c r="G43" s="49"/>
      <c r="H43" s="49"/>
      <c r="I43" s="49"/>
      <c r="K43" s="49"/>
      <c r="L43" s="51"/>
    </row>
    <row r="44" spans="1:12">
      <c r="A44" s="10">
        <v>18</v>
      </c>
      <c r="C44" s="37" t="s">
        <v>150</v>
      </c>
      <c r="D44" s="164" t="s">
        <v>362</v>
      </c>
      <c r="E44" s="69">
        <f>+E39/52</f>
        <v>0.59722627265940464</v>
      </c>
      <c r="F44" s="49"/>
      <c r="G44" s="49"/>
      <c r="H44" s="49"/>
      <c r="I44" s="49"/>
      <c r="J44" s="72">
        <f>+E39/52</f>
        <v>0.59722627265940464</v>
      </c>
      <c r="K44" s="49"/>
      <c r="L44" s="51"/>
    </row>
    <row r="45" spans="1:12">
      <c r="A45" s="10">
        <v>19</v>
      </c>
      <c r="C45" s="37" t="s">
        <v>151</v>
      </c>
      <c r="D45" s="164" t="s">
        <v>369</v>
      </c>
      <c r="E45" s="69">
        <f>+E44/5</f>
        <v>0.11944525453188093</v>
      </c>
      <c r="F45" s="49" t="s">
        <v>152</v>
      </c>
      <c r="H45" s="49"/>
      <c r="I45" s="49"/>
      <c r="J45" s="72">
        <f>+J44/7</f>
        <v>8.5318038951343517E-2</v>
      </c>
      <c r="K45" s="49"/>
      <c r="L45" s="51"/>
    </row>
    <row r="46" spans="1:12">
      <c r="A46" s="10">
        <v>20</v>
      </c>
      <c r="C46" s="37" t="s">
        <v>153</v>
      </c>
      <c r="D46" s="164" t="s">
        <v>370</v>
      </c>
      <c r="E46" s="69">
        <f>+E45/16*1000</f>
        <v>7.4653284082425584</v>
      </c>
      <c r="F46" s="49" t="s">
        <v>154</v>
      </c>
      <c r="H46" s="49"/>
      <c r="I46" s="49"/>
      <c r="J46" s="72">
        <f>+J45/24*1000</f>
        <v>3.5549182896393132</v>
      </c>
      <c r="K46" s="49"/>
      <c r="L46" s="51" t="s">
        <v>272</v>
      </c>
    </row>
    <row r="47" spans="1:12">
      <c r="A47" s="10"/>
      <c r="C47" s="37"/>
      <c r="D47" s="49" t="s">
        <v>155</v>
      </c>
      <c r="E47" s="49"/>
      <c r="F47" s="49" t="s">
        <v>156</v>
      </c>
      <c r="H47" s="49"/>
      <c r="I47" s="49"/>
      <c r="K47" s="49"/>
      <c r="L47" s="51" t="s">
        <v>272</v>
      </c>
    </row>
    <row r="48" spans="1:12">
      <c r="A48" s="10"/>
      <c r="C48" s="37"/>
      <c r="D48" s="49"/>
      <c r="E48" s="49"/>
      <c r="F48" s="49"/>
      <c r="H48" s="49"/>
      <c r="I48" s="49"/>
      <c r="K48" s="49"/>
      <c r="L48" s="51" t="s">
        <v>272</v>
      </c>
    </row>
    <row r="49" spans="1:12">
      <c r="A49" s="10">
        <v>21</v>
      </c>
      <c r="C49" s="37" t="s">
        <v>176</v>
      </c>
      <c r="D49" s="49" t="s">
        <v>177</v>
      </c>
      <c r="E49" s="73">
        <v>0</v>
      </c>
      <c r="F49" s="74" t="s">
        <v>178</v>
      </c>
      <c r="G49" s="74"/>
      <c r="H49" s="74"/>
      <c r="I49" s="74"/>
      <c r="J49" s="74">
        <f>E49</f>
        <v>0</v>
      </c>
      <c r="K49" s="74" t="s">
        <v>178</v>
      </c>
      <c r="L49" s="51"/>
    </row>
    <row r="50" spans="1:12">
      <c r="A50" s="10">
        <v>22</v>
      </c>
      <c r="C50" s="37"/>
      <c r="D50" s="49"/>
      <c r="E50" s="73">
        <v>0</v>
      </c>
      <c r="F50" s="74" t="s">
        <v>179</v>
      </c>
      <c r="G50" s="74"/>
      <c r="H50" s="74"/>
      <c r="I50" s="74"/>
      <c r="J50" s="74">
        <f>E50</f>
        <v>0</v>
      </c>
      <c r="K50" s="74" t="s">
        <v>179</v>
      </c>
      <c r="L50" s="51"/>
    </row>
    <row r="51" spans="1:12" s="44" customFormat="1">
      <c r="A51" s="11"/>
      <c r="C51" s="43"/>
      <c r="D51" s="51"/>
      <c r="E51" s="75"/>
      <c r="F51" s="75"/>
      <c r="G51" s="75"/>
      <c r="H51" s="75"/>
      <c r="I51" s="75"/>
      <c r="J51" s="75"/>
      <c r="K51" s="75"/>
      <c r="L51" s="51"/>
    </row>
    <row r="52" spans="1:12" s="44" customFormat="1">
      <c r="A52" s="11"/>
      <c r="C52" s="43"/>
      <c r="D52" s="51"/>
      <c r="E52" s="75"/>
      <c r="F52" s="75"/>
      <c r="G52" s="75"/>
      <c r="H52" s="75"/>
      <c r="I52" s="75"/>
      <c r="J52" s="75"/>
      <c r="K52" s="75"/>
      <c r="L52" s="51"/>
    </row>
    <row r="53" spans="1:12" s="44" customFormat="1">
      <c r="A53" s="11"/>
      <c r="C53" s="43"/>
      <c r="D53" s="51"/>
      <c r="E53" s="75"/>
      <c r="F53" s="75"/>
      <c r="G53" s="75"/>
      <c r="H53" s="75"/>
      <c r="I53" s="75"/>
      <c r="J53" s="75"/>
      <c r="K53" s="75"/>
      <c r="L53" s="51"/>
    </row>
    <row r="54" spans="1:12" s="44" customFormat="1">
      <c r="A54" s="11"/>
      <c r="C54" s="43"/>
      <c r="D54" s="51"/>
      <c r="E54" s="75"/>
      <c r="F54" s="75"/>
      <c r="G54" s="75"/>
      <c r="H54" s="75"/>
      <c r="I54" s="75"/>
      <c r="J54" s="75"/>
      <c r="K54" s="75"/>
      <c r="L54" s="51"/>
    </row>
    <row r="55" spans="1:12" s="44" customFormat="1">
      <c r="A55" s="11"/>
      <c r="C55" s="43"/>
      <c r="D55" s="51"/>
      <c r="E55" s="75"/>
      <c r="F55" s="75"/>
      <c r="G55" s="75"/>
      <c r="H55" s="75"/>
      <c r="I55" s="75"/>
      <c r="J55" s="75"/>
      <c r="K55" s="75"/>
      <c r="L55" s="51"/>
    </row>
    <row r="56" spans="1:12" s="44" customFormat="1">
      <c r="A56" s="11"/>
      <c r="C56" s="43"/>
      <c r="D56" s="51"/>
      <c r="E56" s="75"/>
      <c r="F56" s="75"/>
      <c r="G56" s="75"/>
      <c r="H56" s="75"/>
      <c r="I56" s="75"/>
      <c r="J56" s="75"/>
      <c r="K56" s="75"/>
      <c r="L56" s="51"/>
    </row>
    <row r="57" spans="1:12" s="44" customFormat="1">
      <c r="A57" s="11"/>
      <c r="C57" s="43"/>
      <c r="D57" s="51"/>
      <c r="E57" s="75"/>
      <c r="F57" s="75"/>
      <c r="G57" s="75"/>
      <c r="H57" s="75"/>
      <c r="I57" s="75"/>
      <c r="J57" s="75"/>
      <c r="K57" s="75"/>
      <c r="L57" s="51"/>
    </row>
    <row r="58" spans="1:12" s="44" customFormat="1">
      <c r="A58" s="11"/>
      <c r="C58" s="43"/>
      <c r="D58" s="51"/>
      <c r="E58" s="75"/>
      <c r="F58" s="75"/>
      <c r="G58" s="75"/>
      <c r="H58" s="75"/>
      <c r="I58" s="75"/>
      <c r="J58" s="75"/>
      <c r="K58" s="75"/>
      <c r="L58" s="51"/>
    </row>
    <row r="59" spans="1:12" s="44" customFormat="1">
      <c r="A59" s="11"/>
      <c r="C59" s="43"/>
      <c r="D59" s="51"/>
      <c r="E59" s="75"/>
      <c r="F59" s="75"/>
      <c r="G59" s="75"/>
      <c r="H59" s="75"/>
      <c r="I59" s="75"/>
      <c r="J59" s="75"/>
      <c r="K59" s="75"/>
      <c r="L59" s="51"/>
    </row>
    <row r="60" spans="1:12" s="44" customFormat="1">
      <c r="A60" s="11"/>
      <c r="C60" s="43"/>
      <c r="D60" s="51"/>
      <c r="E60" s="75"/>
      <c r="F60" s="75"/>
      <c r="G60" s="75"/>
      <c r="H60" s="75"/>
      <c r="I60" s="75"/>
      <c r="J60" s="75"/>
      <c r="K60" s="75"/>
      <c r="L60" s="51"/>
    </row>
    <row r="61" spans="1:12" s="44" customFormat="1">
      <c r="A61" s="11"/>
      <c r="C61" s="43"/>
      <c r="D61" s="51"/>
      <c r="E61" s="75"/>
      <c r="F61" s="75"/>
      <c r="G61" s="75"/>
      <c r="H61" s="75"/>
      <c r="I61" s="75"/>
      <c r="J61" s="75"/>
      <c r="K61" s="75"/>
      <c r="L61" s="51"/>
    </row>
    <row r="62" spans="1:12" s="44" customFormat="1">
      <c r="A62" s="11"/>
      <c r="C62" s="43"/>
      <c r="D62" s="51"/>
      <c r="E62" s="75"/>
      <c r="F62" s="75"/>
      <c r="G62" s="75"/>
      <c r="H62" s="75"/>
      <c r="I62" s="75"/>
      <c r="J62" s="75"/>
      <c r="K62" s="75"/>
      <c r="L62" s="51"/>
    </row>
    <row r="63" spans="1:12" s="44" customFormat="1">
      <c r="A63" s="11"/>
      <c r="C63" s="43"/>
      <c r="D63" s="51"/>
      <c r="E63" s="75"/>
      <c r="F63" s="75"/>
      <c r="G63" s="75"/>
      <c r="H63" s="75"/>
      <c r="I63" s="75"/>
      <c r="J63" s="75"/>
      <c r="K63" s="75"/>
      <c r="L63" s="51"/>
    </row>
    <row r="64" spans="1:12" s="44" customFormat="1">
      <c r="A64" s="11"/>
      <c r="C64" s="43"/>
      <c r="D64" s="51"/>
      <c r="E64" s="75"/>
      <c r="F64" s="75"/>
      <c r="G64" s="75"/>
      <c r="H64" s="75"/>
      <c r="I64" s="75"/>
      <c r="J64" s="75"/>
      <c r="K64" s="75"/>
      <c r="L64" s="51"/>
    </row>
    <row r="65" spans="1:12" s="44" customFormat="1">
      <c r="A65" s="11"/>
      <c r="C65" s="43"/>
      <c r="D65" s="51"/>
      <c r="E65" s="75"/>
      <c r="F65" s="75"/>
      <c r="G65" s="75"/>
      <c r="H65" s="75"/>
      <c r="I65" s="75"/>
      <c r="J65" s="75"/>
      <c r="K65" s="75"/>
      <c r="L65" s="51"/>
    </row>
    <row r="66" spans="1:12" s="44" customFormat="1">
      <c r="A66" s="11"/>
      <c r="C66" s="43"/>
      <c r="D66" s="51"/>
      <c r="E66" s="75"/>
      <c r="F66" s="75"/>
      <c r="G66" s="75"/>
      <c r="H66" s="75"/>
      <c r="I66" s="75"/>
      <c r="J66" s="75"/>
      <c r="K66" s="75"/>
      <c r="L66" s="51"/>
    </row>
    <row r="67" spans="1:12" s="44" customFormat="1">
      <c r="A67" s="11"/>
      <c r="C67" s="43"/>
      <c r="D67" s="51"/>
      <c r="E67" s="75"/>
      <c r="F67" s="75"/>
      <c r="G67" s="75"/>
      <c r="H67" s="75"/>
      <c r="I67" s="75"/>
      <c r="J67" s="75"/>
      <c r="K67" s="75"/>
      <c r="L67" s="51"/>
    </row>
    <row r="68" spans="1:12" s="44" customFormat="1">
      <c r="A68" s="11"/>
      <c r="C68" s="43"/>
      <c r="D68" s="51"/>
      <c r="E68" s="75"/>
      <c r="F68" s="75"/>
      <c r="G68" s="75"/>
      <c r="H68" s="75"/>
      <c r="I68" s="75"/>
      <c r="J68" s="75"/>
      <c r="K68" s="75"/>
      <c r="L68" s="51"/>
    </row>
    <row r="69" spans="1:12" s="44" customFormat="1">
      <c r="A69" s="11"/>
      <c r="C69" s="43"/>
      <c r="D69" s="51"/>
      <c r="E69" s="75"/>
      <c r="F69" s="75"/>
      <c r="G69" s="75"/>
      <c r="H69" s="75"/>
      <c r="I69" s="75"/>
      <c r="J69" s="75"/>
      <c r="K69" s="75"/>
      <c r="L69" s="51"/>
    </row>
    <row r="70" spans="1:12" s="44" customFormat="1">
      <c r="A70" s="11"/>
      <c r="C70" s="43"/>
      <c r="D70" s="51"/>
      <c r="E70" s="75"/>
      <c r="F70" s="75"/>
      <c r="G70" s="75"/>
      <c r="H70" s="75"/>
      <c r="I70" s="75"/>
      <c r="J70" s="75"/>
      <c r="K70" s="75"/>
      <c r="L70" s="51"/>
    </row>
    <row r="71" spans="1:12" s="44" customFormat="1">
      <c r="A71" s="11"/>
      <c r="C71" s="43"/>
      <c r="D71" s="51"/>
      <c r="E71" s="75"/>
      <c r="F71" s="75"/>
      <c r="G71" s="75"/>
      <c r="H71" s="75"/>
      <c r="I71" s="75"/>
      <c r="J71" s="75"/>
      <c r="K71" s="75"/>
      <c r="L71" s="51"/>
    </row>
    <row r="72" spans="1:12" s="44" customFormat="1">
      <c r="A72" s="11"/>
      <c r="C72" s="43"/>
      <c r="D72" s="51"/>
      <c r="E72" s="75"/>
      <c r="F72" s="75"/>
      <c r="G72" s="75"/>
      <c r="H72" s="75"/>
      <c r="I72" s="75"/>
      <c r="J72" s="75"/>
      <c r="K72" s="75"/>
      <c r="L72" s="51"/>
    </row>
    <row r="73" spans="1:12" s="44" customFormat="1">
      <c r="A73" s="11"/>
      <c r="C73" s="43"/>
      <c r="D73" s="51"/>
      <c r="E73" s="75"/>
      <c r="F73" s="75"/>
      <c r="G73" s="75"/>
      <c r="H73" s="75"/>
      <c r="I73" s="75"/>
      <c r="J73" s="75"/>
      <c r="K73" s="75"/>
      <c r="L73" s="51"/>
    </row>
    <row r="74" spans="1:12" s="44" customFormat="1">
      <c r="A74" s="11"/>
      <c r="C74" s="43"/>
      <c r="D74" s="51"/>
      <c r="E74" s="75"/>
      <c r="F74" s="75"/>
      <c r="G74" s="75"/>
      <c r="H74" s="75"/>
      <c r="I74" s="75"/>
      <c r="J74" s="75"/>
      <c r="K74" s="75"/>
      <c r="L74" s="51"/>
    </row>
    <row r="75" spans="1:12" s="44" customFormat="1">
      <c r="A75" s="11"/>
      <c r="C75" s="43"/>
      <c r="D75" s="51"/>
      <c r="E75" s="75"/>
      <c r="F75" s="75"/>
      <c r="G75" s="75"/>
      <c r="H75" s="75"/>
      <c r="I75" s="75"/>
      <c r="J75" s="75"/>
      <c r="K75" s="75"/>
      <c r="L75" s="51"/>
    </row>
    <row r="76" spans="1:12" s="44" customFormat="1">
      <c r="A76" s="11"/>
      <c r="C76" s="43"/>
      <c r="D76" s="51"/>
      <c r="E76" s="75"/>
      <c r="F76" s="75"/>
      <c r="G76" s="75"/>
      <c r="H76" s="75"/>
      <c r="I76" s="75"/>
      <c r="J76" s="75"/>
      <c r="K76" s="75"/>
      <c r="L76" s="51"/>
    </row>
    <row r="77" spans="1:12" s="44" customFormat="1">
      <c r="A77" s="11"/>
      <c r="C77" s="43"/>
      <c r="D77" s="51"/>
      <c r="E77" s="75"/>
      <c r="F77" s="75"/>
      <c r="G77" s="75"/>
      <c r="H77" s="75"/>
      <c r="I77" s="75"/>
      <c r="J77" s="75"/>
      <c r="K77" s="75"/>
      <c r="L77" s="51"/>
    </row>
    <row r="78" spans="1:12" s="44" customFormat="1">
      <c r="A78" s="11"/>
      <c r="C78" s="43"/>
      <c r="D78" s="51"/>
      <c r="E78" s="75"/>
      <c r="F78" s="75"/>
      <c r="G78" s="75"/>
      <c r="H78" s="75"/>
      <c r="I78" s="75"/>
      <c r="J78" s="75"/>
      <c r="K78" s="75"/>
      <c r="L78" s="51"/>
    </row>
    <row r="79" spans="1:12">
      <c r="C79" s="36"/>
      <c r="D79" s="36"/>
      <c r="E79" s="47"/>
      <c r="F79" s="36"/>
      <c r="G79" s="36"/>
      <c r="H79" s="36"/>
      <c r="I79" s="48"/>
      <c r="J79" s="48"/>
      <c r="K79" s="49"/>
      <c r="L79" s="50" t="s">
        <v>210</v>
      </c>
    </row>
    <row r="80" spans="1:12">
      <c r="C80" s="36"/>
      <c r="D80" s="36"/>
      <c r="E80" s="47"/>
      <c r="F80" s="36"/>
      <c r="G80" s="36"/>
      <c r="H80" s="36"/>
      <c r="I80" s="48"/>
      <c r="J80" s="48"/>
      <c r="K80" s="49"/>
      <c r="L80" s="50"/>
    </row>
    <row r="81" spans="1:15">
      <c r="C81" s="36" t="s">
        <v>205</v>
      </c>
      <c r="D81" s="36"/>
      <c r="E81" s="47" t="s">
        <v>271</v>
      </c>
      <c r="F81" s="36"/>
      <c r="G81" s="36"/>
      <c r="H81" s="36"/>
      <c r="I81" s="48"/>
      <c r="J81" s="52" t="str">
        <f>J3</f>
        <v>For the 12 months ended 12/31/17</v>
      </c>
      <c r="K81" s="53"/>
      <c r="L81" s="53"/>
    </row>
    <row r="82" spans="1:15">
      <c r="C82" s="36"/>
      <c r="D82" s="38" t="s">
        <v>272</v>
      </c>
      <c r="E82" s="38" t="s">
        <v>227</v>
      </c>
      <c r="F82" s="38"/>
      <c r="G82" s="38"/>
      <c r="H82" s="38"/>
      <c r="I82" s="48"/>
      <c r="J82" s="48"/>
      <c r="K82" s="49"/>
      <c r="L82" s="51"/>
    </row>
    <row r="83" spans="1:15">
      <c r="C83" s="36"/>
      <c r="D83" s="38"/>
      <c r="E83" s="38"/>
      <c r="F83" s="38"/>
      <c r="G83" s="38"/>
      <c r="H83" s="38"/>
      <c r="I83" s="48"/>
      <c r="J83" s="48"/>
      <c r="K83" s="49"/>
      <c r="L83" s="51"/>
    </row>
    <row r="84" spans="1:15">
      <c r="C84" s="37"/>
      <c r="D84" s="49"/>
      <c r="E84" s="159" t="str">
        <f>E6</f>
        <v>VECTREN</v>
      </c>
      <c r="F84" s="38"/>
      <c r="G84" s="38"/>
      <c r="H84" s="38"/>
      <c r="I84" s="38"/>
      <c r="J84" s="38"/>
      <c r="K84" s="38"/>
      <c r="L84" s="41"/>
    </row>
    <row r="85" spans="1:15">
      <c r="C85" s="76" t="s">
        <v>157</v>
      </c>
      <c r="D85" s="76" t="s">
        <v>158</v>
      </c>
      <c r="E85" s="76" t="s">
        <v>5</v>
      </c>
      <c r="F85" s="38" t="s">
        <v>272</v>
      </c>
      <c r="G85" s="38"/>
      <c r="H85" s="77" t="s">
        <v>6</v>
      </c>
      <c r="I85" s="38"/>
      <c r="J85" s="78" t="s">
        <v>7</v>
      </c>
      <c r="K85" s="38"/>
      <c r="L85" s="79"/>
    </row>
    <row r="86" spans="1:15">
      <c r="C86" s="37"/>
      <c r="D86" s="80" t="s">
        <v>211</v>
      </c>
      <c r="E86" s="38"/>
      <c r="F86" s="38"/>
      <c r="G86" s="38"/>
      <c r="H86" s="10"/>
      <c r="I86" s="38"/>
      <c r="J86" s="81" t="s">
        <v>8</v>
      </c>
      <c r="K86" s="38"/>
      <c r="L86" s="79"/>
    </row>
    <row r="87" spans="1:15">
      <c r="A87" s="10" t="s">
        <v>273</v>
      </c>
      <c r="C87" s="37"/>
      <c r="D87" s="82" t="s">
        <v>9</v>
      </c>
      <c r="E87" s="81" t="s">
        <v>10</v>
      </c>
      <c r="F87" s="83"/>
      <c r="G87" s="81" t="s">
        <v>11</v>
      </c>
      <c r="I87" s="83"/>
      <c r="J87" s="10" t="s">
        <v>12</v>
      </c>
      <c r="K87" s="38"/>
      <c r="L87" s="79"/>
    </row>
    <row r="88" spans="1:15" ht="16.5" thickBot="1">
      <c r="A88" s="55" t="s">
        <v>274</v>
      </c>
      <c r="C88" s="84" t="s">
        <v>207</v>
      </c>
      <c r="D88" s="38"/>
      <c r="E88" s="38"/>
      <c r="F88" s="38"/>
      <c r="G88" s="38"/>
      <c r="H88" s="38"/>
      <c r="I88" s="38"/>
      <c r="J88" s="38"/>
      <c r="K88" s="38"/>
      <c r="L88" s="41"/>
    </row>
    <row r="89" spans="1:15">
      <c r="A89" s="10"/>
      <c r="C89" s="37"/>
      <c r="D89" s="38"/>
      <c r="E89" s="38"/>
      <c r="F89" s="38"/>
      <c r="G89" s="38"/>
      <c r="H89" s="38"/>
      <c r="I89" s="38"/>
      <c r="J89" s="38"/>
      <c r="K89" s="38"/>
      <c r="L89" s="41"/>
    </row>
    <row r="90" spans="1:15">
      <c r="A90" s="10"/>
      <c r="C90" s="43" t="s">
        <v>549</v>
      </c>
      <c r="D90" s="38"/>
      <c r="E90" s="38"/>
      <c r="F90" s="38"/>
      <c r="G90" s="38"/>
      <c r="H90" s="38"/>
      <c r="I90" s="38"/>
      <c r="J90" s="38"/>
      <c r="K90" s="38"/>
      <c r="L90" s="41"/>
    </row>
    <row r="91" spans="1:15">
      <c r="A91" s="10">
        <v>1</v>
      </c>
      <c r="C91" s="43" t="s">
        <v>260</v>
      </c>
      <c r="D91" s="41" t="s">
        <v>244</v>
      </c>
      <c r="E91" s="61">
        <f>'Workpapers (Pages 1 to 4)'!C21</f>
        <v>1591385457.3151546</v>
      </c>
      <c r="F91" s="38"/>
      <c r="G91" s="38" t="s">
        <v>261</v>
      </c>
      <c r="H91" s="85" t="s">
        <v>272</v>
      </c>
      <c r="I91" s="38"/>
      <c r="J91" s="38" t="s">
        <v>272</v>
      </c>
      <c r="K91" s="38"/>
      <c r="L91" s="41"/>
    </row>
    <row r="92" spans="1:15">
      <c r="A92" s="10">
        <v>2</v>
      </c>
      <c r="C92" s="43" t="s">
        <v>13</v>
      </c>
      <c r="D92" s="41" t="s">
        <v>199</v>
      </c>
      <c r="E92" s="61">
        <f>'Workpapers (Pages 1 to 4)'!D21</f>
        <v>477626042.65037018</v>
      </c>
      <c r="F92" s="38"/>
      <c r="G92" s="38" t="s">
        <v>14</v>
      </c>
      <c r="H92" s="85">
        <f>J251</f>
        <v>1</v>
      </c>
      <c r="I92" s="38"/>
      <c r="J92" s="38">
        <f>+H92*E92</f>
        <v>477626042.65037018</v>
      </c>
      <c r="K92" s="38"/>
      <c r="L92" s="41"/>
      <c r="M92" s="44"/>
      <c r="N92" s="44"/>
      <c r="O92" s="44"/>
    </row>
    <row r="93" spans="1:15">
      <c r="A93" s="10">
        <v>3</v>
      </c>
      <c r="C93" s="43" t="s">
        <v>262</v>
      </c>
      <c r="D93" s="41" t="s">
        <v>200</v>
      </c>
      <c r="E93" s="61">
        <f>'Workpapers (Pages 1 to 4)'!E21</f>
        <v>658446371.20544744</v>
      </c>
      <c r="F93" s="38"/>
      <c r="G93" s="38" t="s">
        <v>261</v>
      </c>
      <c r="H93" s="85" t="s">
        <v>272</v>
      </c>
      <c r="I93" s="38"/>
      <c r="J93" s="38" t="s">
        <v>272</v>
      </c>
      <c r="K93" s="38"/>
      <c r="L93" s="41"/>
    </row>
    <row r="94" spans="1:15">
      <c r="A94" s="10">
        <v>4</v>
      </c>
      <c r="C94" s="43" t="s">
        <v>263</v>
      </c>
      <c r="D94" s="41" t="s">
        <v>38</v>
      </c>
      <c r="E94" s="61">
        <f>'Workpapers (Pages 1 to 4)'!F21</f>
        <v>43566633.428498439</v>
      </c>
      <c r="F94" s="38"/>
      <c r="G94" s="38" t="s">
        <v>184</v>
      </c>
      <c r="H94" s="85">
        <f>J269</f>
        <v>9.8884045153948899E-2</v>
      </c>
      <c r="I94" s="38"/>
      <c r="J94" s="38">
        <f>+H94*E94</f>
        <v>4308044.9471491789</v>
      </c>
      <c r="K94" s="38"/>
      <c r="L94" s="41"/>
    </row>
    <row r="95" spans="1:15" ht="16.5" thickBot="1">
      <c r="A95" s="10">
        <v>5</v>
      </c>
      <c r="C95" s="43" t="s">
        <v>187</v>
      </c>
      <c r="D95" s="41" t="s">
        <v>212</v>
      </c>
      <c r="E95" s="86">
        <f>'Workpapers (Pages 1 to 4)'!G21</f>
        <v>57707756.664239921</v>
      </c>
      <c r="F95" s="38"/>
      <c r="G95" s="38" t="s">
        <v>188</v>
      </c>
      <c r="H95" s="85">
        <f>L274</f>
        <v>8.8184667537870742E-2</v>
      </c>
      <c r="I95" s="38"/>
      <c r="J95" s="62">
        <f>+H95*E95</f>
        <v>5088939.3357923422</v>
      </c>
      <c r="K95" s="38"/>
      <c r="L95" s="41"/>
    </row>
    <row r="96" spans="1:15">
      <c r="A96" s="10">
        <v>6</v>
      </c>
      <c r="C96" s="106" t="s">
        <v>264</v>
      </c>
      <c r="D96" s="41"/>
      <c r="E96" s="38">
        <f>SUM(E91:E95)</f>
        <v>2828732261.26371</v>
      </c>
      <c r="F96" s="38"/>
      <c r="G96" s="38" t="s">
        <v>265</v>
      </c>
      <c r="H96" s="40">
        <f>IF(J96&gt;0,J96/E96,0)</f>
        <v>0.17217006840928051</v>
      </c>
      <c r="I96" s="38"/>
      <c r="J96" s="38">
        <f>SUM(J91:J95)</f>
        <v>487023026.9333117</v>
      </c>
      <c r="K96" s="38"/>
      <c r="L96" s="87"/>
    </row>
    <row r="97" spans="1:12">
      <c r="C97" s="43"/>
      <c r="D97" s="38"/>
      <c r="E97" s="38"/>
      <c r="F97" s="38"/>
      <c r="G97" s="38"/>
      <c r="H97" s="40"/>
      <c r="I97" s="38"/>
      <c r="J97" s="38"/>
      <c r="K97" s="38"/>
      <c r="L97" s="87"/>
    </row>
    <row r="98" spans="1:12">
      <c r="C98" s="43" t="s">
        <v>547</v>
      </c>
      <c r="D98" s="38"/>
      <c r="E98" s="38"/>
      <c r="F98" s="38"/>
      <c r="G98" s="38"/>
      <c r="H98" s="38"/>
      <c r="I98" s="38"/>
      <c r="J98" s="38"/>
      <c r="K98" s="38"/>
      <c r="L98" s="41"/>
    </row>
    <row r="99" spans="1:12">
      <c r="A99" s="10">
        <v>7</v>
      </c>
      <c r="C99" s="37" t="str">
        <f>+C91</f>
        <v xml:space="preserve">  Production</v>
      </c>
      <c r="D99" s="38" t="s">
        <v>236</v>
      </c>
      <c r="E99" s="61">
        <f>'Workpapers (Pages 1 to 4)'!C41</f>
        <v>935630551.19412208</v>
      </c>
      <c r="F99" s="38"/>
      <c r="G99" s="38" t="str">
        <f>+G91</f>
        <v>NA</v>
      </c>
      <c r="H99" s="85" t="str">
        <f>+H91</f>
        <v xml:space="preserve"> </v>
      </c>
      <c r="I99" s="38"/>
      <c r="J99" s="38" t="s">
        <v>272</v>
      </c>
      <c r="K99" s="38"/>
      <c r="L99" s="41"/>
    </row>
    <row r="100" spans="1:12">
      <c r="A100" s="10">
        <v>8</v>
      </c>
      <c r="C100" s="37" t="str">
        <f>+C92</f>
        <v xml:space="preserve">  Transmission</v>
      </c>
      <c r="D100" s="38" t="s">
        <v>286</v>
      </c>
      <c r="E100" s="61">
        <f>'Workpapers (Pages 1 to 4)'!D41</f>
        <v>132964104.72382806</v>
      </c>
      <c r="F100" s="38"/>
      <c r="G100" s="38" t="str">
        <f t="shared" ref="G100:H103" si="1">+G92</f>
        <v>TP</v>
      </c>
      <c r="H100" s="85">
        <f t="shared" si="1"/>
        <v>1</v>
      </c>
      <c r="I100" s="38"/>
      <c r="J100" s="38">
        <f>+H100*E100</f>
        <v>132964104.72382806</v>
      </c>
      <c r="K100" s="38"/>
      <c r="L100" s="41"/>
    </row>
    <row r="101" spans="1:12">
      <c r="A101" s="10">
        <v>9</v>
      </c>
      <c r="C101" s="37" t="str">
        <f>+C93</f>
        <v xml:space="preserve">  Distribution</v>
      </c>
      <c r="D101" s="38" t="s">
        <v>287</v>
      </c>
      <c r="E101" s="61">
        <f>'Workpapers (Pages 1 to 4)'!E41</f>
        <v>290823010.83344859</v>
      </c>
      <c r="F101" s="38"/>
      <c r="G101" s="38" t="str">
        <f t="shared" si="1"/>
        <v>NA</v>
      </c>
      <c r="H101" s="85" t="str">
        <f t="shared" si="1"/>
        <v xml:space="preserve"> </v>
      </c>
      <c r="I101" s="38"/>
      <c r="J101" s="38" t="s">
        <v>272</v>
      </c>
      <c r="K101" s="38"/>
      <c r="L101" s="41"/>
    </row>
    <row r="102" spans="1:12">
      <c r="A102" s="10">
        <v>10</v>
      </c>
      <c r="C102" s="37" t="str">
        <f>+C94</f>
        <v xml:space="preserve">  General &amp; Intangible</v>
      </c>
      <c r="D102" s="38" t="s">
        <v>548</v>
      </c>
      <c r="E102" s="61">
        <f>'Workpapers (Pages 1 to 4)'!F41</f>
        <v>17583539.909319721</v>
      </c>
      <c r="F102" s="38"/>
      <c r="G102" s="38" t="str">
        <f t="shared" si="1"/>
        <v>W/S</v>
      </c>
      <c r="H102" s="85">
        <f t="shared" si="1"/>
        <v>9.8884045153948899E-2</v>
      </c>
      <c r="I102" s="38"/>
      <c r="J102" s="38">
        <f>+H102*E102</f>
        <v>1738731.5543594339</v>
      </c>
      <c r="K102" s="38"/>
      <c r="L102" s="41"/>
    </row>
    <row r="103" spans="1:12" ht="16.5" thickBot="1">
      <c r="A103" s="10">
        <v>11</v>
      </c>
      <c r="C103" s="37" t="str">
        <f>+C95</f>
        <v xml:space="preserve">  Common</v>
      </c>
      <c r="D103" s="38" t="s">
        <v>212</v>
      </c>
      <c r="E103" s="86">
        <f>'Workpapers (Pages 1 to 4)'!G41</f>
        <v>32150406.842232056</v>
      </c>
      <c r="F103" s="38"/>
      <c r="G103" s="38" t="str">
        <f t="shared" si="1"/>
        <v>CE</v>
      </c>
      <c r="H103" s="85">
        <f t="shared" si="1"/>
        <v>8.8184667537870742E-2</v>
      </c>
      <c r="I103" s="38"/>
      <c r="J103" s="62">
        <f>+H103*E103</f>
        <v>2835172.9385895184</v>
      </c>
      <c r="K103" s="38"/>
      <c r="L103" s="41"/>
    </row>
    <row r="104" spans="1:12">
      <c r="A104" s="10">
        <v>12</v>
      </c>
      <c r="C104" s="37" t="s">
        <v>71</v>
      </c>
      <c r="D104" s="38"/>
      <c r="E104" s="38">
        <f>SUM(E99:E103)</f>
        <v>1409151613.5029504</v>
      </c>
      <c r="F104" s="38"/>
      <c r="G104" s="38"/>
      <c r="H104" s="38"/>
      <c r="I104" s="38"/>
      <c r="J104" s="38">
        <f>SUM(J99:J103)</f>
        <v>137538009.216777</v>
      </c>
      <c r="K104" s="38"/>
      <c r="L104" s="41"/>
    </row>
    <row r="105" spans="1:12">
      <c r="A105" s="10"/>
      <c r="D105" s="38" t="s">
        <v>272</v>
      </c>
      <c r="F105" s="38"/>
      <c r="G105" s="38"/>
      <c r="H105" s="40"/>
      <c r="I105" s="38"/>
      <c r="K105" s="38"/>
      <c r="L105" s="87"/>
    </row>
    <row r="106" spans="1:12">
      <c r="A106" s="10"/>
      <c r="C106" s="43" t="s">
        <v>357</v>
      </c>
      <c r="D106" s="38"/>
      <c r="E106" s="38"/>
      <c r="F106" s="38"/>
      <c r="G106" s="38"/>
      <c r="H106" s="38"/>
      <c r="I106" s="38"/>
      <c r="J106" s="38"/>
      <c r="K106" s="38"/>
      <c r="L106" s="41"/>
    </row>
    <row r="107" spans="1:12">
      <c r="A107" s="10">
        <v>13</v>
      </c>
      <c r="C107" s="37" t="str">
        <f>+C99</f>
        <v xml:space="preserve">  Production</v>
      </c>
      <c r="D107" s="38" t="s">
        <v>72</v>
      </c>
      <c r="E107" s="38">
        <f>E91-E99</f>
        <v>655754906.12103248</v>
      </c>
      <c r="F107" s="38"/>
      <c r="G107" s="38"/>
      <c r="H107" s="40"/>
      <c r="I107" s="38"/>
      <c r="J107" s="38" t="s">
        <v>272</v>
      </c>
      <c r="K107" s="38"/>
      <c r="L107" s="87"/>
    </row>
    <row r="108" spans="1:12">
      <c r="A108" s="10">
        <v>14</v>
      </c>
      <c r="C108" s="37" t="str">
        <f>+C100</f>
        <v xml:space="preserve">  Transmission</v>
      </c>
      <c r="D108" s="38" t="s">
        <v>73</v>
      </c>
      <c r="E108" s="38">
        <f>E92-E100</f>
        <v>344661937.9265421</v>
      </c>
      <c r="F108" s="38"/>
      <c r="G108" s="38"/>
      <c r="H108" s="85"/>
      <c r="I108" s="38"/>
      <c r="J108" s="38">
        <f>J92-J100</f>
        <v>344661937.9265421</v>
      </c>
      <c r="K108" s="38"/>
      <c r="L108" s="87"/>
    </row>
    <row r="109" spans="1:12">
      <c r="A109" s="10">
        <v>15</v>
      </c>
      <c r="C109" s="37" t="str">
        <f>+C101</f>
        <v xml:space="preserve">  Distribution</v>
      </c>
      <c r="D109" s="38" t="s">
        <v>74</v>
      </c>
      <c r="E109" s="38">
        <f>E93-E101</f>
        <v>367623360.37199885</v>
      </c>
      <c r="F109" s="38"/>
      <c r="G109" s="38"/>
      <c r="H109" s="40"/>
      <c r="I109" s="38"/>
      <c r="J109" s="38" t="s">
        <v>272</v>
      </c>
      <c r="K109" s="38"/>
      <c r="L109" s="87"/>
    </row>
    <row r="110" spans="1:12">
      <c r="A110" s="10">
        <v>16</v>
      </c>
      <c r="C110" s="37" t="str">
        <f>+C102</f>
        <v xml:space="preserve">  General &amp; Intangible</v>
      </c>
      <c r="D110" s="38" t="s">
        <v>75</v>
      </c>
      <c r="E110" s="38">
        <f>E94-E102</f>
        <v>25983093.519178718</v>
      </c>
      <c r="F110" s="38"/>
      <c r="G110" s="38"/>
      <c r="H110" s="40"/>
      <c r="I110" s="38"/>
      <c r="J110" s="38">
        <f>J94-J102</f>
        <v>2569313.3927897448</v>
      </c>
      <c r="K110" s="38"/>
      <c r="L110" s="87"/>
    </row>
    <row r="111" spans="1:12" ht="16.5" thickBot="1">
      <c r="A111" s="10">
        <v>17</v>
      </c>
      <c r="C111" s="37" t="str">
        <f>+C103</f>
        <v xml:space="preserve">  Common</v>
      </c>
      <c r="D111" s="38" t="s">
        <v>76</v>
      </c>
      <c r="E111" s="62">
        <f>E95-E103</f>
        <v>25557349.822007865</v>
      </c>
      <c r="F111" s="38"/>
      <c r="G111" s="38"/>
      <c r="H111" s="40"/>
      <c r="I111" s="38"/>
      <c r="J111" s="62">
        <f>J95-J103</f>
        <v>2253766.3972028238</v>
      </c>
      <c r="K111" s="38"/>
      <c r="L111" s="87"/>
    </row>
    <row r="112" spans="1:12">
      <c r="A112" s="10">
        <v>18</v>
      </c>
      <c r="C112" s="37" t="s">
        <v>77</v>
      </c>
      <c r="D112" s="38"/>
      <c r="E112" s="38">
        <f>SUM(E107:E111)</f>
        <v>1419580647.7607598</v>
      </c>
      <c r="F112" s="38"/>
      <c r="G112" s="38" t="s">
        <v>78</v>
      </c>
      <c r="H112" s="40">
        <f>IF(J112&gt;0,J112/E112,0)</f>
        <v>0.2461889137949371</v>
      </c>
      <c r="I112" s="38"/>
      <c r="J112" s="38">
        <f>SUM(J107:J111)</f>
        <v>349485017.71653467</v>
      </c>
      <c r="K112" s="38"/>
      <c r="L112" s="41"/>
    </row>
    <row r="113" spans="1:12">
      <c r="A113" s="10"/>
      <c r="D113" s="38"/>
      <c r="F113" s="38"/>
      <c r="I113" s="38"/>
      <c r="K113" s="38"/>
      <c r="L113" s="87"/>
    </row>
    <row r="114" spans="1:12" s="44" customFormat="1">
      <c r="A114" s="11" t="s">
        <v>29</v>
      </c>
      <c r="B114" s="178"/>
      <c r="C114" s="179" t="s">
        <v>322</v>
      </c>
      <c r="D114" s="41" t="s">
        <v>1</v>
      </c>
      <c r="E114" s="162">
        <f>'Workpapers (Pages 1 to 4)'!C66</f>
        <v>0</v>
      </c>
      <c r="F114" s="41"/>
      <c r="G114" s="41"/>
      <c r="H114" s="96">
        <f>+H127</f>
        <v>1</v>
      </c>
      <c r="I114" s="41"/>
      <c r="J114" s="41">
        <f>+H114*E114</f>
        <v>0</v>
      </c>
      <c r="K114" s="41"/>
      <c r="L114" s="180"/>
    </row>
    <row r="115" spans="1:12" s="44" customFormat="1">
      <c r="A115" s="177"/>
      <c r="B115" s="178"/>
      <c r="C115" s="179" t="s">
        <v>323</v>
      </c>
      <c r="D115" s="41"/>
      <c r="E115" s="162"/>
      <c r="F115" s="41"/>
      <c r="G115" s="41"/>
      <c r="H115" s="96"/>
      <c r="I115" s="41"/>
      <c r="J115" s="41"/>
      <c r="K115" s="41"/>
      <c r="L115" s="180"/>
    </row>
    <row r="116" spans="1:12" s="44" customFormat="1">
      <c r="A116" s="177"/>
      <c r="B116" s="178"/>
      <c r="C116" s="44" t="s">
        <v>342</v>
      </c>
      <c r="D116" s="41"/>
      <c r="E116" s="162"/>
      <c r="F116" s="41"/>
      <c r="G116" s="41"/>
      <c r="H116" s="96"/>
      <c r="I116" s="41"/>
      <c r="J116" s="41"/>
      <c r="K116" s="41"/>
      <c r="L116" s="180"/>
    </row>
    <row r="117" spans="1:12">
      <c r="A117" s="11"/>
      <c r="B117" s="44"/>
      <c r="C117" s="44"/>
      <c r="D117" s="41"/>
      <c r="E117" s="44"/>
      <c r="F117" s="41"/>
      <c r="G117" s="44"/>
      <c r="H117" s="44"/>
      <c r="I117" s="41"/>
      <c r="J117" s="44"/>
      <c r="K117" s="41"/>
      <c r="L117" s="87"/>
    </row>
    <row r="118" spans="1:12">
      <c r="A118" s="11"/>
      <c r="B118" s="44"/>
      <c r="C118" s="106" t="s">
        <v>675</v>
      </c>
      <c r="D118" s="41"/>
      <c r="E118" s="41"/>
      <c r="F118" s="41"/>
      <c r="G118" s="41"/>
      <c r="H118" s="41"/>
      <c r="I118" s="41"/>
      <c r="J118" s="41"/>
      <c r="K118" s="41"/>
      <c r="L118" s="41"/>
    </row>
    <row r="119" spans="1:12">
      <c r="A119" s="11">
        <v>19</v>
      </c>
      <c r="B119" s="44"/>
      <c r="C119" s="43" t="s">
        <v>670</v>
      </c>
      <c r="D119" s="41" t="s">
        <v>272</v>
      </c>
      <c r="E119" s="187">
        <v>0</v>
      </c>
      <c r="F119" s="41"/>
      <c r="G119" s="41" t="str">
        <f>+G99</f>
        <v>NA</v>
      </c>
      <c r="H119" s="88" t="s">
        <v>294</v>
      </c>
      <c r="I119" s="41"/>
      <c r="J119" s="162">
        <v>0</v>
      </c>
      <c r="K119" s="41"/>
      <c r="L119" s="87"/>
    </row>
    <row r="120" spans="1:12">
      <c r="A120" s="11">
        <v>20</v>
      </c>
      <c r="B120" s="44"/>
      <c r="C120" s="43" t="s">
        <v>671</v>
      </c>
      <c r="D120" s="41" t="s">
        <v>213</v>
      </c>
      <c r="E120" s="187">
        <f>'Workpapers (Pages 1 to 4)'!D90</f>
        <v>-309157194.15266067</v>
      </c>
      <c r="F120" s="41"/>
      <c r="G120" s="41" t="s">
        <v>79</v>
      </c>
      <c r="H120" s="96">
        <f>+H112</f>
        <v>0.2461889137949371</v>
      </c>
      <c r="I120" s="41"/>
      <c r="J120" s="162">
        <f>E120*H120</f>
        <v>-76111073.820334002</v>
      </c>
      <c r="K120" s="41"/>
      <c r="L120" s="87"/>
    </row>
    <row r="121" spans="1:12">
      <c r="A121" s="11">
        <v>21</v>
      </c>
      <c r="B121" s="44"/>
      <c r="C121" s="43" t="s">
        <v>672</v>
      </c>
      <c r="D121" s="41" t="s">
        <v>214</v>
      </c>
      <c r="E121" s="188">
        <f>'Workpapers (Pages 1 to 4)'!E90</f>
        <v>-27616366.560508311</v>
      </c>
      <c r="F121" s="41"/>
      <c r="G121" s="41" t="s">
        <v>79</v>
      </c>
      <c r="H121" s="96">
        <f>+H120</f>
        <v>0.2461889137949371</v>
      </c>
      <c r="I121" s="41"/>
      <c r="J121" s="162">
        <f>E121*H121</f>
        <v>-6798843.286494364</v>
      </c>
      <c r="K121" s="41"/>
      <c r="L121" s="87"/>
    </row>
    <row r="122" spans="1:12">
      <c r="A122" s="11">
        <v>22</v>
      </c>
      <c r="B122" s="44"/>
      <c r="C122" s="43" t="s">
        <v>673</v>
      </c>
      <c r="D122" s="41" t="s">
        <v>215</v>
      </c>
      <c r="E122" s="188">
        <f>'Workpapers (Pages 1 to 4)'!F90</f>
        <v>12499487.410428751</v>
      </c>
      <c r="F122" s="41"/>
      <c r="G122" s="41" t="str">
        <f>+G121</f>
        <v>NP</v>
      </c>
      <c r="H122" s="96">
        <f>+H121</f>
        <v>0.2461889137949371</v>
      </c>
      <c r="I122" s="41"/>
      <c r="J122" s="162">
        <f>E122*H122</f>
        <v>3077235.2285669455</v>
      </c>
      <c r="K122" s="41"/>
      <c r="L122" s="87"/>
    </row>
    <row r="123" spans="1:12">
      <c r="A123" s="11">
        <v>23</v>
      </c>
      <c r="B123" s="44"/>
      <c r="C123" s="44" t="s">
        <v>674</v>
      </c>
      <c r="D123" s="44" t="s">
        <v>116</v>
      </c>
      <c r="E123" s="188">
        <v>0</v>
      </c>
      <c r="F123" s="41"/>
      <c r="G123" s="41" t="s">
        <v>79</v>
      </c>
      <c r="H123" s="96">
        <f>+H121</f>
        <v>0.2461889137949371</v>
      </c>
      <c r="I123" s="41"/>
      <c r="J123" s="181">
        <f>E123*H123</f>
        <v>0</v>
      </c>
      <c r="K123" s="41"/>
      <c r="L123" s="87"/>
    </row>
    <row r="124" spans="1:12" s="44" customFormat="1" ht="16.5" thickBot="1">
      <c r="A124" s="11" t="s">
        <v>117</v>
      </c>
      <c r="C124" s="44" t="s">
        <v>324</v>
      </c>
      <c r="E124" s="189">
        <v>0</v>
      </c>
      <c r="F124" s="41"/>
      <c r="G124" s="41"/>
      <c r="H124" s="96">
        <v>0</v>
      </c>
      <c r="I124" s="41"/>
      <c r="J124" s="182">
        <f>+H124*E124</f>
        <v>0</v>
      </c>
      <c r="K124" s="41"/>
      <c r="L124" s="180"/>
    </row>
    <row r="125" spans="1:12">
      <c r="A125" s="11">
        <v>24</v>
      </c>
      <c r="B125" s="44"/>
      <c r="C125" s="43" t="s">
        <v>26</v>
      </c>
      <c r="D125" s="41"/>
      <c r="E125" s="162">
        <f>SUM(E119:E124)</f>
        <v>-324274073.30274022</v>
      </c>
      <c r="F125" s="41"/>
      <c r="G125" s="41"/>
      <c r="H125" s="41"/>
      <c r="I125" s="41"/>
      <c r="J125" s="162">
        <f>SUM(J119:J124)</f>
        <v>-79832681.878261417</v>
      </c>
      <c r="K125" s="41"/>
      <c r="L125" s="41"/>
    </row>
    <row r="126" spans="1:12">
      <c r="A126" s="11"/>
      <c r="B126" s="44"/>
      <c r="C126" s="44"/>
      <c r="D126" s="41"/>
      <c r="E126" s="44"/>
      <c r="F126" s="41"/>
      <c r="G126" s="41"/>
      <c r="H126" s="87"/>
      <c r="I126" s="41"/>
      <c r="J126" s="44"/>
      <c r="K126" s="41"/>
      <c r="L126" s="87"/>
    </row>
    <row r="127" spans="1:12">
      <c r="A127" s="11">
        <v>25</v>
      </c>
      <c r="B127" s="44"/>
      <c r="C127" s="106" t="s">
        <v>358</v>
      </c>
      <c r="D127" s="41" t="s">
        <v>194</v>
      </c>
      <c r="E127" s="61">
        <f>'Workpapers (Pages 1 to 4)'!C113</f>
        <v>27268</v>
      </c>
      <c r="F127" s="41"/>
      <c r="G127" s="41" t="str">
        <f>+G100</f>
        <v>TP</v>
      </c>
      <c r="H127" s="96">
        <f>+H100</f>
        <v>1</v>
      </c>
      <c r="I127" s="41"/>
      <c r="J127" s="41">
        <f>+H127*E127</f>
        <v>27268</v>
      </c>
      <c r="K127" s="41"/>
      <c r="L127" s="41"/>
    </row>
    <row r="128" spans="1:12">
      <c r="A128" s="11"/>
      <c r="B128" s="44"/>
      <c r="C128" s="43"/>
      <c r="D128" s="41"/>
      <c r="E128" s="41"/>
      <c r="F128" s="41"/>
      <c r="G128" s="41"/>
      <c r="H128" s="41"/>
      <c r="I128" s="41"/>
      <c r="J128" s="41"/>
      <c r="K128" s="41"/>
      <c r="L128" s="41"/>
    </row>
    <row r="129" spans="1:12">
      <c r="A129" s="11"/>
      <c r="B129" s="44"/>
      <c r="C129" s="43" t="s">
        <v>195</v>
      </c>
      <c r="D129" s="41" t="s">
        <v>272</v>
      </c>
      <c r="E129" s="41"/>
      <c r="F129" s="41"/>
      <c r="G129" s="41"/>
      <c r="H129" s="41"/>
      <c r="I129" s="41"/>
      <c r="J129" s="41"/>
      <c r="K129" s="41"/>
      <c r="L129" s="41"/>
    </row>
    <row r="130" spans="1:12">
      <c r="A130" s="11">
        <v>26</v>
      </c>
      <c r="B130" s="44"/>
      <c r="C130" s="43" t="s">
        <v>196</v>
      </c>
      <c r="D130" s="44" t="s">
        <v>197</v>
      </c>
      <c r="E130" s="41">
        <f>+E178/8</f>
        <v>5608570.0458446257</v>
      </c>
      <c r="F130" s="41"/>
      <c r="G130" s="41"/>
      <c r="H130" s="87"/>
      <c r="I130" s="41"/>
      <c r="J130" s="41">
        <f>+J178/8</f>
        <v>848185.02575903735</v>
      </c>
      <c r="K130" s="51"/>
      <c r="L130" s="87"/>
    </row>
    <row r="131" spans="1:12">
      <c r="A131" s="11">
        <v>27</v>
      </c>
      <c r="B131" s="44"/>
      <c r="C131" s="43" t="s">
        <v>359</v>
      </c>
      <c r="D131" s="41" t="s">
        <v>245</v>
      </c>
      <c r="E131" s="61">
        <f>+'Workpapers (Pages 1 to 4)'!E140</f>
        <v>2200000</v>
      </c>
      <c r="F131" s="41"/>
      <c r="G131" s="41" t="s">
        <v>181</v>
      </c>
      <c r="H131" s="96">
        <f>J261</f>
        <v>0.8588329536351067</v>
      </c>
      <c r="I131" s="41"/>
      <c r="J131" s="41">
        <f>+H131*E131</f>
        <v>1889432.4979972348</v>
      </c>
      <c r="K131" s="41" t="s">
        <v>272</v>
      </c>
      <c r="L131" s="87"/>
    </row>
    <row r="132" spans="1:12" ht="16.5" thickBot="1">
      <c r="A132" s="11">
        <v>28</v>
      </c>
      <c r="B132" s="44"/>
      <c r="C132" s="43" t="s">
        <v>360</v>
      </c>
      <c r="D132" s="41" t="s">
        <v>242</v>
      </c>
      <c r="E132" s="86">
        <f>+'Workpapers (Pages 1 to 4)'!C172</f>
        <v>0</v>
      </c>
      <c r="F132" s="41"/>
      <c r="G132" s="41" t="s">
        <v>190</v>
      </c>
      <c r="H132" s="96">
        <f>+H96</f>
        <v>0.17217006840928051</v>
      </c>
      <c r="I132" s="41"/>
      <c r="J132" s="109">
        <f>+H132*E132</f>
        <v>0</v>
      </c>
      <c r="K132" s="41"/>
      <c r="L132" s="87"/>
    </row>
    <row r="133" spans="1:12">
      <c r="A133" s="11">
        <v>29</v>
      </c>
      <c r="B133" s="44"/>
      <c r="C133" s="43" t="s">
        <v>80</v>
      </c>
      <c r="D133" s="51"/>
      <c r="E133" s="41">
        <f>E130+E131+E132</f>
        <v>7808570.0458446257</v>
      </c>
      <c r="F133" s="51"/>
      <c r="G133" s="51"/>
      <c r="H133" s="51"/>
      <c r="I133" s="51"/>
      <c r="J133" s="41">
        <f>J130+J131+J132</f>
        <v>2737617.5237562722</v>
      </c>
      <c r="K133" s="51"/>
      <c r="L133" s="51"/>
    </row>
    <row r="134" spans="1:12" ht="16.5" thickBot="1">
      <c r="A134" s="44"/>
      <c r="B134" s="44"/>
      <c r="C134" s="44"/>
      <c r="D134" s="41"/>
      <c r="E134" s="183"/>
      <c r="F134" s="41"/>
      <c r="G134" s="41"/>
      <c r="H134" s="41"/>
      <c r="I134" s="41"/>
      <c r="J134" s="183"/>
      <c r="K134" s="41"/>
      <c r="L134" s="41"/>
    </row>
    <row r="135" spans="1:12" ht="16.5" thickBot="1">
      <c r="A135" s="11">
        <v>30</v>
      </c>
      <c r="B135" s="44"/>
      <c r="C135" s="43" t="s">
        <v>316</v>
      </c>
      <c r="D135" s="41"/>
      <c r="E135" s="163">
        <f>+E133+E127+E125+E114+E112</f>
        <v>1103142412.5038643</v>
      </c>
      <c r="F135" s="41"/>
      <c r="G135" s="41"/>
      <c r="H135" s="87"/>
      <c r="I135" s="41"/>
      <c r="J135" s="163">
        <f>+J133+J127+J125+J114+J112</f>
        <v>272417221.36202955</v>
      </c>
      <c r="K135" s="38"/>
      <c r="L135" s="87"/>
    </row>
    <row r="136" spans="1:12" ht="16.5" thickTop="1">
      <c r="A136" s="10"/>
      <c r="C136" s="37"/>
      <c r="D136" s="38"/>
      <c r="E136" s="39"/>
      <c r="F136" s="38"/>
      <c r="G136" s="38"/>
      <c r="H136" s="40"/>
      <c r="I136" s="38"/>
      <c r="J136" s="39"/>
      <c r="K136" s="38"/>
      <c r="L136" s="87"/>
    </row>
    <row r="137" spans="1:12">
      <c r="A137" s="10"/>
      <c r="C137" s="37"/>
      <c r="D137" s="38"/>
      <c r="E137" s="39"/>
      <c r="F137" s="38"/>
      <c r="G137" s="38"/>
      <c r="H137" s="40"/>
      <c r="I137" s="38"/>
      <c r="J137" s="39"/>
      <c r="K137" s="38"/>
      <c r="L137" s="87"/>
    </row>
    <row r="138" spans="1:12">
      <c r="A138" s="10"/>
      <c r="C138" s="37"/>
      <c r="D138" s="38"/>
      <c r="E138" s="39"/>
      <c r="F138" s="38"/>
      <c r="G138" s="38"/>
      <c r="H138" s="40"/>
      <c r="I138" s="38"/>
      <c r="J138" s="39"/>
      <c r="K138" s="38"/>
      <c r="L138" s="87"/>
    </row>
    <row r="139" spans="1:12">
      <c r="A139" s="10"/>
      <c r="C139" s="37"/>
      <c r="D139" s="38"/>
      <c r="E139" s="39"/>
      <c r="F139" s="38"/>
      <c r="G139" s="38"/>
      <c r="H139" s="40"/>
      <c r="I139" s="38"/>
      <c r="J139" s="39"/>
      <c r="K139" s="38"/>
      <c r="L139" s="87"/>
    </row>
    <row r="140" spans="1:12">
      <c r="A140" s="10"/>
      <c r="C140" s="37"/>
      <c r="D140" s="38"/>
      <c r="E140" s="39"/>
      <c r="F140" s="38"/>
      <c r="G140" s="38"/>
      <c r="H140" s="40"/>
      <c r="I140" s="38"/>
      <c r="J140" s="39"/>
      <c r="K140" s="38"/>
      <c r="L140" s="87"/>
    </row>
    <row r="141" spans="1:12">
      <c r="A141" s="10"/>
      <c r="C141" s="37"/>
      <c r="D141" s="38"/>
      <c r="E141" s="39"/>
      <c r="F141" s="38"/>
      <c r="G141" s="38"/>
      <c r="H141" s="40"/>
      <c r="I141" s="38"/>
      <c r="J141" s="39"/>
      <c r="K141" s="38"/>
      <c r="L141" s="87"/>
    </row>
    <row r="142" spans="1:12">
      <c r="A142" s="10"/>
      <c r="C142" s="37"/>
      <c r="D142" s="38"/>
      <c r="E142" s="39"/>
      <c r="F142" s="38"/>
      <c r="G142" s="38"/>
      <c r="H142" s="40"/>
      <c r="I142" s="38"/>
      <c r="J142" s="39"/>
      <c r="K142" s="38"/>
      <c r="L142" s="87"/>
    </row>
    <row r="143" spans="1:12">
      <c r="A143" s="10"/>
      <c r="C143" s="37"/>
      <c r="D143" s="38"/>
      <c r="E143" s="39"/>
      <c r="F143" s="38"/>
      <c r="G143" s="38"/>
      <c r="H143" s="40"/>
      <c r="I143" s="38"/>
      <c r="J143" s="39"/>
      <c r="K143" s="38"/>
      <c r="L143" s="87"/>
    </row>
    <row r="144" spans="1:12">
      <c r="A144" s="10"/>
      <c r="C144" s="37"/>
      <c r="D144" s="38"/>
      <c r="E144" s="39"/>
      <c r="F144" s="38"/>
      <c r="G144" s="38"/>
      <c r="H144" s="40"/>
      <c r="I144" s="38"/>
      <c r="J144" s="39"/>
      <c r="K144" s="38"/>
      <c r="L144" s="87"/>
    </row>
    <row r="145" spans="1:12">
      <c r="A145" s="10"/>
      <c r="C145" s="37"/>
      <c r="D145" s="38"/>
      <c r="E145" s="39"/>
      <c r="F145" s="38"/>
      <c r="G145" s="38"/>
      <c r="H145" s="40"/>
      <c r="I145" s="38"/>
      <c r="J145" s="39"/>
      <c r="K145" s="38"/>
      <c r="L145" s="87"/>
    </row>
    <row r="146" spans="1:12">
      <c r="A146" s="10"/>
      <c r="C146" s="37"/>
      <c r="D146" s="38"/>
      <c r="E146" s="39"/>
      <c r="F146" s="38"/>
      <c r="G146" s="38"/>
      <c r="H146" s="40"/>
      <c r="I146" s="38"/>
      <c r="J146" s="39"/>
      <c r="K146" s="38"/>
      <c r="L146" s="87"/>
    </row>
    <row r="147" spans="1:12">
      <c r="A147" s="10"/>
      <c r="C147" s="37"/>
      <c r="D147" s="38"/>
      <c r="E147" s="39"/>
      <c r="F147" s="38"/>
      <c r="G147" s="38"/>
      <c r="H147" s="40"/>
      <c r="I147" s="38"/>
      <c r="J147" s="39"/>
      <c r="K147" s="38"/>
      <c r="L147" s="87"/>
    </row>
    <row r="148" spans="1:12">
      <c r="A148" s="10"/>
      <c r="C148" s="37"/>
      <c r="D148" s="38"/>
      <c r="E148" s="39"/>
      <c r="F148" s="38"/>
      <c r="G148" s="38"/>
      <c r="H148" s="40"/>
      <c r="I148" s="38"/>
      <c r="J148" s="39"/>
      <c r="K148" s="38"/>
      <c r="L148" s="87"/>
    </row>
    <row r="149" spans="1:12">
      <c r="A149" s="10"/>
      <c r="C149" s="37"/>
      <c r="D149" s="38"/>
      <c r="E149" s="39"/>
      <c r="F149" s="38"/>
      <c r="G149" s="38"/>
      <c r="H149" s="40"/>
      <c r="I149" s="38"/>
      <c r="J149" s="39"/>
      <c r="K149" s="38"/>
      <c r="L149" s="87"/>
    </row>
    <row r="150" spans="1:12">
      <c r="A150" s="10"/>
      <c r="C150" s="37"/>
      <c r="D150" s="38"/>
      <c r="E150" s="39"/>
      <c r="F150" s="38"/>
      <c r="G150" s="38"/>
      <c r="H150" s="40"/>
      <c r="I150" s="38"/>
      <c r="J150" s="39"/>
      <c r="K150" s="38"/>
      <c r="L150" s="87"/>
    </row>
    <row r="151" spans="1:12">
      <c r="A151" s="10"/>
      <c r="C151" s="37"/>
      <c r="D151" s="38"/>
      <c r="E151" s="39"/>
      <c r="F151" s="38"/>
      <c r="G151" s="38"/>
      <c r="H151" s="40"/>
      <c r="I151" s="38"/>
      <c r="J151" s="39"/>
      <c r="K151" s="38"/>
      <c r="L151" s="87"/>
    </row>
    <row r="152" spans="1:12">
      <c r="A152" s="10"/>
      <c r="C152" s="37"/>
      <c r="D152" s="38"/>
      <c r="E152" s="39"/>
      <c r="F152" s="38"/>
      <c r="G152" s="38"/>
      <c r="H152" s="40"/>
      <c r="I152" s="38"/>
      <c r="J152" s="39"/>
      <c r="K152" s="38"/>
      <c r="L152" s="87"/>
    </row>
    <row r="153" spans="1:12">
      <c r="A153" s="10"/>
      <c r="C153" s="37"/>
      <c r="D153" s="38"/>
      <c r="E153" s="39"/>
      <c r="F153" s="38"/>
      <c r="G153" s="38"/>
      <c r="H153" s="40"/>
      <c r="I153" s="38"/>
      <c r="J153" s="39"/>
      <c r="K153" s="38"/>
      <c r="L153" s="87"/>
    </row>
    <row r="154" spans="1:12">
      <c r="A154" s="10"/>
      <c r="C154" s="37"/>
      <c r="D154" s="38"/>
      <c r="E154" s="39"/>
      <c r="F154" s="38"/>
      <c r="G154" s="38"/>
      <c r="H154" s="40"/>
      <c r="I154" s="38"/>
      <c r="J154" s="39"/>
      <c r="K154" s="38"/>
      <c r="L154" s="87"/>
    </row>
    <row r="156" spans="1:12">
      <c r="A156" s="10"/>
      <c r="C156" s="37"/>
      <c r="D156" s="38"/>
      <c r="E156" s="39"/>
      <c r="F156" s="38"/>
      <c r="G156" s="38"/>
      <c r="H156" s="40"/>
      <c r="I156" s="38"/>
      <c r="J156" s="39"/>
      <c r="K156" s="38"/>
      <c r="L156" s="87"/>
    </row>
    <row r="157" spans="1:12">
      <c r="C157" s="36"/>
      <c r="D157" s="36"/>
      <c r="E157" s="47"/>
      <c r="F157" s="36"/>
      <c r="G157" s="36"/>
      <c r="H157" s="36"/>
      <c r="I157" s="48"/>
      <c r="J157" s="48"/>
      <c r="K157" s="49"/>
      <c r="L157" s="50" t="s">
        <v>198</v>
      </c>
    </row>
    <row r="158" spans="1:12">
      <c r="C158" s="36"/>
      <c r="D158" s="36"/>
      <c r="E158" s="47"/>
      <c r="F158" s="36"/>
      <c r="G158" s="36"/>
      <c r="H158" s="36"/>
      <c r="I158" s="48"/>
      <c r="J158" s="48"/>
      <c r="K158" s="49"/>
      <c r="L158" s="50"/>
    </row>
    <row r="159" spans="1:12">
      <c r="C159" s="36" t="s">
        <v>205</v>
      </c>
      <c r="D159" s="36"/>
      <c r="E159" s="47" t="s">
        <v>271</v>
      </c>
      <c r="F159" s="36"/>
      <c r="G159" s="36"/>
      <c r="H159" s="36"/>
      <c r="I159" s="48"/>
      <c r="J159" s="52" t="str">
        <f>J3</f>
        <v>For the 12 months ended 12/31/17</v>
      </c>
      <c r="K159" s="53"/>
      <c r="L159" s="53"/>
    </row>
    <row r="160" spans="1:12">
      <c r="C160" s="36"/>
      <c r="D160" s="38" t="s">
        <v>272</v>
      </c>
      <c r="E160" s="38" t="s">
        <v>227</v>
      </c>
      <c r="F160" s="38"/>
      <c r="G160" s="38"/>
      <c r="H160" s="38"/>
      <c r="I160" s="48"/>
      <c r="J160" s="48"/>
      <c r="K160" s="49"/>
      <c r="L160" s="51"/>
    </row>
    <row r="161" spans="1:12">
      <c r="C161" s="36"/>
      <c r="D161" s="38"/>
      <c r="E161" s="38"/>
      <c r="F161" s="38"/>
      <c r="G161" s="38"/>
      <c r="H161" s="38"/>
      <c r="I161" s="48"/>
      <c r="J161" s="48"/>
      <c r="K161" s="49"/>
      <c r="L161" s="51"/>
    </row>
    <row r="162" spans="1:12">
      <c r="A162" s="10"/>
      <c r="E162" s="160" t="str">
        <f>E6</f>
        <v>VECTREN</v>
      </c>
      <c r="K162" s="38"/>
      <c r="L162" s="41"/>
    </row>
    <row r="163" spans="1:12">
      <c r="A163" s="10"/>
      <c r="C163" s="76" t="s">
        <v>157</v>
      </c>
      <c r="D163" s="76" t="s">
        <v>158</v>
      </c>
      <c r="E163" s="76" t="s">
        <v>5</v>
      </c>
      <c r="F163" s="38" t="s">
        <v>272</v>
      </c>
      <c r="G163" s="38"/>
      <c r="H163" s="77" t="s">
        <v>6</v>
      </c>
      <c r="I163" s="38"/>
      <c r="J163" s="78" t="s">
        <v>7</v>
      </c>
      <c r="K163" s="38"/>
      <c r="L163" s="41"/>
    </row>
    <row r="164" spans="1:12">
      <c r="A164" s="10"/>
      <c r="C164" s="76"/>
      <c r="D164" s="48"/>
      <c r="E164" s="48"/>
      <c r="F164" s="48"/>
      <c r="G164" s="48"/>
      <c r="H164" s="48"/>
      <c r="I164" s="48"/>
      <c r="J164" s="48"/>
      <c r="K164" s="48"/>
      <c r="L164" s="90"/>
    </row>
    <row r="165" spans="1:12">
      <c r="A165" s="10" t="s">
        <v>273</v>
      </c>
      <c r="C165" s="37"/>
      <c r="D165" s="80" t="s">
        <v>211</v>
      </c>
      <c r="E165" s="38"/>
      <c r="F165" s="38"/>
      <c r="G165" s="38"/>
      <c r="H165" s="10"/>
      <c r="I165" s="38"/>
      <c r="J165" s="81" t="s">
        <v>8</v>
      </c>
      <c r="K165" s="38"/>
      <c r="L165" s="90"/>
    </row>
    <row r="166" spans="1:12" ht="16.5" thickBot="1">
      <c r="A166" s="55" t="s">
        <v>274</v>
      </c>
      <c r="C166" s="37"/>
      <c r="D166" s="82" t="s">
        <v>9</v>
      </c>
      <c r="E166" s="81" t="s">
        <v>10</v>
      </c>
      <c r="F166" s="83"/>
      <c r="G166" s="81" t="s">
        <v>11</v>
      </c>
      <c r="I166" s="83"/>
      <c r="J166" s="10" t="s">
        <v>12</v>
      </c>
      <c r="K166" s="38"/>
      <c r="L166" s="90"/>
    </row>
    <row r="167" spans="1:12">
      <c r="C167" s="37"/>
      <c r="D167" s="38"/>
      <c r="E167" s="91"/>
      <c r="F167" s="92"/>
      <c r="G167" s="93"/>
      <c r="I167" s="92"/>
      <c r="J167" s="91"/>
      <c r="K167" s="38"/>
      <c r="L167" s="41"/>
    </row>
    <row r="168" spans="1:12">
      <c r="A168" s="10"/>
      <c r="C168" s="37" t="s">
        <v>545</v>
      </c>
      <c r="D168" s="38"/>
      <c r="E168" s="38"/>
      <c r="F168" s="38"/>
      <c r="G168" s="38"/>
      <c r="H168" s="38"/>
      <c r="I168" s="38"/>
      <c r="J168" s="38"/>
      <c r="K168" s="38"/>
      <c r="L168" s="41"/>
    </row>
    <row r="169" spans="1:12">
      <c r="A169" s="10">
        <v>1</v>
      </c>
      <c r="C169" s="37" t="s">
        <v>180</v>
      </c>
      <c r="D169" s="38" t="s">
        <v>39</v>
      </c>
      <c r="E169" s="61">
        <f>'Workpapers (Pages 6 and 7)'!E28*1000</f>
        <v>22285812.099999998</v>
      </c>
      <c r="F169" s="38"/>
      <c r="G169" s="38" t="s">
        <v>181</v>
      </c>
      <c r="H169" s="85">
        <f>J261</f>
        <v>0.8588329536351067</v>
      </c>
      <c r="I169" s="38"/>
      <c r="J169" s="38">
        <f>+H169*E169</f>
        <v>19139789.829999998</v>
      </c>
      <c r="K169" s="49"/>
      <c r="L169" s="41"/>
    </row>
    <row r="170" spans="1:12">
      <c r="A170" s="11" t="s">
        <v>311</v>
      </c>
      <c r="B170" s="44"/>
      <c r="C170" s="43" t="s">
        <v>137</v>
      </c>
      <c r="D170" s="41"/>
      <c r="E170" s="61">
        <f>'Workpapers (Pages 6 and 7)'!E11*1000</f>
        <v>16188131</v>
      </c>
      <c r="F170" s="38"/>
      <c r="G170" s="94"/>
      <c r="H170" s="85">
        <v>1</v>
      </c>
      <c r="I170" s="38"/>
      <c r="J170" s="38">
        <f>+H170*E170</f>
        <v>16188131</v>
      </c>
      <c r="K170" s="49"/>
      <c r="L170" s="41"/>
    </row>
    <row r="171" spans="1:12">
      <c r="A171" s="10">
        <v>2</v>
      </c>
      <c r="C171" s="37" t="s">
        <v>182</v>
      </c>
      <c r="D171" s="38" t="s">
        <v>40</v>
      </c>
      <c r="E171" s="61">
        <v>0</v>
      </c>
      <c r="F171" s="38"/>
      <c r="G171" s="38" t="s">
        <v>181</v>
      </c>
      <c r="H171" s="85">
        <f>+H169</f>
        <v>0.8588329536351067</v>
      </c>
      <c r="I171" s="38"/>
      <c r="J171" s="38">
        <f t="shared" ref="J171:J177" si="2">+H171*E171</f>
        <v>0</v>
      </c>
      <c r="K171" s="49"/>
      <c r="L171" s="41"/>
    </row>
    <row r="172" spans="1:12">
      <c r="A172" s="10">
        <v>3</v>
      </c>
      <c r="C172" s="37" t="s">
        <v>183</v>
      </c>
      <c r="D172" s="38" t="s">
        <v>41</v>
      </c>
      <c r="E172" s="61">
        <f>'Workpapers (Pages 6 and 7)'!E54*1000</f>
        <v>39475879.266757004</v>
      </c>
      <c r="F172" s="38"/>
      <c r="G172" s="38" t="s">
        <v>184</v>
      </c>
      <c r="H172" s="85">
        <f>+H102</f>
        <v>9.8884045153948899E-2</v>
      </c>
      <c r="I172" s="38"/>
      <c r="J172" s="38">
        <f t="shared" si="2"/>
        <v>3903534.6279058349</v>
      </c>
      <c r="K172" s="38"/>
      <c r="L172" s="41" t="s">
        <v>272</v>
      </c>
    </row>
    <row r="173" spans="1:12">
      <c r="A173" s="10">
        <v>4</v>
      </c>
      <c r="C173" s="37" t="s">
        <v>185</v>
      </c>
      <c r="D173" s="38"/>
      <c r="E173" s="61">
        <v>0</v>
      </c>
      <c r="F173" s="38"/>
      <c r="G173" s="38" t="str">
        <f>+G172</f>
        <v>W/S</v>
      </c>
      <c r="H173" s="85">
        <f>+H172</f>
        <v>9.8884045153948899E-2</v>
      </c>
      <c r="I173" s="38"/>
      <c r="J173" s="38">
        <f t="shared" si="2"/>
        <v>0</v>
      </c>
      <c r="K173" s="38"/>
      <c r="L173" s="41"/>
    </row>
    <row r="174" spans="1:12">
      <c r="A174" s="10">
        <v>5</v>
      </c>
      <c r="C174" s="43" t="s">
        <v>58</v>
      </c>
      <c r="D174" s="41"/>
      <c r="E174" s="61">
        <f>'Workpapers (Pages 6 and 7)'!E31*1000</f>
        <v>705000</v>
      </c>
      <c r="F174" s="38"/>
      <c r="G174" s="38" t="str">
        <f>+G173</f>
        <v>W/S</v>
      </c>
      <c r="H174" s="85">
        <f>+H173</f>
        <v>9.8884045153948899E-2</v>
      </c>
      <c r="I174" s="38"/>
      <c r="J174" s="38">
        <f t="shared" si="2"/>
        <v>69713.25183353397</v>
      </c>
      <c r="K174" s="38"/>
      <c r="L174" s="41"/>
    </row>
    <row r="175" spans="1:12">
      <c r="A175" s="10" t="s">
        <v>186</v>
      </c>
      <c r="C175" s="43" t="s">
        <v>59</v>
      </c>
      <c r="D175" s="41"/>
      <c r="E175" s="61">
        <v>0</v>
      </c>
      <c r="F175" s="38"/>
      <c r="G175" s="95" t="str">
        <f>+G169</f>
        <v>TE</v>
      </c>
      <c r="H175" s="96">
        <f>+H169</f>
        <v>0.8588329536351067</v>
      </c>
      <c r="I175" s="38"/>
      <c r="J175" s="38">
        <f>+H175*E175</f>
        <v>0</v>
      </c>
      <c r="K175" s="38"/>
      <c r="L175" s="41"/>
    </row>
    <row r="176" spans="1:12">
      <c r="A176" s="10">
        <v>6</v>
      </c>
      <c r="C176" s="43" t="s">
        <v>187</v>
      </c>
      <c r="D176" s="41" t="str">
        <f>+D103</f>
        <v>356.1</v>
      </c>
      <c r="E176" s="61">
        <v>0</v>
      </c>
      <c r="F176" s="38"/>
      <c r="G176" s="38" t="s">
        <v>188</v>
      </c>
      <c r="H176" s="85">
        <f>+H103</f>
        <v>8.8184667537870742E-2</v>
      </c>
      <c r="I176" s="38"/>
      <c r="J176" s="38">
        <f t="shared" si="2"/>
        <v>0</v>
      </c>
      <c r="K176" s="38"/>
      <c r="L176" s="41"/>
    </row>
    <row r="177" spans="1:12" ht="16.5" thickBot="1">
      <c r="A177" s="10">
        <v>7</v>
      </c>
      <c r="C177" s="37" t="s">
        <v>189</v>
      </c>
      <c r="D177" s="38"/>
      <c r="E177" s="86">
        <v>0</v>
      </c>
      <c r="F177" s="38"/>
      <c r="G177" s="38" t="s">
        <v>272</v>
      </c>
      <c r="H177" s="85">
        <v>1</v>
      </c>
      <c r="I177" s="38"/>
      <c r="J177" s="62">
        <f t="shared" si="2"/>
        <v>0</v>
      </c>
      <c r="K177" s="38"/>
      <c r="L177" s="41"/>
    </row>
    <row r="178" spans="1:12">
      <c r="A178" s="11">
        <v>8</v>
      </c>
      <c r="B178" s="44"/>
      <c r="C178" s="43" t="s">
        <v>361</v>
      </c>
      <c r="D178" s="41"/>
      <c r="E178" s="41">
        <f>+E169-E170-E171+E172-E173-E174+E175+E176+E177</f>
        <v>44868560.366757005</v>
      </c>
      <c r="F178" s="41"/>
      <c r="G178" s="41"/>
      <c r="H178" s="41"/>
      <c r="I178" s="41"/>
      <c r="J178" s="41">
        <f>+J169-J170-J171+J172-J173-J174+J175+J176+J177</f>
        <v>6785480.2060722988</v>
      </c>
      <c r="K178" s="38"/>
      <c r="L178" s="41"/>
    </row>
    <row r="179" spans="1:12">
      <c r="A179" s="11"/>
      <c r="B179" s="44"/>
      <c r="C179" s="44"/>
      <c r="D179" s="41"/>
      <c r="E179" s="44"/>
      <c r="F179" s="41"/>
      <c r="G179" s="41"/>
      <c r="H179" s="41"/>
      <c r="I179" s="41"/>
      <c r="J179" s="44"/>
      <c r="K179" s="38"/>
      <c r="L179" s="41"/>
    </row>
    <row r="180" spans="1:12">
      <c r="A180" s="11"/>
      <c r="B180" s="44"/>
      <c r="C180" s="43" t="s">
        <v>546</v>
      </c>
      <c r="D180" s="41"/>
      <c r="E180" s="41"/>
      <c r="F180" s="41"/>
      <c r="G180" s="41"/>
      <c r="H180" s="41"/>
      <c r="I180" s="41"/>
      <c r="J180" s="41"/>
      <c r="K180" s="38"/>
      <c r="L180" s="41"/>
    </row>
    <row r="181" spans="1:12">
      <c r="A181" s="11">
        <v>9</v>
      </c>
      <c r="B181" s="44"/>
      <c r="C181" s="43" t="str">
        <f>+C169</f>
        <v xml:space="preserve">  Transmission </v>
      </c>
      <c r="D181" s="41" t="s">
        <v>60</v>
      </c>
      <c r="E181" s="61">
        <f>'Workpapers (Pages 6 and 7)'!E58*1000</f>
        <v>9911434</v>
      </c>
      <c r="F181" s="41"/>
      <c r="G181" s="41" t="s">
        <v>14</v>
      </c>
      <c r="H181" s="96">
        <f>+H127</f>
        <v>1</v>
      </c>
      <c r="I181" s="41"/>
      <c r="J181" s="41">
        <f>+H181*E181</f>
        <v>9911434</v>
      </c>
      <c r="K181" s="38"/>
      <c r="L181" s="87"/>
    </row>
    <row r="182" spans="1:12" s="44" customFormat="1">
      <c r="A182" s="11" t="s">
        <v>317</v>
      </c>
      <c r="B182" s="175"/>
      <c r="C182" s="43" t="s">
        <v>325</v>
      </c>
      <c r="D182" s="176"/>
      <c r="E182" s="61">
        <v>0</v>
      </c>
      <c r="F182" s="41"/>
      <c r="G182" s="41"/>
      <c r="H182" s="96">
        <v>1</v>
      </c>
      <c r="I182" s="41"/>
      <c r="J182" s="41">
        <f>+H182*E182</f>
        <v>0</v>
      </c>
      <c r="K182" s="176"/>
      <c r="L182" s="180"/>
    </row>
    <row r="183" spans="1:12">
      <c r="A183" s="10">
        <v>10</v>
      </c>
      <c r="C183" s="37" t="s">
        <v>263</v>
      </c>
      <c r="D183" s="38" t="s">
        <v>544</v>
      </c>
      <c r="E183" s="61">
        <f>'Workpapers (Pages 6 and 7)'!E59*1000</f>
        <v>2806319</v>
      </c>
      <c r="F183" s="38"/>
      <c r="G183" s="38" t="s">
        <v>184</v>
      </c>
      <c r="H183" s="85">
        <f>+H172</f>
        <v>9.8884045153948899E-2</v>
      </c>
      <c r="I183" s="38"/>
      <c r="J183" s="38">
        <f>+H183*E183</f>
        <v>277500.1747123847</v>
      </c>
      <c r="K183" s="38"/>
      <c r="L183" s="87"/>
    </row>
    <row r="184" spans="1:12" ht="16.5" thickBot="1">
      <c r="A184" s="10">
        <v>11</v>
      </c>
      <c r="C184" s="37" t="str">
        <f>+C176</f>
        <v xml:space="preserve">  Common</v>
      </c>
      <c r="D184" s="38" t="s">
        <v>246</v>
      </c>
      <c r="E184" s="86">
        <f>'Workpapers (Pages 6 and 7)'!E60*1000</f>
        <v>1873954</v>
      </c>
      <c r="F184" s="38"/>
      <c r="G184" s="38" t="s">
        <v>188</v>
      </c>
      <c r="H184" s="85">
        <f>+H176</f>
        <v>8.8184667537870742E-2</v>
      </c>
      <c r="I184" s="38"/>
      <c r="J184" s="62">
        <f>+H184*E184</f>
        <v>165254.01047126303</v>
      </c>
      <c r="K184" s="38"/>
      <c r="L184" s="87"/>
    </row>
    <row r="185" spans="1:12">
      <c r="A185" s="11">
        <v>12</v>
      </c>
      <c r="B185" s="44"/>
      <c r="C185" s="43" t="s">
        <v>82</v>
      </c>
      <c r="D185" s="41"/>
      <c r="E185" s="41">
        <f>SUM(E181:E184)</f>
        <v>14591707</v>
      </c>
      <c r="F185" s="41"/>
      <c r="G185" s="41"/>
      <c r="H185" s="41"/>
      <c r="I185" s="41"/>
      <c r="J185" s="41">
        <f>SUM(J181:J184)</f>
        <v>10354188.185183648</v>
      </c>
      <c r="K185" s="38"/>
      <c r="L185" s="41"/>
    </row>
    <row r="186" spans="1:12">
      <c r="A186" s="10"/>
      <c r="C186" s="37"/>
      <c r="D186" s="38"/>
      <c r="E186" s="38"/>
      <c r="F186" s="38"/>
      <c r="G186" s="38"/>
      <c r="H186" s="38"/>
      <c r="I186" s="38"/>
      <c r="J186" s="38"/>
      <c r="K186" s="38"/>
      <c r="L186" s="41"/>
    </row>
    <row r="187" spans="1:12">
      <c r="A187" s="10" t="s">
        <v>272</v>
      </c>
      <c r="C187" s="37" t="s">
        <v>159</v>
      </c>
      <c r="E187" s="38"/>
      <c r="F187" s="38"/>
      <c r="G187" s="38"/>
      <c r="H187" s="38"/>
      <c r="I187" s="38"/>
      <c r="J187" s="38"/>
      <c r="K187" s="38"/>
      <c r="L187" s="41"/>
    </row>
    <row r="188" spans="1:12">
      <c r="A188" s="10"/>
      <c r="C188" s="37" t="s">
        <v>191</v>
      </c>
      <c r="F188" s="38"/>
      <c r="G188" s="38"/>
      <c r="I188" s="38"/>
      <c r="K188" s="38"/>
      <c r="L188" s="87"/>
    </row>
    <row r="189" spans="1:12">
      <c r="A189" s="10">
        <v>13</v>
      </c>
      <c r="C189" s="37" t="s">
        <v>192</v>
      </c>
      <c r="D189" s="38" t="s">
        <v>28</v>
      </c>
      <c r="E189" s="61">
        <v>0</v>
      </c>
      <c r="F189" s="38"/>
      <c r="G189" s="38" t="s">
        <v>184</v>
      </c>
      <c r="H189" s="59">
        <f>+H183</f>
        <v>9.8884045153948899E-2</v>
      </c>
      <c r="I189" s="38"/>
      <c r="J189" s="38">
        <f>+H189*E189</f>
        <v>0</v>
      </c>
      <c r="K189" s="38"/>
      <c r="L189" s="87"/>
    </row>
    <row r="190" spans="1:12">
      <c r="A190" s="10">
        <v>14</v>
      </c>
      <c r="C190" s="37" t="s">
        <v>258</v>
      </c>
      <c r="D190" s="38" t="str">
        <f>+D189</f>
        <v>263.i</v>
      </c>
      <c r="E190" s="61">
        <v>0</v>
      </c>
      <c r="F190" s="38"/>
      <c r="G190" s="38" t="str">
        <f>+G189</f>
        <v>W/S</v>
      </c>
      <c r="H190" s="59">
        <f>+H189</f>
        <v>9.8884045153948899E-2</v>
      </c>
      <c r="I190" s="38"/>
      <c r="J190" s="38">
        <f>+H190*E190</f>
        <v>0</v>
      </c>
      <c r="K190" s="38"/>
      <c r="L190" s="87"/>
    </row>
    <row r="191" spans="1:12">
      <c r="A191" s="10">
        <v>15</v>
      </c>
      <c r="C191" s="37" t="s">
        <v>259</v>
      </c>
      <c r="D191" s="38" t="s">
        <v>272</v>
      </c>
      <c r="F191" s="38"/>
      <c r="G191" s="38"/>
      <c r="I191" s="38"/>
      <c r="K191" s="38"/>
      <c r="L191" s="87"/>
    </row>
    <row r="192" spans="1:12">
      <c r="A192" s="10">
        <v>16</v>
      </c>
      <c r="C192" s="37" t="s">
        <v>292</v>
      </c>
      <c r="D192" s="38" t="s">
        <v>28</v>
      </c>
      <c r="E192" s="61">
        <f>+'Workpapers (Pages 6 and 7)'!E70*1000</f>
        <v>9483054</v>
      </c>
      <c r="F192" s="38"/>
      <c r="G192" s="38" t="s">
        <v>190</v>
      </c>
      <c r="H192" s="59">
        <f>+H96</f>
        <v>0.17217006840928051</v>
      </c>
      <c r="I192" s="38"/>
      <c r="J192" s="38">
        <f>+H192*E192</f>
        <v>1632698.0559089012</v>
      </c>
      <c r="K192" s="38"/>
      <c r="L192" s="87"/>
    </row>
    <row r="193" spans="1:12">
      <c r="A193" s="10">
        <v>17</v>
      </c>
      <c r="C193" s="37" t="s">
        <v>293</v>
      </c>
      <c r="D193" s="38" t="s">
        <v>28</v>
      </c>
      <c r="E193" s="61">
        <f>+'Workpapers (Pages 6 and 7)'!F68*1000</f>
        <v>7107000</v>
      </c>
      <c r="F193" s="38"/>
      <c r="G193" s="41" t="str">
        <f>+G119</f>
        <v>NA</v>
      </c>
      <c r="H193" s="97" t="s">
        <v>294</v>
      </c>
      <c r="I193" s="38"/>
      <c r="J193" s="38">
        <v>0</v>
      </c>
      <c r="K193" s="38"/>
      <c r="L193" s="87"/>
    </row>
    <row r="194" spans="1:12">
      <c r="A194" s="10">
        <v>18</v>
      </c>
      <c r="C194" s="37" t="s">
        <v>295</v>
      </c>
      <c r="D194" s="38" t="str">
        <f>+D193</f>
        <v>263.i</v>
      </c>
      <c r="E194" s="61">
        <v>0</v>
      </c>
      <c r="F194" s="38"/>
      <c r="G194" s="38" t="str">
        <f>+G192</f>
        <v>GP</v>
      </c>
      <c r="H194" s="59">
        <f>+H192</f>
        <v>0.17217006840928051</v>
      </c>
      <c r="I194" s="38"/>
      <c r="J194" s="38">
        <f>+H194*E194</f>
        <v>0</v>
      </c>
      <c r="K194" s="38"/>
      <c r="L194" s="87"/>
    </row>
    <row r="195" spans="1:12" ht="16.5" thickBot="1">
      <c r="A195" s="10">
        <v>19</v>
      </c>
      <c r="C195" s="37" t="s">
        <v>296</v>
      </c>
      <c r="D195" s="38"/>
      <c r="E195" s="86">
        <v>0</v>
      </c>
      <c r="F195" s="38"/>
      <c r="G195" s="38" t="s">
        <v>190</v>
      </c>
      <c r="H195" s="59">
        <f>+H192</f>
        <v>0.17217006840928051</v>
      </c>
      <c r="I195" s="38"/>
      <c r="J195" s="62">
        <f>+H195*E195</f>
        <v>0</v>
      </c>
      <c r="K195" s="38"/>
      <c r="L195" s="87"/>
    </row>
    <row r="196" spans="1:12">
      <c r="A196" s="10">
        <v>20</v>
      </c>
      <c r="C196" s="37" t="s">
        <v>297</v>
      </c>
      <c r="D196" s="38"/>
      <c r="E196" s="38">
        <f>SUM(E189:E195)</f>
        <v>16590054</v>
      </c>
      <c r="F196" s="38"/>
      <c r="G196" s="38"/>
      <c r="H196" s="59"/>
      <c r="I196" s="38"/>
      <c r="J196" s="38">
        <f>SUM(J189:J195)</f>
        <v>1632698.0559089012</v>
      </c>
      <c r="K196" s="38"/>
      <c r="L196" s="41"/>
    </row>
    <row r="197" spans="1:12">
      <c r="A197" s="10"/>
      <c r="C197" s="37"/>
      <c r="D197" s="38"/>
      <c r="E197" s="38"/>
      <c r="F197" s="38"/>
      <c r="G197" s="38"/>
      <c r="H197" s="59"/>
      <c r="I197" s="38"/>
      <c r="J197" s="38"/>
      <c r="K197" s="38"/>
      <c r="L197" s="41"/>
    </row>
    <row r="198" spans="1:12">
      <c r="A198" s="10" t="s">
        <v>160</v>
      </c>
      <c r="C198" s="37"/>
      <c r="D198" s="38"/>
      <c r="E198" s="38"/>
      <c r="F198" s="38"/>
      <c r="G198" s="38"/>
      <c r="H198" s="59"/>
      <c r="I198" s="38"/>
      <c r="J198" s="38"/>
      <c r="K198" s="38"/>
      <c r="L198" s="41"/>
    </row>
    <row r="199" spans="1:12">
      <c r="A199" s="10" t="s">
        <v>272</v>
      </c>
      <c r="C199" s="37" t="s">
        <v>288</v>
      </c>
      <c r="D199" s="38" t="s">
        <v>289</v>
      </c>
      <c r="E199" s="38"/>
      <c r="F199" s="38"/>
      <c r="H199" s="98"/>
      <c r="I199" s="38"/>
      <c r="K199" s="38"/>
    </row>
    <row r="200" spans="1:12">
      <c r="A200" s="10">
        <v>21</v>
      </c>
      <c r="C200" s="99" t="s">
        <v>290</v>
      </c>
      <c r="D200" s="38"/>
      <c r="E200" s="100">
        <f>IF(E351&gt;0,1-(((1-E352)*(1-E351))/(1-E352*E351*E353)),0)</f>
        <v>0.38981250000000001</v>
      </c>
      <c r="F200" s="38"/>
      <c r="H200" s="98"/>
      <c r="I200" s="38"/>
      <c r="K200" s="38"/>
    </row>
    <row r="201" spans="1:12">
      <c r="A201" s="10">
        <v>22</v>
      </c>
      <c r="C201" s="21" t="s">
        <v>291</v>
      </c>
      <c r="D201" s="38"/>
      <c r="E201" s="100">
        <f>IF(J293&gt;0,(E200/(1-E200))*(1-J290/J293),0)</f>
        <v>0.47655370313688955</v>
      </c>
      <c r="F201" s="38"/>
      <c r="H201" s="98"/>
      <c r="I201" s="38"/>
      <c r="K201" s="38"/>
    </row>
    <row r="202" spans="1:12">
      <c r="A202" s="10"/>
      <c r="C202" s="37" t="s">
        <v>543</v>
      </c>
      <c r="D202" s="38"/>
      <c r="E202" s="38"/>
      <c r="F202" s="38"/>
      <c r="H202" s="98"/>
      <c r="I202" s="38"/>
      <c r="K202" s="38"/>
    </row>
    <row r="203" spans="1:12">
      <c r="A203" s="10"/>
      <c r="C203" s="37" t="s">
        <v>118</v>
      </c>
      <c r="D203" s="38"/>
      <c r="E203" s="38"/>
      <c r="F203" s="38"/>
      <c r="H203" s="98"/>
      <c r="I203" s="38"/>
      <c r="K203" s="38"/>
    </row>
    <row r="204" spans="1:12">
      <c r="A204" s="10">
        <v>23</v>
      </c>
      <c r="C204" s="99" t="s">
        <v>119</v>
      </c>
      <c r="D204" s="38"/>
      <c r="E204" s="101">
        <f>IF(E200&gt;0,1/(1-E200),0)</f>
        <v>1.6388405203318652</v>
      </c>
      <c r="F204" s="38"/>
      <c r="H204" s="98"/>
      <c r="I204" s="38"/>
      <c r="K204" s="38"/>
    </row>
    <row r="205" spans="1:12">
      <c r="A205" s="10">
        <v>24</v>
      </c>
      <c r="C205" s="37" t="s">
        <v>120</v>
      </c>
      <c r="D205" s="38"/>
      <c r="E205" s="61">
        <f>-'Workpapers (Pages 6 and 7)'!E72*1000</f>
        <v>-399361</v>
      </c>
      <c r="F205" s="38"/>
      <c r="H205" s="98"/>
      <c r="I205" s="38"/>
      <c r="K205" s="38"/>
    </row>
    <row r="206" spans="1:12">
      <c r="A206" s="10"/>
      <c r="C206" s="37"/>
      <c r="D206" s="38"/>
      <c r="E206" s="38"/>
      <c r="F206" s="38"/>
      <c r="H206" s="98"/>
      <c r="I206" s="38"/>
      <c r="K206" s="38"/>
    </row>
    <row r="207" spans="1:12">
      <c r="A207" s="10">
        <v>25</v>
      </c>
      <c r="C207" s="99" t="s">
        <v>121</v>
      </c>
      <c r="D207" s="102"/>
      <c r="E207" s="38">
        <f>E201*E211</f>
        <v>42633621.476461083</v>
      </c>
      <c r="F207" s="38"/>
      <c r="G207" s="38" t="s">
        <v>261</v>
      </c>
      <c r="H207" s="59"/>
      <c r="I207" s="38"/>
      <c r="J207" s="38">
        <f>E201*J211</f>
        <v>10528226.06362929</v>
      </c>
      <c r="K207" s="38"/>
      <c r="L207" s="103" t="s">
        <v>272</v>
      </c>
    </row>
    <row r="208" spans="1:12" ht="16.5" thickBot="1">
      <c r="A208" s="10">
        <v>26</v>
      </c>
      <c r="C208" s="21" t="s">
        <v>122</v>
      </c>
      <c r="D208" s="102"/>
      <c r="E208" s="161">
        <f>E204*E205</f>
        <v>-654488.98904025403</v>
      </c>
      <c r="F208" s="38"/>
      <c r="G208" s="21" t="s">
        <v>79</v>
      </c>
      <c r="H208" s="59">
        <f>H112</f>
        <v>0.2461889137949371</v>
      </c>
      <c r="I208" s="38"/>
      <c r="J208" s="161">
        <f>H208*E208</f>
        <v>-161127.93330256664</v>
      </c>
      <c r="K208" s="38"/>
      <c r="L208" s="103"/>
    </row>
    <row r="209" spans="1:12">
      <c r="A209" s="10">
        <v>27</v>
      </c>
      <c r="C209" s="104" t="s">
        <v>168</v>
      </c>
      <c r="D209" s="21" t="s">
        <v>169</v>
      </c>
      <c r="E209" s="42">
        <f>+E207+E208</f>
        <v>41979132.487420827</v>
      </c>
      <c r="F209" s="38"/>
      <c r="G209" s="38" t="s">
        <v>272</v>
      </c>
      <c r="H209" s="59" t="s">
        <v>272</v>
      </c>
      <c r="I209" s="38"/>
      <c r="J209" s="42">
        <f>+J207+J208</f>
        <v>10367098.130326724</v>
      </c>
      <c r="K209" s="38"/>
      <c r="L209" s="41"/>
    </row>
    <row r="210" spans="1:12">
      <c r="A210" s="10" t="s">
        <v>272</v>
      </c>
      <c r="D210" s="105"/>
      <c r="E210" s="38"/>
      <c r="F210" s="38"/>
      <c r="G210" s="38"/>
      <c r="H210" s="59"/>
      <c r="I210" s="38"/>
      <c r="J210" s="38"/>
      <c r="K210" s="38"/>
      <c r="L210" s="41"/>
    </row>
    <row r="211" spans="1:12">
      <c r="A211" s="10">
        <v>28</v>
      </c>
      <c r="C211" s="37" t="s">
        <v>170</v>
      </c>
      <c r="D211" s="40"/>
      <c r="E211" s="38">
        <f>+$J293*E135</f>
        <v>89462365.302855745</v>
      </c>
      <c r="F211" s="38"/>
      <c r="G211" s="38" t="s">
        <v>261</v>
      </c>
      <c r="H211" s="98"/>
      <c r="I211" s="38"/>
      <c r="J211" s="38">
        <f>+$J293*J135</f>
        <v>22092423.150481883</v>
      </c>
      <c r="K211" s="38"/>
    </row>
    <row r="212" spans="1:12">
      <c r="A212" s="10"/>
      <c r="C212" s="104" t="s">
        <v>61</v>
      </c>
      <c r="E212" s="38"/>
      <c r="F212" s="38"/>
      <c r="G212" s="38"/>
      <c r="H212" s="98"/>
      <c r="I212" s="38"/>
      <c r="J212" s="38"/>
      <c r="K212" s="38"/>
      <c r="L212" s="87"/>
    </row>
    <row r="213" spans="1:12">
      <c r="A213" s="10"/>
      <c r="C213" s="37"/>
      <c r="E213" s="39"/>
      <c r="F213" s="38"/>
      <c r="G213" s="38"/>
      <c r="H213" s="98"/>
      <c r="I213" s="38"/>
      <c r="J213" s="39"/>
      <c r="K213" s="38"/>
      <c r="L213" s="87"/>
    </row>
    <row r="214" spans="1:12">
      <c r="A214" s="10">
        <v>29</v>
      </c>
      <c r="C214" s="37" t="s">
        <v>62</v>
      </c>
      <c r="D214" s="38"/>
      <c r="E214" s="39">
        <f>+E211+E209+E196+E185+E178</f>
        <v>207491819.15703359</v>
      </c>
      <c r="F214" s="38"/>
      <c r="G214" s="38"/>
      <c r="H214" s="38"/>
      <c r="I214" s="38"/>
      <c r="J214" s="39">
        <f>+J211+J209+J196+J185+J178</f>
        <v>51231887.727973461</v>
      </c>
      <c r="K214" s="49"/>
      <c r="L214" s="51"/>
    </row>
    <row r="215" spans="1:12">
      <c r="A215" s="10"/>
      <c r="C215" s="37"/>
      <c r="D215" s="38"/>
      <c r="E215" s="39"/>
      <c r="F215" s="38"/>
      <c r="G215" s="38"/>
      <c r="H215" s="38"/>
      <c r="I215" s="38"/>
      <c r="J215" s="39"/>
      <c r="K215" s="49"/>
      <c r="L215" s="51"/>
    </row>
    <row r="216" spans="1:12">
      <c r="A216" s="10">
        <v>30</v>
      </c>
      <c r="C216" s="37" t="s">
        <v>372</v>
      </c>
      <c r="D216" s="38"/>
      <c r="E216" s="39"/>
      <c r="F216" s="38"/>
      <c r="G216" s="38"/>
      <c r="H216" s="38"/>
      <c r="I216" s="38"/>
      <c r="J216" s="39"/>
      <c r="K216" s="49"/>
      <c r="L216" s="51"/>
    </row>
    <row r="217" spans="1:12">
      <c r="A217" s="10"/>
      <c r="C217" s="37" t="s">
        <v>363</v>
      </c>
      <c r="D217" s="38"/>
      <c r="E217" s="39"/>
      <c r="F217" s="38"/>
      <c r="G217" s="38"/>
      <c r="H217" s="38"/>
      <c r="I217" s="38"/>
      <c r="J217" s="39"/>
      <c r="K217" s="49"/>
      <c r="L217" s="51"/>
    </row>
    <row r="218" spans="1:12">
      <c r="A218" s="10"/>
      <c r="C218" s="37" t="s">
        <v>364</v>
      </c>
      <c r="D218" s="38"/>
      <c r="E218" s="192">
        <v>19044923</v>
      </c>
      <c r="F218" s="38"/>
      <c r="G218" s="38"/>
      <c r="H218" s="38"/>
      <c r="I218" s="38"/>
      <c r="J218" s="192">
        <f>E218</f>
        <v>19044923</v>
      </c>
      <c r="K218" s="49"/>
      <c r="L218" s="51"/>
    </row>
    <row r="219" spans="1:12">
      <c r="A219" s="10"/>
      <c r="C219" s="37"/>
      <c r="D219" s="38"/>
      <c r="E219" s="39"/>
      <c r="F219" s="38"/>
      <c r="G219" s="38"/>
      <c r="H219" s="38"/>
      <c r="I219" s="38"/>
      <c r="J219" s="39"/>
      <c r="K219" s="49"/>
      <c r="L219" s="51"/>
    </row>
    <row r="220" spans="1:12">
      <c r="A220" s="10" t="s">
        <v>376</v>
      </c>
      <c r="C220" s="37" t="s">
        <v>661</v>
      </c>
      <c r="D220" s="38"/>
      <c r="E220" s="39"/>
      <c r="F220" s="38"/>
      <c r="G220" s="38"/>
      <c r="H220" s="38"/>
      <c r="I220" s="38"/>
      <c r="J220" s="39"/>
      <c r="K220" s="49"/>
      <c r="L220" s="51"/>
    </row>
    <row r="221" spans="1:12">
      <c r="A221" s="10"/>
      <c r="C221" s="37" t="s">
        <v>363</v>
      </c>
      <c r="D221" s="38"/>
      <c r="E221" s="39"/>
      <c r="F221" s="38"/>
      <c r="G221" s="38"/>
      <c r="H221" s="38"/>
      <c r="I221" s="38"/>
      <c r="J221" s="39"/>
      <c r="K221" s="49"/>
      <c r="L221" s="51"/>
    </row>
    <row r="222" spans="1:12">
      <c r="A222" s="10"/>
      <c r="C222" s="37" t="s">
        <v>377</v>
      </c>
      <c r="D222" s="38"/>
      <c r="E222" s="190">
        <v>0</v>
      </c>
      <c r="F222" s="38"/>
      <c r="G222" s="38"/>
      <c r="H222" s="38"/>
      <c r="I222" s="38"/>
      <c r="J222" s="190">
        <f>E222</f>
        <v>0</v>
      </c>
      <c r="K222" s="49"/>
      <c r="L222" s="51"/>
    </row>
    <row r="223" spans="1:12" ht="19.5" customHeight="1" thickBot="1">
      <c r="A223" s="10">
        <v>31</v>
      </c>
      <c r="C223" s="37" t="s">
        <v>365</v>
      </c>
      <c r="D223" s="38"/>
      <c r="E223" s="191">
        <f>E214-E218-E222</f>
        <v>188446896.15703359</v>
      </c>
      <c r="F223" s="38"/>
      <c r="G223" s="38"/>
      <c r="H223" s="38"/>
      <c r="I223" s="38"/>
      <c r="J223" s="191">
        <f>J214-J218-J222</f>
        <v>32186964.727973461</v>
      </c>
      <c r="K223" s="49"/>
      <c r="L223" s="51"/>
    </row>
    <row r="224" spans="1:12" ht="16.5" thickTop="1">
      <c r="A224" s="10"/>
      <c r="C224" s="37" t="s">
        <v>378</v>
      </c>
      <c r="D224" s="38"/>
      <c r="E224" s="39"/>
      <c r="F224" s="38"/>
      <c r="G224" s="38"/>
      <c r="H224" s="38"/>
      <c r="I224" s="38"/>
      <c r="J224" s="39"/>
      <c r="K224" s="49"/>
      <c r="L224" s="51"/>
    </row>
    <row r="225" spans="1:12">
      <c r="A225" s="10"/>
      <c r="C225" s="37"/>
      <c r="D225" s="38"/>
      <c r="E225" s="39"/>
      <c r="F225" s="38"/>
      <c r="G225" s="38"/>
      <c r="H225" s="38"/>
      <c r="I225" s="38"/>
      <c r="J225" s="39"/>
      <c r="K225" s="49"/>
      <c r="L225" s="51"/>
    </row>
    <row r="226" spans="1:12">
      <c r="A226" s="10"/>
      <c r="C226" s="37"/>
      <c r="D226" s="38"/>
      <c r="E226" s="39"/>
      <c r="F226" s="38"/>
      <c r="G226" s="38"/>
      <c r="H226" s="38"/>
      <c r="I226" s="38"/>
      <c r="J226" s="39"/>
      <c r="K226" s="49"/>
      <c r="L226" s="51"/>
    </row>
    <row r="227" spans="1:12">
      <c r="A227" s="10"/>
      <c r="C227" s="37"/>
      <c r="D227" s="38"/>
      <c r="E227" s="39"/>
      <c r="F227" s="38"/>
      <c r="G227" s="38"/>
      <c r="H227" s="38"/>
      <c r="I227" s="38"/>
      <c r="J227" s="39"/>
      <c r="K227" s="49"/>
      <c r="L227" s="51"/>
    </row>
    <row r="228" spans="1:12">
      <c r="A228" s="10"/>
      <c r="C228" s="37"/>
      <c r="D228" s="38"/>
      <c r="E228" s="39"/>
      <c r="F228" s="38"/>
      <c r="G228" s="38"/>
      <c r="H228" s="38"/>
      <c r="I228" s="38"/>
      <c r="J228" s="39"/>
      <c r="K228" s="49"/>
      <c r="L228" s="51"/>
    </row>
    <row r="229" spans="1:12">
      <c r="A229" s="10"/>
      <c r="C229" s="37"/>
      <c r="D229" s="38"/>
      <c r="E229" s="39"/>
      <c r="F229" s="38"/>
      <c r="G229" s="38"/>
      <c r="H229" s="38"/>
      <c r="I229" s="38"/>
      <c r="J229" s="39"/>
      <c r="K229" s="49"/>
      <c r="L229" s="51"/>
    </row>
    <row r="230" spans="1:12">
      <c r="A230" s="10"/>
      <c r="C230" s="37"/>
      <c r="D230" s="38"/>
      <c r="E230" s="39"/>
      <c r="F230" s="38"/>
      <c r="G230" s="38"/>
      <c r="H230" s="38"/>
      <c r="I230" s="38"/>
      <c r="J230" s="39"/>
      <c r="K230" s="49"/>
      <c r="L230" s="51"/>
    </row>
    <row r="231" spans="1:12">
      <c r="A231" s="10"/>
      <c r="C231" s="37"/>
      <c r="D231" s="38"/>
      <c r="E231" s="39"/>
      <c r="F231" s="38"/>
      <c r="G231" s="38"/>
      <c r="H231" s="38"/>
      <c r="I231" s="38"/>
      <c r="J231" s="39"/>
      <c r="K231" s="49"/>
      <c r="L231" s="51"/>
    </row>
    <row r="232" spans="1:12">
      <c r="A232" s="10"/>
      <c r="C232" s="37"/>
      <c r="D232" s="38"/>
      <c r="E232" s="39"/>
      <c r="F232" s="38"/>
      <c r="G232" s="38"/>
      <c r="H232" s="38"/>
      <c r="I232" s="38"/>
      <c r="J232" s="39"/>
      <c r="K232" s="49"/>
      <c r="L232" s="51"/>
    </row>
    <row r="233" spans="1:12">
      <c r="A233" s="10"/>
      <c r="C233" s="37"/>
      <c r="D233" s="38"/>
      <c r="E233" s="39"/>
      <c r="F233" s="38"/>
      <c r="G233" s="38"/>
      <c r="H233" s="38"/>
      <c r="I233" s="38"/>
      <c r="J233" s="39"/>
      <c r="K233" s="49"/>
      <c r="L233" s="51"/>
    </row>
    <row r="234" spans="1:12">
      <c r="A234" s="10"/>
      <c r="C234" s="37"/>
      <c r="D234" s="38"/>
      <c r="E234" s="39"/>
      <c r="F234" s="38"/>
      <c r="G234" s="38"/>
      <c r="H234" s="38"/>
      <c r="I234" s="38"/>
      <c r="J234" s="39"/>
      <c r="K234" s="49"/>
      <c r="L234" s="51"/>
    </row>
    <row r="235" spans="1:12">
      <c r="A235" s="10"/>
      <c r="C235" s="37"/>
      <c r="D235" s="38"/>
      <c r="E235" s="39"/>
      <c r="F235" s="38"/>
      <c r="G235" s="38"/>
      <c r="H235" s="38"/>
      <c r="I235" s="38"/>
      <c r="J235" s="39"/>
      <c r="K235" s="49"/>
      <c r="L235" s="51"/>
    </row>
    <row r="236" spans="1:12">
      <c r="C236" s="36"/>
      <c r="D236" s="36"/>
      <c r="E236" s="47"/>
      <c r="F236" s="36"/>
      <c r="G236" s="36"/>
      <c r="H236" s="36"/>
      <c r="I236" s="48"/>
      <c r="J236" s="48"/>
      <c r="K236" s="49"/>
      <c r="L236" s="50" t="s">
        <v>63</v>
      </c>
    </row>
    <row r="237" spans="1:12">
      <c r="C237" s="36"/>
      <c r="D237" s="36"/>
      <c r="E237" s="47"/>
      <c r="F237" s="36"/>
      <c r="G237" s="36"/>
      <c r="H237" s="36"/>
      <c r="I237" s="48"/>
      <c r="J237" s="48"/>
      <c r="K237" s="49"/>
      <c r="L237" s="50"/>
    </row>
    <row r="238" spans="1:12">
      <c r="C238" s="36" t="s">
        <v>205</v>
      </c>
      <c r="D238" s="36"/>
      <c r="E238" s="47" t="s">
        <v>271</v>
      </c>
      <c r="F238" s="36"/>
      <c r="G238" s="36"/>
      <c r="H238" s="36"/>
      <c r="I238" s="48"/>
      <c r="J238" s="52" t="str">
        <f>J3</f>
        <v>For the 12 months ended 12/31/17</v>
      </c>
      <c r="K238" s="53"/>
      <c r="L238" s="53"/>
    </row>
    <row r="239" spans="1:12">
      <c r="C239" s="36"/>
      <c r="D239" s="38" t="s">
        <v>272</v>
      </c>
      <c r="E239" s="38" t="s">
        <v>227</v>
      </c>
      <c r="F239" s="38"/>
      <c r="G239" s="38"/>
      <c r="H239" s="38"/>
      <c r="I239" s="48"/>
      <c r="J239" s="48"/>
      <c r="K239" s="49"/>
      <c r="L239" s="51"/>
    </row>
    <row r="240" spans="1:12">
      <c r="A240" s="10"/>
      <c r="K240" s="38"/>
      <c r="L240" s="41"/>
    </row>
    <row r="241" spans="1:12">
      <c r="A241" s="10"/>
      <c r="E241" s="160" t="str">
        <f>E6</f>
        <v>VECTREN</v>
      </c>
      <c r="K241" s="38"/>
      <c r="L241" s="41"/>
    </row>
    <row r="242" spans="1:12">
      <c r="A242" s="10"/>
      <c r="D242" s="84" t="s">
        <v>52</v>
      </c>
      <c r="F242" s="49"/>
      <c r="G242" s="49"/>
      <c r="H242" s="49"/>
      <c r="I242" s="49"/>
      <c r="J242" s="49"/>
      <c r="K242" s="38"/>
      <c r="L242" s="41"/>
    </row>
    <row r="243" spans="1:12">
      <c r="A243" s="10" t="s">
        <v>273</v>
      </c>
      <c r="C243" s="84"/>
      <c r="D243" s="49"/>
      <c r="E243" s="49"/>
      <c r="F243" s="49"/>
      <c r="G243" s="49"/>
      <c r="H243" s="49"/>
      <c r="I243" s="49"/>
      <c r="J243" s="49"/>
      <c r="K243" s="38"/>
      <c r="L243" s="41"/>
    </row>
    <row r="244" spans="1:12" ht="16.5" thickBot="1">
      <c r="A244" s="55" t="s">
        <v>274</v>
      </c>
      <c r="C244" s="106" t="s">
        <v>15</v>
      </c>
      <c r="D244" s="51"/>
      <c r="E244" s="51"/>
      <c r="F244" s="51"/>
      <c r="G244" s="51"/>
      <c r="H244" s="51"/>
      <c r="I244" s="44"/>
      <c r="J244" s="44"/>
      <c r="K244" s="41"/>
      <c r="L244" s="41"/>
    </row>
    <row r="245" spans="1:12">
      <c r="A245" s="10"/>
      <c r="C245" s="106"/>
      <c r="D245" s="51"/>
      <c r="E245" s="51"/>
      <c r="F245" s="51"/>
      <c r="G245" s="51"/>
      <c r="H245" s="51"/>
      <c r="I245" s="51"/>
      <c r="J245" s="51"/>
      <c r="K245" s="41"/>
      <c r="L245" s="41"/>
    </row>
    <row r="246" spans="1:12">
      <c r="A246" s="10">
        <v>1</v>
      </c>
      <c r="C246" s="65" t="s">
        <v>171</v>
      </c>
      <c r="D246" s="51"/>
      <c r="E246" s="41"/>
      <c r="F246" s="41"/>
      <c r="G246" s="41"/>
      <c r="H246" s="41"/>
      <c r="I246" s="41"/>
      <c r="J246" s="41">
        <f>E92</f>
        <v>477626042.65037018</v>
      </c>
      <c r="K246" s="41"/>
      <c r="L246" s="41"/>
    </row>
    <row r="247" spans="1:12">
      <c r="A247" s="10">
        <v>2</v>
      </c>
      <c r="C247" s="65" t="s">
        <v>172</v>
      </c>
      <c r="D247" s="44"/>
      <c r="E247" s="44"/>
      <c r="F247" s="44"/>
      <c r="G247" s="44"/>
      <c r="H247" s="44"/>
      <c r="I247" s="44"/>
      <c r="J247" s="61">
        <v>0</v>
      </c>
      <c r="K247" s="41"/>
      <c r="L247" s="41"/>
    </row>
    <row r="248" spans="1:12" ht="16.5" thickBot="1">
      <c r="A248" s="10">
        <v>3</v>
      </c>
      <c r="C248" s="107" t="s">
        <v>202</v>
      </c>
      <c r="D248" s="108"/>
      <c r="E248" s="109"/>
      <c r="F248" s="41"/>
      <c r="G248" s="41"/>
      <c r="H248" s="110"/>
      <c r="I248" s="41"/>
      <c r="J248" s="86">
        <v>0</v>
      </c>
      <c r="K248" s="41"/>
      <c r="L248" s="41"/>
    </row>
    <row r="249" spans="1:12">
      <c r="A249" s="10">
        <v>4</v>
      </c>
      <c r="C249" s="65" t="s">
        <v>203</v>
      </c>
      <c r="D249" s="51"/>
      <c r="E249" s="41"/>
      <c r="F249" s="41"/>
      <c r="G249" s="41"/>
      <c r="H249" s="110"/>
      <c r="I249" s="41"/>
      <c r="J249" s="41">
        <f>J246-J247-J248</f>
        <v>477626042.65037018</v>
      </c>
      <c r="K249" s="41"/>
      <c r="L249" s="41"/>
    </row>
    <row r="250" spans="1:12">
      <c r="A250" s="10"/>
      <c r="C250" s="44"/>
      <c r="D250" s="51"/>
      <c r="E250" s="41"/>
      <c r="F250" s="41"/>
      <c r="G250" s="41"/>
      <c r="H250" s="110"/>
      <c r="I250" s="41"/>
      <c r="J250" s="44"/>
      <c r="K250" s="41"/>
      <c r="L250" s="41"/>
    </row>
    <row r="251" spans="1:12">
      <c r="A251" s="10">
        <v>5</v>
      </c>
      <c r="C251" s="65" t="s">
        <v>204</v>
      </c>
      <c r="D251" s="111"/>
      <c r="E251" s="112"/>
      <c r="F251" s="112"/>
      <c r="G251" s="112"/>
      <c r="H251" s="113"/>
      <c r="I251" s="41" t="s">
        <v>16</v>
      </c>
      <c r="J251" s="88">
        <f>IF(J246&gt;0,J249/J246,0)</f>
        <v>1</v>
      </c>
      <c r="K251" s="41"/>
      <c r="L251" s="41"/>
    </row>
    <row r="252" spans="1:12">
      <c r="A252" s="10"/>
      <c r="C252" s="44"/>
      <c r="D252" s="44"/>
      <c r="E252" s="44"/>
      <c r="F252" s="44"/>
      <c r="G252" s="44"/>
      <c r="H252" s="44"/>
      <c r="I252" s="44"/>
      <c r="J252" s="44"/>
      <c r="K252" s="41"/>
      <c r="L252" s="41"/>
    </row>
    <row r="253" spans="1:12">
      <c r="A253" s="10"/>
      <c r="C253" s="43" t="s">
        <v>17</v>
      </c>
      <c r="D253" s="44"/>
      <c r="E253" s="44"/>
      <c r="F253" s="44"/>
      <c r="G253" s="44"/>
      <c r="H253" s="44"/>
      <c r="I253" s="44"/>
      <c r="J253" s="44"/>
      <c r="K253" s="41"/>
      <c r="L253" s="41"/>
    </row>
    <row r="254" spans="1:12">
      <c r="A254" s="10"/>
      <c r="C254" s="44"/>
      <c r="D254" s="44"/>
      <c r="E254" s="44"/>
      <c r="F254" s="44"/>
      <c r="G254" s="44"/>
      <c r="H254" s="44"/>
      <c r="I254" s="44"/>
      <c r="J254" s="44"/>
      <c r="K254" s="41"/>
      <c r="L254" s="41"/>
    </row>
    <row r="255" spans="1:12">
      <c r="A255" s="10">
        <v>6</v>
      </c>
      <c r="C255" s="44" t="s">
        <v>114</v>
      </c>
      <c r="D255" s="44"/>
      <c r="E255" s="51"/>
      <c r="F255" s="51"/>
      <c r="G255" s="51"/>
      <c r="H255" s="79"/>
      <c r="I255" s="51"/>
      <c r="J255" s="41">
        <f>E169</f>
        <v>22285812.099999998</v>
      </c>
      <c r="K255" s="41"/>
      <c r="L255" s="41"/>
    </row>
    <row r="256" spans="1:12" ht="16.5" thickBot="1">
      <c r="A256" s="10">
        <v>7</v>
      </c>
      <c r="C256" s="107" t="s">
        <v>115</v>
      </c>
      <c r="D256" s="108"/>
      <c r="E256" s="109"/>
      <c r="F256" s="109"/>
      <c r="G256" s="41"/>
      <c r="H256" s="41"/>
      <c r="I256" s="41"/>
      <c r="J256" s="86">
        <f>('Workpapers (Pages 6 and 7)'!E8+'Workpapers (Pages 6 and 7)'!E9+'Workpapers (Pages 6 and 7)'!E10)*1000</f>
        <v>3146022.2700000005</v>
      </c>
      <c r="K256" s="41"/>
      <c r="L256" s="41"/>
    </row>
    <row r="257" spans="1:12">
      <c r="A257" s="10">
        <v>8</v>
      </c>
      <c r="C257" s="65" t="s">
        <v>64</v>
      </c>
      <c r="D257" s="111"/>
      <c r="E257" s="112"/>
      <c r="F257" s="112"/>
      <c r="G257" s="112"/>
      <c r="H257" s="113"/>
      <c r="I257" s="112"/>
      <c r="J257" s="41">
        <f>+J255-J256</f>
        <v>19139789.829999998</v>
      </c>
      <c r="K257" s="44"/>
    </row>
    <row r="258" spans="1:12">
      <c r="A258" s="10"/>
      <c r="C258" s="65"/>
      <c r="D258" s="51"/>
      <c r="E258" s="41"/>
      <c r="F258" s="41"/>
      <c r="G258" s="41"/>
      <c r="H258" s="41"/>
      <c r="I258" s="44"/>
      <c r="J258" s="44"/>
      <c r="K258" s="44"/>
    </row>
    <row r="259" spans="1:12">
      <c r="A259" s="10">
        <v>9</v>
      </c>
      <c r="C259" s="65" t="s">
        <v>108</v>
      </c>
      <c r="D259" s="51"/>
      <c r="E259" s="41"/>
      <c r="F259" s="41"/>
      <c r="G259" s="41"/>
      <c r="H259" s="41"/>
      <c r="I259" s="41"/>
      <c r="J259" s="96">
        <f>IF(J255&gt;0,J257/J255,0)</f>
        <v>0.8588329536351067</v>
      </c>
      <c r="K259" s="44"/>
    </row>
    <row r="260" spans="1:12">
      <c r="A260" s="10">
        <v>10</v>
      </c>
      <c r="C260" s="65" t="s">
        <v>110</v>
      </c>
      <c r="D260" s="51"/>
      <c r="E260" s="41"/>
      <c r="F260" s="41"/>
      <c r="G260" s="41"/>
      <c r="H260" s="41"/>
      <c r="I260" s="51" t="s">
        <v>14</v>
      </c>
      <c r="J260" s="114">
        <f>J251</f>
        <v>1</v>
      </c>
      <c r="K260" s="44"/>
    </row>
    <row r="261" spans="1:12">
      <c r="A261" s="10">
        <v>11</v>
      </c>
      <c r="C261" s="65" t="s">
        <v>112</v>
      </c>
      <c r="D261" s="51"/>
      <c r="E261" s="51"/>
      <c r="F261" s="51"/>
      <c r="G261" s="51"/>
      <c r="H261" s="51"/>
      <c r="I261" s="51" t="s">
        <v>266</v>
      </c>
      <c r="J261" s="115">
        <f>+J260*J259</f>
        <v>0.8588329536351067</v>
      </c>
      <c r="K261" s="44"/>
    </row>
    <row r="262" spans="1:12">
      <c r="A262" s="10"/>
      <c r="D262" s="49"/>
      <c r="E262" s="38"/>
      <c r="F262" s="38"/>
      <c r="G262" s="38"/>
      <c r="H262" s="116"/>
      <c r="I262" s="38"/>
    </row>
    <row r="263" spans="1:12">
      <c r="A263" s="10" t="s">
        <v>272</v>
      </c>
      <c r="C263" s="37" t="s">
        <v>91</v>
      </c>
      <c r="D263" s="38"/>
      <c r="E263" s="38"/>
      <c r="F263" s="38"/>
      <c r="G263" s="38"/>
      <c r="H263" s="38"/>
      <c r="I263" s="38"/>
      <c r="J263" s="38"/>
      <c r="K263" s="38"/>
      <c r="L263" s="41"/>
    </row>
    <row r="264" spans="1:12" ht="16.5" thickBot="1">
      <c r="A264" s="10" t="s">
        <v>272</v>
      </c>
      <c r="C264" s="37"/>
      <c r="D264" s="62" t="s">
        <v>65</v>
      </c>
      <c r="E264" s="117" t="s">
        <v>267</v>
      </c>
      <c r="F264" s="117" t="s">
        <v>14</v>
      </c>
      <c r="G264" s="38"/>
      <c r="H264" s="117" t="s">
        <v>268</v>
      </c>
      <c r="I264" s="38"/>
      <c r="J264" s="38"/>
      <c r="K264" s="38"/>
      <c r="L264" s="41"/>
    </row>
    <row r="265" spans="1:12">
      <c r="A265" s="10">
        <v>12</v>
      </c>
      <c r="C265" s="37" t="s">
        <v>260</v>
      </c>
      <c r="D265" s="38" t="s">
        <v>66</v>
      </c>
      <c r="E265" s="61">
        <f>'Workpapers (Page 8)'!E7*1000</f>
        <v>18189862.840000004</v>
      </c>
      <c r="F265" s="118">
        <v>0</v>
      </c>
      <c r="G265" s="118"/>
      <c r="H265" s="38">
        <f>E265*F265</f>
        <v>0</v>
      </c>
      <c r="I265" s="38"/>
      <c r="J265" s="38"/>
      <c r="K265" s="38"/>
      <c r="L265" s="41"/>
    </row>
    <row r="266" spans="1:12">
      <c r="A266" s="10">
        <v>13</v>
      </c>
      <c r="C266" s="37" t="s">
        <v>13</v>
      </c>
      <c r="D266" s="38" t="s">
        <v>280</v>
      </c>
      <c r="E266" s="61">
        <f>'Workpapers (Page 8)'!E8*1000</f>
        <v>3156370.3</v>
      </c>
      <c r="F266" s="118">
        <f>+J251</f>
        <v>1</v>
      </c>
      <c r="G266" s="118"/>
      <c r="H266" s="38">
        <f>E266*F266</f>
        <v>3156370.3</v>
      </c>
      <c r="I266" s="38"/>
      <c r="J266" s="38"/>
      <c r="K266" s="38"/>
      <c r="L266" s="41"/>
    </row>
    <row r="267" spans="1:12">
      <c r="A267" s="10">
        <v>14</v>
      </c>
      <c r="C267" s="37" t="s">
        <v>262</v>
      </c>
      <c r="D267" s="38" t="s">
        <v>281</v>
      </c>
      <c r="E267" s="61">
        <f>'Workpapers (Page 8)'!E9*1000</f>
        <v>7484742.3929890022</v>
      </c>
      <c r="F267" s="118">
        <v>0</v>
      </c>
      <c r="G267" s="118"/>
      <c r="H267" s="38">
        <f>E267*F267</f>
        <v>0</v>
      </c>
      <c r="I267" s="38"/>
      <c r="J267" s="119" t="s">
        <v>269</v>
      </c>
      <c r="K267" s="38"/>
      <c r="L267" s="41"/>
    </row>
    <row r="268" spans="1:12" ht="16.5" thickBot="1">
      <c r="A268" s="10">
        <v>15</v>
      </c>
      <c r="C268" s="37" t="s">
        <v>124</v>
      </c>
      <c r="D268" s="38" t="s">
        <v>282</v>
      </c>
      <c r="E268" s="86">
        <f>'Workpapers (Page 8)'!E10*1000</f>
        <v>3088939.3034839984</v>
      </c>
      <c r="F268" s="118">
        <v>0</v>
      </c>
      <c r="G268" s="118"/>
      <c r="H268" s="62">
        <f>E268*F268</f>
        <v>0</v>
      </c>
      <c r="I268" s="38"/>
      <c r="J268" s="55" t="s">
        <v>125</v>
      </c>
      <c r="K268" s="38"/>
      <c r="L268" s="41"/>
    </row>
    <row r="269" spans="1:12">
      <c r="A269" s="10">
        <v>16</v>
      </c>
      <c r="C269" s="37" t="s">
        <v>67</v>
      </c>
      <c r="D269" s="38"/>
      <c r="E269" s="38">
        <f>SUM(E265:E268)</f>
        <v>31919914.836473003</v>
      </c>
      <c r="F269" s="38"/>
      <c r="G269" s="38"/>
      <c r="H269" s="38">
        <f>SUM(H265:H268)</f>
        <v>3156370.3</v>
      </c>
      <c r="I269" s="76" t="s">
        <v>126</v>
      </c>
      <c r="J269" s="85">
        <f>IF(H269&gt;0,H269/E269,0)</f>
        <v>9.8884045153948899E-2</v>
      </c>
      <c r="K269" s="116" t="s">
        <v>126</v>
      </c>
      <c r="L269" s="41" t="s">
        <v>68</v>
      </c>
    </row>
    <row r="270" spans="1:12">
      <c r="A270" s="10"/>
      <c r="C270" s="37"/>
      <c r="D270" s="38"/>
      <c r="E270" s="38"/>
      <c r="F270" s="38"/>
      <c r="G270" s="38"/>
      <c r="H270" s="38"/>
      <c r="I270" s="38"/>
      <c r="J270" s="38"/>
      <c r="K270" s="38"/>
      <c r="L270" s="41"/>
    </row>
    <row r="271" spans="1:12">
      <c r="A271" s="10"/>
      <c r="C271" s="37" t="s">
        <v>92</v>
      </c>
      <c r="D271" s="38"/>
      <c r="E271" s="38"/>
      <c r="F271" s="38"/>
      <c r="G271" s="38"/>
      <c r="H271" s="38"/>
      <c r="I271" s="38"/>
      <c r="J271" s="38"/>
      <c r="K271" s="38"/>
      <c r="L271" s="41"/>
    </row>
    <row r="272" spans="1:12">
      <c r="A272" s="10"/>
      <c r="C272" s="37"/>
      <c r="D272" s="38"/>
      <c r="E272" s="80" t="s">
        <v>267</v>
      </c>
      <c r="F272" s="38"/>
      <c r="G272" s="38"/>
      <c r="H272" s="116" t="s">
        <v>127</v>
      </c>
      <c r="I272" s="98" t="s">
        <v>272</v>
      </c>
      <c r="J272" s="40" t="str">
        <f>+J267</f>
        <v>W&amp;S Allocator</v>
      </c>
    </row>
    <row r="273" spans="1:18">
      <c r="A273" s="10">
        <v>17</v>
      </c>
      <c r="C273" s="37" t="s">
        <v>128</v>
      </c>
      <c r="D273" s="38" t="s">
        <v>69</v>
      </c>
      <c r="E273" s="61">
        <f>'Workpapers (Page 8)'!E14*1000000</f>
        <v>2227533010</v>
      </c>
      <c r="F273" s="38"/>
      <c r="H273" s="10" t="s">
        <v>93</v>
      </c>
      <c r="I273" s="120"/>
      <c r="J273" s="10" t="s">
        <v>94</v>
      </c>
      <c r="K273" s="38"/>
      <c r="L273" s="79" t="s">
        <v>188</v>
      </c>
    </row>
    <row r="274" spans="1:18">
      <c r="A274" s="10">
        <v>18</v>
      </c>
      <c r="C274" s="37" t="s">
        <v>129</v>
      </c>
      <c r="D274" s="38" t="s">
        <v>144</v>
      </c>
      <c r="E274" s="61">
        <f>'Workpapers (Page 8)'!E15*1000000</f>
        <v>270264860</v>
      </c>
      <c r="F274" s="38"/>
      <c r="H274" s="59">
        <f>IF(E276&gt;0,E273/E276,0)</f>
        <v>0.89179874670963666</v>
      </c>
      <c r="I274" s="116" t="s">
        <v>130</v>
      </c>
      <c r="J274" s="59">
        <f>J269</f>
        <v>9.8884045153948899E-2</v>
      </c>
      <c r="K274" s="98" t="s">
        <v>126</v>
      </c>
      <c r="L274" s="121">
        <f>J274*H274</f>
        <v>8.8184667537870742E-2</v>
      </c>
    </row>
    <row r="275" spans="1:18" ht="16.5" thickBot="1">
      <c r="A275" s="10">
        <v>19</v>
      </c>
      <c r="C275" s="122" t="s">
        <v>131</v>
      </c>
      <c r="D275" s="62" t="s">
        <v>145</v>
      </c>
      <c r="E275" s="86">
        <v>0</v>
      </c>
      <c r="F275" s="38"/>
      <c r="G275" s="38"/>
      <c r="H275" s="38" t="s">
        <v>272</v>
      </c>
      <c r="I275" s="38"/>
      <c r="J275" s="38"/>
      <c r="K275" s="38"/>
      <c r="L275" s="41"/>
    </row>
    <row r="276" spans="1:18">
      <c r="A276" s="10">
        <v>20</v>
      </c>
      <c r="C276" s="37" t="s">
        <v>312</v>
      </c>
      <c r="D276" s="38"/>
      <c r="E276" s="38">
        <f>E273+E274+E275</f>
        <v>2497797870</v>
      </c>
      <c r="F276" s="38"/>
      <c r="G276" s="38"/>
      <c r="H276" s="38"/>
      <c r="I276" s="38"/>
      <c r="J276" s="38"/>
      <c r="K276" s="38"/>
      <c r="L276" s="41"/>
    </row>
    <row r="277" spans="1:18">
      <c r="A277" s="10"/>
      <c r="C277" s="37"/>
      <c r="D277" s="38"/>
      <c r="F277" s="38"/>
      <c r="G277" s="38"/>
      <c r="H277" s="38"/>
      <c r="I277" s="38"/>
      <c r="J277" s="38"/>
      <c r="K277" s="38"/>
      <c r="L277" s="41"/>
    </row>
    <row r="278" spans="1:18" ht="16.5" thickBot="1">
      <c r="A278" s="10"/>
      <c r="B278" s="48"/>
      <c r="C278" s="36" t="s">
        <v>95</v>
      </c>
      <c r="D278" s="38"/>
      <c r="E278" s="38"/>
      <c r="F278" s="38"/>
      <c r="G278" s="38"/>
      <c r="H278" s="38"/>
      <c r="I278" s="38"/>
      <c r="J278" s="117" t="s">
        <v>267</v>
      </c>
      <c r="K278" s="38"/>
      <c r="L278" s="41"/>
      <c r="M278" s="9"/>
      <c r="N278" s="5"/>
      <c r="O278" s="8"/>
      <c r="P278" s="9"/>
      <c r="Q278" s="5"/>
      <c r="R278" s="5"/>
    </row>
    <row r="279" spans="1:18">
      <c r="A279" s="10">
        <v>21</v>
      </c>
      <c r="B279" s="48"/>
      <c r="C279" s="48"/>
      <c r="D279" s="38" t="s">
        <v>3</v>
      </c>
      <c r="E279" s="38"/>
      <c r="F279" s="38"/>
      <c r="G279" s="38"/>
      <c r="H279" s="38"/>
      <c r="I279" s="38"/>
      <c r="J279" s="123">
        <f>'Workpapers (Page 9)'!E7*1000</f>
        <v>32626228.624768239</v>
      </c>
      <c r="K279" s="38"/>
      <c r="L279" s="41"/>
      <c r="M279" s="9"/>
      <c r="N279" s="5"/>
      <c r="O279" s="8"/>
      <c r="P279" s="9"/>
      <c r="Q279" s="5"/>
      <c r="R279" s="5"/>
    </row>
    <row r="280" spans="1:18">
      <c r="A280" s="10"/>
      <c r="C280" s="37"/>
      <c r="D280" s="38"/>
      <c r="E280" s="38"/>
      <c r="F280" s="38"/>
      <c r="G280" s="38"/>
      <c r="H280" s="38"/>
      <c r="I280" s="38"/>
      <c r="J280" s="38"/>
      <c r="K280" s="38"/>
      <c r="L280" s="41"/>
    </row>
    <row r="281" spans="1:18">
      <c r="A281" s="10">
        <v>22</v>
      </c>
      <c r="B281" s="48"/>
      <c r="C281" s="36"/>
      <c r="D281" s="38" t="s">
        <v>243</v>
      </c>
      <c r="E281" s="38"/>
      <c r="F281" s="38"/>
      <c r="G281" s="38"/>
      <c r="H281" s="38"/>
      <c r="I281" s="41"/>
      <c r="J281" s="124">
        <v>0</v>
      </c>
      <c r="K281" s="38"/>
      <c r="L281" s="41"/>
    </row>
    <row r="282" spans="1:18">
      <c r="A282" s="10"/>
      <c r="B282" s="48"/>
      <c r="C282" s="36"/>
      <c r="D282" s="38"/>
      <c r="E282" s="38"/>
      <c r="F282" s="38"/>
      <c r="G282" s="38"/>
      <c r="H282" s="38"/>
      <c r="I282" s="38"/>
      <c r="J282" s="38"/>
      <c r="K282" s="38"/>
      <c r="L282" s="41"/>
    </row>
    <row r="283" spans="1:18">
      <c r="A283" s="10"/>
      <c r="B283" s="48"/>
      <c r="C283" s="36" t="s">
        <v>30</v>
      </c>
      <c r="D283" s="38"/>
      <c r="E283" s="38"/>
      <c r="F283" s="38"/>
      <c r="G283" s="38"/>
      <c r="H283" s="38"/>
      <c r="I283" s="38"/>
      <c r="J283" s="38"/>
      <c r="K283" s="38"/>
      <c r="L283" s="41"/>
    </row>
    <row r="284" spans="1:18">
      <c r="A284" s="10">
        <v>23</v>
      </c>
      <c r="B284" s="48"/>
      <c r="C284" s="36"/>
      <c r="D284" s="38" t="s">
        <v>45</v>
      </c>
      <c r="E284" s="48"/>
      <c r="F284" s="38"/>
      <c r="G284" s="38"/>
      <c r="H284" s="38"/>
      <c r="I284" s="38"/>
      <c r="J284" s="61">
        <f>'Workpapers (Page 9)'!E13*1000</f>
        <v>885458518</v>
      </c>
      <c r="K284" s="38"/>
      <c r="L284" s="41"/>
    </row>
    <row r="285" spans="1:18">
      <c r="A285" s="10">
        <v>24</v>
      </c>
      <c r="B285" s="48"/>
      <c r="C285" s="36"/>
      <c r="D285" s="38" t="s">
        <v>31</v>
      </c>
      <c r="E285" s="38"/>
      <c r="F285" s="38"/>
      <c r="G285" s="38"/>
      <c r="H285" s="38"/>
      <c r="I285" s="38"/>
      <c r="J285" s="125">
        <f>-E291</f>
        <v>0</v>
      </c>
      <c r="K285" s="38"/>
      <c r="L285" s="41"/>
    </row>
    <row r="286" spans="1:18" ht="16.5" thickBot="1">
      <c r="A286" s="10">
        <v>25</v>
      </c>
      <c r="B286" s="48"/>
      <c r="C286" s="36"/>
      <c r="D286" s="38" t="s">
        <v>4</v>
      </c>
      <c r="E286" s="38"/>
      <c r="F286" s="38"/>
      <c r="G286" s="38"/>
      <c r="H286" s="38"/>
      <c r="I286" s="38"/>
      <c r="J286" s="86">
        <v>0</v>
      </c>
      <c r="K286" s="38"/>
      <c r="L286" s="41"/>
    </row>
    <row r="287" spans="1:18">
      <c r="A287" s="10">
        <v>26</v>
      </c>
      <c r="B287" s="48"/>
      <c r="C287" s="48"/>
      <c r="D287" s="38" t="s">
        <v>32</v>
      </c>
      <c r="E287" s="48" t="s">
        <v>33</v>
      </c>
      <c r="F287" s="48"/>
      <c r="G287" s="48"/>
      <c r="H287" s="48"/>
      <c r="I287" s="48"/>
      <c r="J287" s="38">
        <f>+J284+J285+J286</f>
        <v>885458518</v>
      </c>
      <c r="K287" s="38"/>
      <c r="L287" s="41"/>
    </row>
    <row r="288" spans="1:18">
      <c r="A288" s="10"/>
      <c r="C288" s="37"/>
      <c r="D288" s="38"/>
      <c r="E288" s="38"/>
      <c r="F288" s="38"/>
      <c r="G288" s="38"/>
      <c r="H288" s="116" t="s">
        <v>96</v>
      </c>
      <c r="I288" s="38"/>
      <c r="J288" s="38"/>
      <c r="K288" s="38"/>
      <c r="L288" s="41"/>
    </row>
    <row r="289" spans="1:14" ht="16.5" thickBot="1">
      <c r="A289" s="10"/>
      <c r="C289" s="37"/>
      <c r="D289" s="38"/>
      <c r="E289" s="55" t="s">
        <v>267</v>
      </c>
      <c r="F289" s="55" t="s">
        <v>27</v>
      </c>
      <c r="G289" s="38"/>
      <c r="H289" s="55" t="s">
        <v>97</v>
      </c>
      <c r="I289" s="38"/>
      <c r="J289" s="55" t="s">
        <v>98</v>
      </c>
      <c r="K289" s="38"/>
      <c r="L289" s="41"/>
    </row>
    <row r="290" spans="1:14">
      <c r="A290" s="10">
        <v>27</v>
      </c>
      <c r="C290" s="36" t="s">
        <v>283</v>
      </c>
      <c r="E290" s="61">
        <f>'Workpapers (Page 9)'!E6*1000</f>
        <v>698220974.30000007</v>
      </c>
      <c r="F290" s="126">
        <f>IF($E$293&gt;0,E290/$E$293,0)</f>
        <v>0.44088527867842997</v>
      </c>
      <c r="G290" s="127"/>
      <c r="H290" s="127">
        <f>IF(E290&gt;0,J279/E290,0)</f>
        <v>4.6727654747807587E-2</v>
      </c>
      <c r="J290" s="127">
        <f>H290*F290</f>
        <v>2.0601535085476609E-2</v>
      </c>
      <c r="K290" s="128" t="s">
        <v>99</v>
      </c>
    </row>
    <row r="291" spans="1:14">
      <c r="A291" s="10">
        <v>28</v>
      </c>
      <c r="C291" s="36" t="s">
        <v>161</v>
      </c>
      <c r="E291" s="61">
        <v>0</v>
      </c>
      <c r="F291" s="126">
        <f>IF($E$293&gt;0,E291/$E$293,0)</f>
        <v>0</v>
      </c>
      <c r="G291" s="127"/>
      <c r="H291" s="127">
        <f>IF(E291&gt;0,J281/E291,0)</f>
        <v>0</v>
      </c>
      <c r="J291" s="127">
        <f>H291*F291</f>
        <v>0</v>
      </c>
      <c r="K291" s="38"/>
    </row>
    <row r="292" spans="1:14" ht="16.5" thickBot="1">
      <c r="A292" s="10">
        <v>29</v>
      </c>
      <c r="C292" s="36" t="s">
        <v>34</v>
      </c>
      <c r="E292" s="62">
        <f>J287</f>
        <v>885458518</v>
      </c>
      <c r="F292" s="126">
        <f>IF($E$293&gt;0,E292/$E$293,0)</f>
        <v>0.55911472132156992</v>
      </c>
      <c r="G292" s="127"/>
      <c r="H292" s="129">
        <f>0.1032+0.005</f>
        <v>0.1082</v>
      </c>
      <c r="J292" s="130">
        <f>H292*F292</f>
        <v>6.0496212846993865E-2</v>
      </c>
      <c r="K292" s="38"/>
    </row>
    <row r="293" spans="1:14">
      <c r="A293" s="10">
        <v>30</v>
      </c>
      <c r="C293" s="37" t="s">
        <v>35</v>
      </c>
      <c r="E293" s="38">
        <f>E292+E291+E290</f>
        <v>1583679492.3000002</v>
      </c>
      <c r="F293" s="38" t="s">
        <v>272</v>
      </c>
      <c r="G293" s="38"/>
      <c r="H293" s="38"/>
      <c r="I293" s="38"/>
      <c r="J293" s="127">
        <f>SUM(J290:J292)</f>
        <v>8.1097747932470474E-2</v>
      </c>
      <c r="K293" s="128" t="s">
        <v>100</v>
      </c>
    </row>
    <row r="294" spans="1:14">
      <c r="F294" s="38"/>
      <c r="G294" s="38"/>
      <c r="H294" s="38"/>
      <c r="I294" s="38"/>
    </row>
    <row r="295" spans="1:14">
      <c r="A295" s="10"/>
      <c r="L295" s="41"/>
    </row>
    <row r="296" spans="1:14">
      <c r="A296" s="10"/>
      <c r="C296" s="36" t="s">
        <v>132</v>
      </c>
      <c r="D296" s="48"/>
      <c r="E296" s="48"/>
      <c r="F296" s="48"/>
      <c r="G296" s="48"/>
      <c r="H296" s="48"/>
      <c r="I296" s="48"/>
      <c r="J296" s="48"/>
      <c r="K296" s="48"/>
      <c r="L296" s="65"/>
    </row>
    <row r="297" spans="1:14" ht="16.5" thickBot="1">
      <c r="A297" s="10"/>
      <c r="C297" s="36"/>
      <c r="D297" s="36"/>
      <c r="E297" s="36"/>
      <c r="F297" s="36"/>
      <c r="G297" s="36"/>
      <c r="H297" s="36"/>
      <c r="I297" s="36"/>
      <c r="J297" s="55" t="s">
        <v>133</v>
      </c>
      <c r="K297" s="131"/>
    </row>
    <row r="298" spans="1:14">
      <c r="A298" s="10"/>
      <c r="C298" s="36" t="s">
        <v>134</v>
      </c>
      <c r="D298" s="48"/>
      <c r="E298" s="48" t="s">
        <v>36</v>
      </c>
      <c r="F298" s="48" t="s">
        <v>218</v>
      </c>
      <c r="G298" s="48"/>
      <c r="H298" s="132" t="s">
        <v>272</v>
      </c>
      <c r="I298" s="133"/>
      <c r="J298" s="134"/>
      <c r="K298" s="134"/>
    </row>
    <row r="299" spans="1:14">
      <c r="A299" s="10">
        <v>31</v>
      </c>
      <c r="C299" s="21" t="s">
        <v>37</v>
      </c>
      <c r="D299" s="48"/>
      <c r="E299" s="48"/>
      <c r="G299" s="48"/>
      <c r="I299" s="133"/>
      <c r="J299" s="135">
        <v>0</v>
      </c>
      <c r="K299" s="136"/>
    </row>
    <row r="300" spans="1:14" ht="16.5" thickBot="1">
      <c r="A300" s="10">
        <v>32</v>
      </c>
      <c r="C300" s="89" t="s">
        <v>307</v>
      </c>
      <c r="D300" s="137"/>
      <c r="E300" s="89"/>
      <c r="F300" s="138"/>
      <c r="G300" s="138"/>
      <c r="H300" s="138"/>
      <c r="I300" s="48"/>
      <c r="J300" s="139">
        <v>0</v>
      </c>
      <c r="K300" s="140"/>
    </row>
    <row r="301" spans="1:14">
      <c r="A301" s="10">
        <v>33</v>
      </c>
      <c r="C301" s="21" t="s">
        <v>135</v>
      </c>
      <c r="D301" s="49"/>
      <c r="F301" s="48"/>
      <c r="G301" s="48"/>
      <c r="H301" s="48"/>
      <c r="I301" s="48"/>
      <c r="J301" s="141">
        <f>+J299-J300</f>
        <v>0</v>
      </c>
      <c r="K301" s="136"/>
      <c r="M301" s="35"/>
      <c r="N301" s="35"/>
    </row>
    <row r="302" spans="1:14">
      <c r="A302" s="10"/>
      <c r="C302" s="21" t="s">
        <v>272</v>
      </c>
      <c r="D302" s="49"/>
      <c r="F302" s="48"/>
      <c r="G302" s="48"/>
      <c r="H302" s="74"/>
      <c r="I302" s="48"/>
      <c r="J302" s="142" t="s">
        <v>272</v>
      </c>
      <c r="K302" s="134"/>
      <c r="L302" s="143"/>
      <c r="M302" s="35"/>
      <c r="N302" s="35"/>
    </row>
    <row r="303" spans="1:14">
      <c r="A303" s="10">
        <v>34</v>
      </c>
      <c r="C303" s="36" t="s">
        <v>101</v>
      </c>
      <c r="D303" s="49"/>
      <c r="F303" s="48"/>
      <c r="G303" s="48"/>
      <c r="H303" s="144"/>
      <c r="I303" s="48"/>
      <c r="J303" s="145">
        <v>0</v>
      </c>
      <c r="K303" s="134"/>
      <c r="L303" s="143"/>
      <c r="M303" s="143"/>
      <c r="N303" s="13" t="s">
        <v>162</v>
      </c>
    </row>
    <row r="304" spans="1:14">
      <c r="A304" s="10"/>
      <c r="D304" s="48"/>
      <c r="E304" s="48"/>
      <c r="F304" s="48"/>
      <c r="G304" s="48"/>
      <c r="H304" s="48"/>
      <c r="I304" s="48"/>
      <c r="J304" s="142"/>
      <c r="K304" s="134"/>
      <c r="L304" s="143"/>
      <c r="M304" s="143"/>
      <c r="N304" s="12"/>
    </row>
    <row r="305" spans="1:14">
      <c r="C305" s="36" t="s">
        <v>284</v>
      </c>
      <c r="D305" s="48"/>
      <c r="E305" s="48" t="s">
        <v>308</v>
      </c>
      <c r="F305" s="48"/>
      <c r="G305" s="48"/>
      <c r="H305" s="48"/>
      <c r="I305" s="48"/>
      <c r="L305" s="146"/>
      <c r="M305" s="146"/>
      <c r="N305" s="12"/>
    </row>
    <row r="306" spans="1:14">
      <c r="A306" s="10">
        <v>35</v>
      </c>
      <c r="C306" s="36" t="s">
        <v>136</v>
      </c>
      <c r="D306" s="38"/>
      <c r="E306" s="38"/>
      <c r="F306" s="38"/>
      <c r="G306" s="38"/>
      <c r="H306" s="38"/>
      <c r="I306" s="38"/>
      <c r="J306" s="147">
        <f>+'Workpapers (Page 11)'!C11+'Workpapers (Page 11)'!C14+'Workpapers (Page 11)'!C15+'Workpapers (Page 11)'!C16</f>
        <v>24686321</v>
      </c>
      <c r="K306" s="148"/>
      <c r="L306" s="146"/>
      <c r="M306" s="146"/>
      <c r="N306" s="13" t="s">
        <v>163</v>
      </c>
    </row>
    <row r="307" spans="1:14">
      <c r="A307" s="10">
        <v>36</v>
      </c>
      <c r="C307" s="166" t="s">
        <v>309</v>
      </c>
      <c r="D307" s="167"/>
      <c r="E307" s="167"/>
      <c r="F307" s="167"/>
      <c r="G307" s="167"/>
      <c r="H307" s="48"/>
      <c r="I307" s="48"/>
      <c r="J307" s="147">
        <f>+'Workpapers (Page 11)'!C22+'Workpapers (Page 11)'!C14+'Workpapers (Page 11)'!C15+'Workpapers (Page 11)'!C16</f>
        <v>5072470</v>
      </c>
      <c r="L307" s="149"/>
      <c r="M307" s="149"/>
      <c r="N307" s="13" t="s">
        <v>164</v>
      </c>
    </row>
    <row r="308" spans="1:14">
      <c r="A308" s="10" t="s">
        <v>366</v>
      </c>
      <c r="C308" s="166" t="s">
        <v>659</v>
      </c>
      <c r="D308" s="167"/>
      <c r="E308" s="167"/>
      <c r="F308" s="167"/>
      <c r="G308" s="167"/>
      <c r="H308" s="48"/>
      <c r="I308" s="48"/>
      <c r="J308" s="147">
        <f>'Workpapers (Page 11)'!C25</f>
        <v>18585485</v>
      </c>
      <c r="L308" s="149"/>
      <c r="M308" s="13"/>
      <c r="N308" s="35"/>
    </row>
    <row r="309" spans="1:14" s="133" customFormat="1" ht="16.5" thickBot="1">
      <c r="A309" s="10" t="s">
        <v>379</v>
      </c>
      <c r="B309" s="21"/>
      <c r="C309" s="184" t="s">
        <v>660</v>
      </c>
      <c r="D309" s="185"/>
      <c r="E309" s="185"/>
      <c r="F309" s="185"/>
      <c r="G309" s="185"/>
      <c r="H309" s="185"/>
      <c r="I309" s="48"/>
      <c r="J309" s="186">
        <v>0</v>
      </c>
      <c r="L309" s="168"/>
      <c r="M309" s="169"/>
      <c r="N309" s="170"/>
    </row>
    <row r="310" spans="1:14">
      <c r="A310" s="10">
        <v>37</v>
      </c>
      <c r="C310" s="21" t="s">
        <v>380</v>
      </c>
      <c r="D310" s="10"/>
      <c r="E310" s="38"/>
      <c r="F310" s="38"/>
      <c r="G310" s="38"/>
      <c r="H310" s="38"/>
      <c r="I310" s="48"/>
      <c r="J310" s="151">
        <f>+J306-J309-J308-J307</f>
        <v>1028366</v>
      </c>
      <c r="K310" s="148"/>
      <c r="L310" s="152"/>
      <c r="M310" s="35"/>
      <c r="N310" s="35"/>
    </row>
    <row r="311" spans="1:14">
      <c r="A311" s="10"/>
      <c r="C311" s="150"/>
      <c r="D311" s="10"/>
      <c r="E311" s="38"/>
      <c r="F311" s="38"/>
      <c r="G311" s="38"/>
      <c r="H311" s="38"/>
      <c r="I311" s="48"/>
      <c r="J311" s="151"/>
      <c r="K311" s="148"/>
      <c r="L311" s="152"/>
      <c r="M311" s="35"/>
      <c r="N311" s="35"/>
    </row>
    <row r="312" spans="1:14">
      <c r="A312" s="10"/>
      <c r="C312" s="150"/>
      <c r="D312" s="10"/>
      <c r="E312" s="38"/>
      <c r="F312" s="38"/>
      <c r="G312" s="38"/>
      <c r="H312" s="38"/>
      <c r="I312" s="48"/>
      <c r="J312" s="151"/>
      <c r="K312" s="148"/>
      <c r="L312" s="152"/>
      <c r="M312" s="35"/>
      <c r="N312" s="35"/>
    </row>
    <row r="313" spans="1:14">
      <c r="C313" s="36"/>
      <c r="D313" s="36"/>
      <c r="E313" s="47"/>
      <c r="F313" s="36"/>
      <c r="G313" s="36"/>
      <c r="H313" s="36"/>
      <c r="I313" s="48"/>
      <c r="J313" s="48"/>
      <c r="K313" s="49"/>
      <c r="L313" s="50" t="s">
        <v>310</v>
      </c>
    </row>
    <row r="314" spans="1:14">
      <c r="C314" s="36"/>
      <c r="D314" s="36"/>
      <c r="E314" s="47"/>
      <c r="F314" s="36"/>
      <c r="G314" s="36"/>
      <c r="H314" s="36"/>
      <c r="I314" s="48"/>
      <c r="J314" s="48"/>
      <c r="K314" s="49"/>
      <c r="L314" s="50"/>
    </row>
    <row r="315" spans="1:14">
      <c r="C315" s="36" t="s">
        <v>205</v>
      </c>
      <c r="D315" s="36"/>
      <c r="E315" s="47" t="s">
        <v>271</v>
      </c>
      <c r="F315" s="36"/>
      <c r="G315" s="36"/>
      <c r="H315" s="36"/>
      <c r="I315" s="48"/>
      <c r="J315" s="52" t="str">
        <f>J3</f>
        <v>For the 12 months ended 12/31/17</v>
      </c>
      <c r="K315" s="53"/>
      <c r="L315" s="53"/>
    </row>
    <row r="316" spans="1:14">
      <c r="C316" s="36"/>
      <c r="D316" s="38" t="s">
        <v>272</v>
      </c>
      <c r="E316" s="38" t="s">
        <v>227</v>
      </c>
      <c r="F316" s="38"/>
      <c r="G316" s="38"/>
      <c r="H316" s="38"/>
      <c r="I316" s="48"/>
      <c r="J316" s="48"/>
      <c r="K316" s="49"/>
      <c r="L316" s="51"/>
    </row>
    <row r="317" spans="1:14">
      <c r="A317" s="10"/>
      <c r="B317" s="48"/>
      <c r="C317" s="150"/>
      <c r="D317" s="10"/>
      <c r="E317" s="38"/>
      <c r="F317" s="38"/>
      <c r="G317" s="38"/>
      <c r="H317" s="38"/>
      <c r="I317" s="48"/>
      <c r="J317" s="153"/>
      <c r="K317" s="134"/>
      <c r="L317" s="152"/>
    </row>
    <row r="318" spans="1:14">
      <c r="A318" s="10"/>
      <c r="B318" s="48"/>
      <c r="C318" s="150"/>
      <c r="D318" s="10"/>
      <c r="E318" s="159" t="str">
        <f>E6</f>
        <v>VECTREN</v>
      </c>
      <c r="F318" s="38"/>
      <c r="G318" s="38"/>
      <c r="H318" s="38"/>
      <c r="I318" s="48"/>
      <c r="J318" s="153"/>
      <c r="K318" s="134"/>
      <c r="L318" s="152"/>
    </row>
    <row r="319" spans="1:14">
      <c r="A319" s="10"/>
      <c r="B319" s="48"/>
      <c r="C319" s="150"/>
      <c r="D319" s="10"/>
      <c r="E319" s="38"/>
      <c r="F319" s="38"/>
      <c r="G319" s="38"/>
      <c r="H319" s="38"/>
      <c r="I319" s="48"/>
      <c r="J319" s="153"/>
      <c r="K319" s="134"/>
      <c r="L319" s="152"/>
    </row>
    <row r="320" spans="1:14">
      <c r="A320" s="10"/>
      <c r="B320" s="48"/>
      <c r="C320" s="36" t="s">
        <v>193</v>
      </c>
      <c r="D320" s="10"/>
      <c r="E320" s="38"/>
      <c r="F320" s="38"/>
      <c r="G320" s="38"/>
      <c r="H320" s="38"/>
      <c r="I320" s="48"/>
      <c r="J320" s="38"/>
      <c r="K320" s="48"/>
      <c r="L320" s="41"/>
    </row>
    <row r="321" spans="1:12">
      <c r="A321" s="10"/>
      <c r="B321" s="48"/>
      <c r="C321" s="36" t="s">
        <v>2</v>
      </c>
      <c r="D321" s="10"/>
      <c r="E321" s="38"/>
      <c r="F321" s="38"/>
      <c r="G321" s="38"/>
      <c r="H321" s="38"/>
      <c r="I321" s="48"/>
      <c r="J321" s="38"/>
      <c r="K321" s="48"/>
      <c r="L321" s="41"/>
    </row>
    <row r="322" spans="1:12">
      <c r="A322" s="10" t="s">
        <v>18</v>
      </c>
      <c r="B322" s="48"/>
      <c r="C322" s="36"/>
      <c r="D322" s="48"/>
      <c r="E322" s="38"/>
      <c r="F322" s="38"/>
      <c r="G322" s="38"/>
      <c r="H322" s="38"/>
      <c r="I322" s="48"/>
      <c r="J322" s="38"/>
      <c r="K322" s="48"/>
      <c r="L322" s="41"/>
    </row>
    <row r="323" spans="1:12" ht="16.5" thickBot="1">
      <c r="A323" s="55" t="s">
        <v>19</v>
      </c>
      <c r="B323" s="48"/>
      <c r="C323" s="36"/>
      <c r="D323" s="48"/>
      <c r="E323" s="38"/>
      <c r="F323" s="38"/>
      <c r="G323" s="38"/>
      <c r="H323" s="38"/>
      <c r="I323" s="48"/>
      <c r="J323" s="38"/>
      <c r="K323" s="48"/>
      <c r="L323" s="41"/>
    </row>
    <row r="324" spans="1:12">
      <c r="A324" s="10" t="s">
        <v>20</v>
      </c>
      <c r="B324" s="48"/>
      <c r="C324" s="106" t="s">
        <v>373</v>
      </c>
      <c r="D324" s="65"/>
      <c r="E324" s="41"/>
      <c r="F324" s="41"/>
      <c r="G324" s="41"/>
      <c r="H324" s="41"/>
      <c r="I324" s="65"/>
      <c r="J324" s="41"/>
      <c r="K324" s="65"/>
      <c r="L324" s="41"/>
    </row>
    <row r="325" spans="1:12">
      <c r="A325" s="10" t="s">
        <v>21</v>
      </c>
      <c r="B325" s="48"/>
      <c r="C325" s="106" t="s">
        <v>374</v>
      </c>
      <c r="D325" s="65"/>
      <c r="E325" s="41"/>
      <c r="F325" s="41"/>
      <c r="G325" s="41"/>
      <c r="H325" s="41"/>
      <c r="I325" s="65"/>
      <c r="J325" s="41"/>
      <c r="K325" s="65"/>
      <c r="L325" s="41"/>
    </row>
    <row r="326" spans="1:12">
      <c r="A326" s="10" t="s">
        <v>42</v>
      </c>
      <c r="B326" s="48"/>
      <c r="C326" s="106" t="s">
        <v>375</v>
      </c>
      <c r="D326" s="65"/>
      <c r="E326" s="65"/>
      <c r="F326" s="65"/>
      <c r="G326" s="65"/>
      <c r="H326" s="65"/>
      <c r="I326" s="65"/>
      <c r="J326" s="41"/>
      <c r="K326" s="65"/>
      <c r="L326" s="65"/>
    </row>
    <row r="327" spans="1:12">
      <c r="A327" s="10" t="s">
        <v>43</v>
      </c>
      <c r="B327" s="48"/>
      <c r="C327" s="106" t="s">
        <v>375</v>
      </c>
      <c r="D327" s="65"/>
      <c r="E327" s="65"/>
      <c r="F327" s="65"/>
      <c r="G327" s="65"/>
      <c r="H327" s="65"/>
      <c r="I327" s="65"/>
      <c r="J327" s="41"/>
      <c r="K327" s="65"/>
      <c r="L327" s="65"/>
    </row>
    <row r="328" spans="1:12">
      <c r="A328" s="10" t="s">
        <v>44</v>
      </c>
      <c r="B328" s="48"/>
      <c r="C328" s="65" t="s">
        <v>249</v>
      </c>
      <c r="D328" s="65"/>
      <c r="E328" s="65"/>
      <c r="F328" s="65"/>
      <c r="G328" s="65"/>
      <c r="H328" s="65"/>
      <c r="I328" s="65"/>
      <c r="J328" s="65"/>
      <c r="K328" s="65"/>
      <c r="L328" s="65"/>
    </row>
    <row r="329" spans="1:12">
      <c r="A329" s="10" t="s">
        <v>298</v>
      </c>
      <c r="B329" s="48"/>
      <c r="C329" s="65" t="s">
        <v>240</v>
      </c>
      <c r="D329" s="65"/>
      <c r="E329" s="65"/>
      <c r="F329" s="65"/>
      <c r="G329" s="65"/>
      <c r="H329" s="65"/>
      <c r="I329" s="65"/>
      <c r="J329" s="65"/>
      <c r="K329" s="65"/>
      <c r="L329" s="65"/>
    </row>
    <row r="330" spans="1:12">
      <c r="A330" s="10"/>
      <c r="B330" s="48"/>
      <c r="C330" s="65" t="s">
        <v>241</v>
      </c>
      <c r="D330" s="65"/>
      <c r="E330" s="65"/>
      <c r="F330" s="65"/>
      <c r="G330" s="65"/>
      <c r="H330" s="65"/>
      <c r="I330" s="65"/>
      <c r="J330" s="65"/>
      <c r="K330" s="65"/>
      <c r="L330" s="65"/>
    </row>
    <row r="331" spans="1:12">
      <c r="A331" s="10"/>
      <c r="B331" s="48"/>
      <c r="C331" s="65" t="s">
        <v>56</v>
      </c>
      <c r="D331" s="65"/>
      <c r="E331" s="65"/>
      <c r="F331" s="65"/>
      <c r="G331" s="65"/>
      <c r="H331" s="65"/>
      <c r="I331" s="65"/>
      <c r="J331" s="65"/>
      <c r="K331" s="65"/>
      <c r="L331" s="65"/>
    </row>
    <row r="332" spans="1:12">
      <c r="A332" s="10"/>
      <c r="B332" s="48"/>
      <c r="C332" s="65" t="s">
        <v>676</v>
      </c>
      <c r="D332" s="65"/>
      <c r="E332" s="65"/>
      <c r="F332" s="65"/>
      <c r="G332" s="65"/>
      <c r="H332" s="65"/>
      <c r="I332" s="65"/>
      <c r="J332" s="65"/>
      <c r="K332" s="65"/>
      <c r="L332" s="65"/>
    </row>
    <row r="333" spans="1:12">
      <c r="A333" s="10"/>
      <c r="B333" s="48"/>
      <c r="C333" s="65" t="s">
        <v>677</v>
      </c>
      <c r="D333" s="65"/>
      <c r="E333" s="65"/>
      <c r="F333" s="65"/>
      <c r="G333" s="65"/>
      <c r="H333" s="65"/>
      <c r="I333" s="65"/>
      <c r="J333" s="65"/>
      <c r="K333" s="65"/>
      <c r="L333" s="65"/>
    </row>
    <row r="334" spans="1:12">
      <c r="A334" s="10"/>
      <c r="B334" s="48"/>
      <c r="C334" s="65" t="s">
        <v>678</v>
      </c>
      <c r="D334" s="65"/>
      <c r="E334" s="65"/>
      <c r="F334" s="65"/>
      <c r="G334" s="65"/>
      <c r="H334" s="65"/>
      <c r="I334" s="65"/>
      <c r="J334" s="65"/>
      <c r="K334" s="65"/>
      <c r="L334" s="65"/>
    </row>
    <row r="335" spans="1:12">
      <c r="A335" s="10"/>
      <c r="B335" s="48"/>
      <c r="C335" s="65" t="s">
        <v>679</v>
      </c>
      <c r="D335" s="65"/>
      <c r="E335" s="65"/>
      <c r="F335" s="65"/>
      <c r="G335" s="65"/>
      <c r="H335" s="65"/>
      <c r="I335" s="65"/>
      <c r="J335" s="65"/>
      <c r="K335" s="65"/>
      <c r="L335" s="65"/>
    </row>
    <row r="336" spans="1:12">
      <c r="A336" s="10" t="s">
        <v>299</v>
      </c>
      <c r="B336" s="48"/>
      <c r="C336" s="65" t="s">
        <v>23</v>
      </c>
      <c r="D336" s="65"/>
      <c r="E336" s="65"/>
      <c r="F336" s="65"/>
      <c r="G336" s="65"/>
      <c r="H336" s="65"/>
      <c r="I336" s="65"/>
      <c r="J336" s="65"/>
      <c r="K336" s="65"/>
      <c r="L336" s="65"/>
    </row>
    <row r="337" spans="1:14">
      <c r="A337" s="10" t="s">
        <v>306</v>
      </c>
      <c r="B337" s="48"/>
      <c r="C337" s="65" t="s">
        <v>90</v>
      </c>
      <c r="D337" s="65"/>
      <c r="E337" s="65"/>
      <c r="F337" s="65"/>
      <c r="G337" s="65"/>
      <c r="H337" s="65"/>
      <c r="I337" s="65"/>
      <c r="J337" s="65"/>
      <c r="K337" s="65"/>
      <c r="L337" s="65"/>
    </row>
    <row r="338" spans="1:14">
      <c r="A338" s="10"/>
      <c r="B338" s="48"/>
      <c r="C338" s="65" t="s">
        <v>46</v>
      </c>
      <c r="D338" s="65"/>
      <c r="E338" s="65"/>
      <c r="F338" s="65"/>
      <c r="G338" s="65"/>
      <c r="H338" s="65"/>
      <c r="I338" s="65"/>
      <c r="J338" s="65"/>
      <c r="K338" s="65"/>
      <c r="L338" s="65"/>
    </row>
    <row r="339" spans="1:14">
      <c r="A339" s="10" t="s">
        <v>54</v>
      </c>
      <c r="B339" s="48"/>
      <c r="C339" s="65" t="s">
        <v>24</v>
      </c>
      <c r="D339" s="65"/>
      <c r="E339" s="65"/>
      <c r="F339" s="65"/>
      <c r="G339" s="65"/>
      <c r="H339" s="65"/>
      <c r="I339" s="65"/>
      <c r="J339" s="65"/>
      <c r="K339" s="65"/>
      <c r="L339" s="65"/>
    </row>
    <row r="340" spans="1:14">
      <c r="A340" s="10"/>
      <c r="B340" s="48"/>
      <c r="C340" s="44" t="s">
        <v>319</v>
      </c>
      <c r="D340" s="65"/>
      <c r="E340" s="65"/>
      <c r="F340" s="65"/>
      <c r="G340" s="65"/>
      <c r="H340" s="65"/>
      <c r="I340" s="65"/>
      <c r="J340" s="65"/>
      <c r="K340" s="65"/>
      <c r="L340" s="65"/>
    </row>
    <row r="341" spans="1:14">
      <c r="A341" s="10"/>
      <c r="B341" s="48"/>
      <c r="C341" s="65" t="s">
        <v>320</v>
      </c>
      <c r="D341" s="65"/>
      <c r="E341" s="65"/>
      <c r="F341" s="65"/>
      <c r="G341" s="65"/>
      <c r="H341" s="65"/>
      <c r="I341" s="65"/>
      <c r="J341" s="65"/>
      <c r="K341" s="65"/>
      <c r="L341" s="65"/>
    </row>
    <row r="342" spans="1:14">
      <c r="A342" s="10" t="s">
        <v>55</v>
      </c>
      <c r="B342" s="48"/>
      <c r="C342" s="65" t="s">
        <v>53</v>
      </c>
      <c r="D342" s="65"/>
      <c r="E342" s="65"/>
      <c r="F342" s="65"/>
      <c r="G342" s="65"/>
      <c r="H342" s="65"/>
      <c r="I342" s="65"/>
      <c r="J342" s="65"/>
      <c r="K342" s="65"/>
      <c r="L342" s="65"/>
    </row>
    <row r="343" spans="1:14">
      <c r="A343" s="10"/>
      <c r="B343" s="48"/>
      <c r="C343" s="65" t="s">
        <v>247</v>
      </c>
      <c r="D343" s="65"/>
      <c r="E343" s="65"/>
      <c r="F343" s="65"/>
      <c r="G343" s="65"/>
      <c r="H343" s="65"/>
      <c r="I343" s="65"/>
      <c r="J343" s="65"/>
      <c r="K343" s="65"/>
      <c r="L343" s="65"/>
    </row>
    <row r="344" spans="1:14">
      <c r="A344" s="10"/>
      <c r="B344" s="48"/>
      <c r="C344" s="65" t="s">
        <v>248</v>
      </c>
      <c r="D344" s="65"/>
      <c r="E344" s="65"/>
      <c r="F344" s="65"/>
      <c r="G344" s="65"/>
      <c r="H344" s="65"/>
      <c r="I344" s="65"/>
      <c r="J344" s="65"/>
      <c r="K344" s="65"/>
      <c r="L344" s="65"/>
    </row>
    <row r="345" spans="1:14">
      <c r="A345" s="10" t="s">
        <v>84</v>
      </c>
      <c r="B345" s="48"/>
      <c r="C345" s="65" t="s">
        <v>313</v>
      </c>
      <c r="D345" s="65"/>
      <c r="E345" s="65"/>
      <c r="F345" s="65"/>
      <c r="G345" s="65"/>
      <c r="H345" s="65"/>
      <c r="I345" s="65"/>
      <c r="J345" s="65"/>
      <c r="K345" s="65"/>
      <c r="L345" s="65"/>
    </row>
    <row r="346" spans="1:14">
      <c r="A346" s="10"/>
      <c r="B346" s="48"/>
      <c r="C346" s="65" t="s">
        <v>314</v>
      </c>
      <c r="D346" s="65"/>
      <c r="E346" s="65"/>
      <c r="F346" s="65"/>
      <c r="G346" s="65"/>
      <c r="H346" s="65"/>
      <c r="I346" s="65"/>
      <c r="J346" s="65"/>
      <c r="K346" s="65"/>
      <c r="L346" s="65"/>
    </row>
    <row r="347" spans="1:14">
      <c r="A347" s="10"/>
      <c r="B347" s="48"/>
      <c r="C347" s="65" t="s">
        <v>315</v>
      </c>
      <c r="D347" s="65"/>
      <c r="E347" s="65"/>
      <c r="F347" s="65"/>
      <c r="G347" s="65"/>
      <c r="H347" s="65"/>
      <c r="I347" s="65"/>
      <c r="J347" s="65"/>
      <c r="K347" s="65"/>
      <c r="L347" s="65"/>
    </row>
    <row r="348" spans="1:14">
      <c r="A348" s="10"/>
      <c r="B348" s="48"/>
      <c r="C348" s="65" t="s">
        <v>102</v>
      </c>
      <c r="D348" s="65"/>
      <c r="E348" s="65"/>
      <c r="F348" s="65"/>
      <c r="G348" s="65"/>
      <c r="H348" s="65"/>
      <c r="I348" s="65"/>
      <c r="J348" s="65"/>
      <c r="K348" s="65"/>
      <c r="L348" s="65"/>
    </row>
    <row r="349" spans="1:14">
      <c r="A349" s="10"/>
      <c r="B349" s="48"/>
      <c r="C349" s="65" t="s">
        <v>321</v>
      </c>
      <c r="D349" s="65"/>
      <c r="E349" s="65"/>
      <c r="F349" s="65"/>
      <c r="G349" s="65"/>
      <c r="H349" s="65"/>
      <c r="I349" s="65"/>
      <c r="J349" s="65"/>
      <c r="K349" s="65"/>
      <c r="L349" s="65"/>
    </row>
    <row r="350" spans="1:14">
      <c r="A350" s="10"/>
      <c r="B350" s="48"/>
      <c r="C350" s="65" t="s">
        <v>103</v>
      </c>
      <c r="D350" s="65"/>
      <c r="E350" s="65"/>
      <c r="F350" s="65"/>
      <c r="G350" s="65"/>
      <c r="H350" s="65"/>
      <c r="I350" s="65"/>
      <c r="J350" s="65"/>
      <c r="K350" s="65"/>
      <c r="L350" s="65"/>
    </row>
    <row r="351" spans="1:14">
      <c r="A351" s="10" t="s">
        <v>272</v>
      </c>
      <c r="B351" s="48"/>
      <c r="C351" s="65" t="s">
        <v>104</v>
      </c>
      <c r="D351" s="65" t="s">
        <v>105</v>
      </c>
      <c r="E351" s="154">
        <v>0.35</v>
      </c>
      <c r="F351" s="65"/>
      <c r="G351" s="65"/>
      <c r="H351" s="65"/>
      <c r="I351" s="65"/>
      <c r="J351" s="65"/>
      <c r="K351" s="65"/>
      <c r="L351" s="65"/>
    </row>
    <row r="352" spans="1:14">
      <c r="A352" s="10"/>
      <c r="B352" s="48"/>
      <c r="C352" s="65"/>
      <c r="D352" s="65" t="s">
        <v>106</v>
      </c>
      <c r="E352" s="416">
        <v>6.1249999999999999E-2</v>
      </c>
      <c r="F352" s="65" t="s">
        <v>250</v>
      </c>
      <c r="G352" s="65"/>
      <c r="H352" s="65"/>
      <c r="I352" s="65"/>
      <c r="J352" s="65" t="s">
        <v>680</v>
      </c>
      <c r="K352" s="65"/>
      <c r="L352" s="65"/>
      <c r="M352" s="14"/>
      <c r="N352" s="14" t="s">
        <v>167</v>
      </c>
    </row>
    <row r="353" spans="1:12">
      <c r="A353" s="10"/>
      <c r="B353" s="48"/>
      <c r="C353" s="65"/>
      <c r="D353" s="65" t="s">
        <v>251</v>
      </c>
      <c r="E353" s="154">
        <v>0</v>
      </c>
      <c r="F353" s="65" t="s">
        <v>252</v>
      </c>
      <c r="G353" s="65"/>
      <c r="H353" s="65"/>
      <c r="I353" s="65"/>
      <c r="J353" s="65"/>
      <c r="K353" s="65"/>
      <c r="L353" s="65"/>
    </row>
    <row r="354" spans="1:12">
      <c r="A354" s="10" t="s">
        <v>85</v>
      </c>
      <c r="B354" s="48"/>
      <c r="C354" s="65" t="s">
        <v>285</v>
      </c>
      <c r="D354" s="65"/>
      <c r="E354" s="65"/>
      <c r="F354" s="65"/>
      <c r="G354" s="65"/>
      <c r="H354" s="65"/>
      <c r="I354" s="65"/>
      <c r="J354" s="155"/>
      <c r="K354" s="155"/>
      <c r="L354" s="65"/>
    </row>
    <row r="355" spans="1:12">
      <c r="A355" s="10" t="s">
        <v>86</v>
      </c>
      <c r="B355" s="48"/>
      <c r="C355" s="65" t="s">
        <v>47</v>
      </c>
      <c r="D355" s="65"/>
      <c r="E355" s="65"/>
      <c r="F355" s="65"/>
      <c r="G355" s="65"/>
      <c r="H355" s="65"/>
      <c r="I355" s="65"/>
      <c r="J355" s="65"/>
      <c r="K355" s="65"/>
      <c r="L355" s="65"/>
    </row>
    <row r="356" spans="1:12">
      <c r="A356" s="10"/>
      <c r="B356" s="48"/>
      <c r="C356" s="65" t="s">
        <v>83</v>
      </c>
      <c r="D356" s="65"/>
      <c r="E356" s="65"/>
      <c r="F356" s="65"/>
      <c r="G356" s="65"/>
      <c r="H356" s="65"/>
      <c r="I356" s="65"/>
      <c r="J356" s="65"/>
      <c r="K356" s="65"/>
      <c r="L356" s="65"/>
    </row>
    <row r="357" spans="1:12">
      <c r="A357" s="10" t="s">
        <v>87</v>
      </c>
      <c r="B357" s="48"/>
      <c r="C357" s="65" t="s">
        <v>300</v>
      </c>
      <c r="D357" s="65"/>
      <c r="E357" s="65"/>
      <c r="F357" s="65"/>
      <c r="G357" s="65"/>
      <c r="H357" s="65"/>
      <c r="I357" s="65"/>
      <c r="J357" s="65"/>
      <c r="K357" s="65"/>
      <c r="L357" s="65"/>
    </row>
    <row r="358" spans="1:12">
      <c r="A358" s="10"/>
      <c r="B358" s="48"/>
      <c r="C358" s="65" t="s">
        <v>123</v>
      </c>
      <c r="D358" s="65"/>
      <c r="E358" s="65"/>
      <c r="F358" s="65"/>
      <c r="G358" s="65"/>
      <c r="H358" s="65"/>
      <c r="I358" s="65"/>
      <c r="J358" s="65"/>
      <c r="K358" s="65"/>
      <c r="L358" s="65"/>
    </row>
    <row r="359" spans="1:12">
      <c r="A359" s="10"/>
      <c r="B359" s="48"/>
      <c r="C359" s="65" t="s">
        <v>305</v>
      </c>
      <c r="D359" s="65"/>
      <c r="E359" s="65"/>
      <c r="F359" s="65"/>
      <c r="G359" s="65"/>
      <c r="H359" s="65"/>
      <c r="I359" s="65"/>
      <c r="J359" s="65"/>
      <c r="K359" s="65"/>
      <c r="L359" s="65"/>
    </row>
    <row r="360" spans="1:12">
      <c r="A360" s="10" t="s">
        <v>89</v>
      </c>
      <c r="B360" s="48"/>
      <c r="C360" s="65" t="s">
        <v>253</v>
      </c>
      <c r="D360" s="65"/>
      <c r="E360" s="65"/>
      <c r="F360" s="65"/>
      <c r="G360" s="65"/>
      <c r="H360" s="65"/>
      <c r="I360" s="65"/>
      <c r="J360" s="65"/>
      <c r="K360" s="65"/>
      <c r="L360" s="65"/>
    </row>
    <row r="361" spans="1:12">
      <c r="A361" s="10" t="s">
        <v>231</v>
      </c>
      <c r="B361" s="48"/>
      <c r="C361" s="65" t="s">
        <v>208</v>
      </c>
      <c r="D361" s="65"/>
      <c r="E361" s="65"/>
      <c r="F361" s="65"/>
      <c r="G361" s="65"/>
      <c r="H361" s="65"/>
      <c r="I361" s="65"/>
      <c r="J361" s="65"/>
      <c r="K361" s="65"/>
      <c r="L361" s="65"/>
    </row>
    <row r="362" spans="1:12">
      <c r="A362" s="10"/>
      <c r="B362" s="48"/>
      <c r="C362" s="65" t="s">
        <v>209</v>
      </c>
      <c r="D362" s="65"/>
      <c r="E362" s="65"/>
      <c r="F362" s="65"/>
      <c r="G362" s="65"/>
      <c r="H362" s="65"/>
      <c r="I362" s="65"/>
      <c r="J362" s="65"/>
      <c r="K362" s="65"/>
      <c r="L362" s="65"/>
    </row>
    <row r="363" spans="1:12">
      <c r="A363" s="10"/>
      <c r="B363" s="48"/>
      <c r="C363" s="65" t="s">
        <v>665</v>
      </c>
      <c r="D363" s="65"/>
      <c r="E363" s="65"/>
      <c r="F363" s="65"/>
      <c r="G363" s="65"/>
      <c r="H363" s="65"/>
      <c r="I363" s="65"/>
      <c r="J363" s="65"/>
      <c r="K363" s="65"/>
      <c r="L363" s="65"/>
    </row>
    <row r="364" spans="1:12">
      <c r="A364" s="10"/>
      <c r="B364" s="48"/>
      <c r="C364" s="65" t="s">
        <v>666</v>
      </c>
      <c r="D364" s="65"/>
      <c r="E364" s="65"/>
      <c r="F364" s="65"/>
      <c r="G364" s="65"/>
      <c r="H364" s="65"/>
      <c r="I364" s="65"/>
      <c r="J364" s="65"/>
      <c r="K364" s="65"/>
      <c r="L364" s="65"/>
    </row>
    <row r="365" spans="1:12">
      <c r="A365" s="10" t="s">
        <v>233</v>
      </c>
      <c r="B365" s="48"/>
      <c r="C365" s="65" t="s">
        <v>88</v>
      </c>
      <c r="D365" s="65"/>
      <c r="E365" s="65"/>
      <c r="F365" s="65"/>
      <c r="G365" s="65"/>
      <c r="H365" s="65"/>
      <c r="I365" s="65"/>
      <c r="J365" s="65"/>
      <c r="K365" s="65"/>
      <c r="L365" s="65"/>
    </row>
    <row r="366" spans="1:12">
      <c r="A366" s="10"/>
      <c r="B366" s="48"/>
      <c r="C366" s="65" t="s">
        <v>237</v>
      </c>
      <c r="D366" s="65"/>
      <c r="E366" s="65"/>
      <c r="F366" s="65"/>
      <c r="G366" s="65"/>
      <c r="H366" s="65"/>
      <c r="I366" s="65"/>
      <c r="J366" s="65"/>
      <c r="K366" s="65"/>
      <c r="L366" s="65"/>
    </row>
    <row r="367" spans="1:12">
      <c r="A367" s="10" t="s">
        <v>254</v>
      </c>
      <c r="B367" s="48"/>
      <c r="C367" s="65" t="s">
        <v>230</v>
      </c>
      <c r="D367" s="65"/>
      <c r="E367" s="65"/>
      <c r="F367" s="65"/>
      <c r="G367" s="65"/>
      <c r="H367" s="65"/>
      <c r="I367" s="65"/>
      <c r="J367" s="65"/>
      <c r="K367" s="65"/>
      <c r="L367" s="65"/>
    </row>
    <row r="368" spans="1:12">
      <c r="A368" s="10" t="s">
        <v>255</v>
      </c>
      <c r="B368" s="48"/>
      <c r="C368" s="65" t="s">
        <v>232</v>
      </c>
      <c r="D368" s="65"/>
      <c r="E368" s="65"/>
      <c r="F368" s="65"/>
      <c r="G368" s="65"/>
      <c r="H368" s="65"/>
      <c r="I368" s="65"/>
      <c r="J368" s="65"/>
      <c r="K368" s="65"/>
      <c r="L368" s="65"/>
    </row>
    <row r="369" spans="1:12">
      <c r="B369" s="48"/>
      <c r="C369" s="65" t="s">
        <v>228</v>
      </c>
      <c r="D369" s="65"/>
      <c r="E369" s="65"/>
      <c r="F369" s="65"/>
      <c r="G369" s="65"/>
      <c r="H369" s="65"/>
      <c r="I369" s="65"/>
      <c r="J369" s="65"/>
      <c r="K369" s="65"/>
      <c r="L369" s="65"/>
    </row>
    <row r="370" spans="1:12">
      <c r="C370" s="51" t="s">
        <v>224</v>
      </c>
      <c r="D370" s="51"/>
      <c r="E370" s="51"/>
      <c r="F370" s="51"/>
      <c r="G370" s="51"/>
      <c r="H370" s="51"/>
      <c r="I370" s="51"/>
      <c r="J370" s="51"/>
      <c r="K370" s="51"/>
      <c r="L370" s="51"/>
    </row>
    <row r="371" spans="1:12">
      <c r="A371" s="71" t="s">
        <v>225</v>
      </c>
      <c r="C371" s="51" t="s">
        <v>234</v>
      </c>
      <c r="D371" s="51"/>
      <c r="E371" s="51"/>
      <c r="F371" s="51"/>
      <c r="G371" s="51"/>
      <c r="H371" s="51"/>
      <c r="I371" s="51"/>
      <c r="J371" s="51"/>
      <c r="K371" s="51"/>
      <c r="L371" s="51"/>
    </row>
    <row r="372" spans="1:12">
      <c r="C372" s="51" t="s">
        <v>235</v>
      </c>
      <c r="D372" s="156"/>
      <c r="E372" s="51"/>
      <c r="F372" s="51"/>
      <c r="G372" s="51"/>
      <c r="H372" s="51"/>
      <c r="I372" s="51"/>
      <c r="J372" s="51"/>
      <c r="K372" s="51"/>
      <c r="L372" s="51"/>
    </row>
    <row r="373" spans="1:12">
      <c r="C373" s="51" t="s">
        <v>256</v>
      </c>
      <c r="D373" s="51"/>
      <c r="E373" s="51"/>
      <c r="F373" s="51"/>
      <c r="G373" s="51"/>
      <c r="H373" s="51"/>
      <c r="I373" s="51"/>
      <c r="J373" s="51"/>
      <c r="K373" s="51"/>
      <c r="L373" s="51"/>
    </row>
    <row r="374" spans="1:12">
      <c r="C374" s="51" t="s">
        <v>257</v>
      </c>
      <c r="D374" s="51"/>
      <c r="E374" s="156"/>
      <c r="F374" s="51"/>
      <c r="G374" s="51"/>
      <c r="H374" s="51"/>
      <c r="I374" s="51"/>
      <c r="J374" s="51"/>
      <c r="K374" s="51"/>
      <c r="L374" s="51"/>
    </row>
    <row r="375" spans="1:12">
      <c r="A375" s="71" t="s">
        <v>25</v>
      </c>
      <c r="C375" s="51" t="s">
        <v>229</v>
      </c>
      <c r="D375" s="49"/>
      <c r="E375" s="49"/>
      <c r="F375" s="49"/>
      <c r="G375" s="49"/>
      <c r="H375" s="49"/>
      <c r="I375" s="49"/>
      <c r="J375" s="51"/>
      <c r="K375" s="51"/>
      <c r="L375" s="51"/>
    </row>
    <row r="376" spans="1:12" s="44" customFormat="1">
      <c r="A376" s="157" t="s">
        <v>173</v>
      </c>
      <c r="C376" s="51" t="s">
        <v>652</v>
      </c>
      <c r="D376" s="51"/>
      <c r="E376" s="51"/>
      <c r="F376" s="51"/>
      <c r="G376" s="51"/>
      <c r="H376" s="51"/>
      <c r="I376" s="51"/>
      <c r="J376" s="51"/>
      <c r="K376" s="51"/>
      <c r="L376" s="51"/>
    </row>
    <row r="377" spans="1:12" s="44" customFormat="1">
      <c r="A377" s="157"/>
      <c r="C377" s="51" t="s">
        <v>301</v>
      </c>
      <c r="D377" s="51"/>
      <c r="E377" s="51"/>
      <c r="F377" s="51"/>
      <c r="G377" s="51"/>
      <c r="H377" s="51"/>
      <c r="I377" s="51"/>
      <c r="J377" s="51"/>
      <c r="K377" s="51"/>
      <c r="L377" s="51"/>
    </row>
    <row r="378" spans="1:12">
      <c r="A378" s="157" t="s">
        <v>318</v>
      </c>
      <c r="B378" s="44"/>
      <c r="C378" s="51" t="s">
        <v>328</v>
      </c>
      <c r="D378" s="51"/>
      <c r="E378" s="51"/>
      <c r="F378" s="51"/>
      <c r="G378" s="51"/>
      <c r="H378" s="51"/>
      <c r="I378" s="51"/>
      <c r="J378" s="51"/>
      <c r="K378" s="172"/>
      <c r="L378" s="172"/>
    </row>
    <row r="379" spans="1:12">
      <c r="A379" s="157"/>
      <c r="B379" s="44"/>
      <c r="C379" s="51" t="s">
        <v>326</v>
      </c>
      <c r="D379" s="51"/>
      <c r="E379" s="51"/>
      <c r="F379" s="51"/>
      <c r="G379" s="51"/>
      <c r="H379" s="51"/>
      <c r="I379" s="51"/>
      <c r="J379" s="51"/>
      <c r="K379" s="172"/>
      <c r="L379" s="172"/>
    </row>
    <row r="380" spans="1:12">
      <c r="A380" s="157"/>
      <c r="B380" s="44"/>
      <c r="C380" s="51" t="s">
        <v>327</v>
      </c>
      <c r="D380" s="51"/>
      <c r="E380" s="51"/>
      <c r="F380" s="51"/>
      <c r="G380" s="51"/>
      <c r="H380" s="51"/>
      <c r="I380" s="51"/>
      <c r="J380" s="51"/>
      <c r="K380" s="172"/>
      <c r="L380" s="172"/>
    </row>
    <row r="381" spans="1:12">
      <c r="A381" s="157" t="s">
        <v>343</v>
      </c>
      <c r="B381" s="44"/>
      <c r="C381" s="51" t="s">
        <v>346</v>
      </c>
      <c r="D381" s="51"/>
      <c r="E381" s="51"/>
      <c r="F381" s="51"/>
      <c r="G381" s="51"/>
      <c r="H381" s="51"/>
      <c r="I381" s="51"/>
      <c r="J381" s="51"/>
      <c r="K381" s="51"/>
      <c r="L381" s="51"/>
    </row>
    <row r="382" spans="1:12">
      <c r="A382" s="157" t="s">
        <v>344</v>
      </c>
      <c r="B382" s="44"/>
      <c r="C382" s="51" t="s">
        <v>347</v>
      </c>
      <c r="D382" s="51"/>
      <c r="E382" s="51"/>
      <c r="F382" s="51"/>
      <c r="G382" s="51"/>
      <c r="H382" s="51"/>
      <c r="I382" s="51"/>
      <c r="J382" s="51"/>
      <c r="K382" s="51"/>
      <c r="L382" s="51"/>
    </row>
    <row r="383" spans="1:12">
      <c r="A383" s="157" t="s">
        <v>345</v>
      </c>
      <c r="B383" s="44"/>
      <c r="C383" s="51" t="s">
        <v>348</v>
      </c>
      <c r="D383" s="51"/>
      <c r="E383" s="51"/>
      <c r="F383" s="51"/>
      <c r="G383" s="51"/>
      <c r="H383" s="51"/>
      <c r="I383" s="51"/>
      <c r="J383" s="51"/>
      <c r="K383" s="51"/>
      <c r="L383" s="51"/>
    </row>
    <row r="384" spans="1:12">
      <c r="A384" s="157"/>
      <c r="B384" s="44"/>
      <c r="C384" s="51" t="s">
        <v>349</v>
      </c>
      <c r="D384" s="51"/>
      <c r="E384" s="51" t="s">
        <v>354</v>
      </c>
      <c r="F384" s="51"/>
      <c r="G384" s="451">
        <v>987683.33333333326</v>
      </c>
      <c r="H384" s="51"/>
      <c r="I384" s="51"/>
      <c r="J384" s="51"/>
      <c r="K384" s="51"/>
      <c r="L384" s="51"/>
    </row>
    <row r="385" spans="1:12">
      <c r="A385" s="157"/>
      <c r="B385" s="44"/>
      <c r="C385" s="51" t="s">
        <v>350</v>
      </c>
      <c r="D385" s="51"/>
      <c r="E385" s="51" t="s">
        <v>354</v>
      </c>
      <c r="F385" s="173"/>
      <c r="G385" s="452">
        <v>1002433.7011813237</v>
      </c>
      <c r="H385" s="51"/>
      <c r="I385" s="51"/>
      <c r="J385" s="51"/>
      <c r="K385" s="51"/>
      <c r="L385" s="51"/>
    </row>
    <row r="386" spans="1:12">
      <c r="A386" s="157"/>
      <c r="B386" s="44"/>
      <c r="C386" s="51" t="s">
        <v>351</v>
      </c>
      <c r="D386" s="51"/>
      <c r="E386" s="51"/>
      <c r="F386" s="174"/>
      <c r="G386" s="453">
        <f>+G385-G384</f>
        <v>14750.367847990477</v>
      </c>
      <c r="H386" s="51"/>
      <c r="I386" s="51"/>
      <c r="J386" s="51"/>
      <c r="K386" s="51"/>
      <c r="L386" s="51"/>
    </row>
    <row r="387" spans="1:12">
      <c r="A387" s="157"/>
      <c r="B387" s="44"/>
      <c r="C387" s="51" t="s">
        <v>352</v>
      </c>
      <c r="D387" s="51"/>
      <c r="E387" s="51" t="s">
        <v>355</v>
      </c>
      <c r="F387" s="51"/>
      <c r="G387" s="454">
        <v>29.057247900124985</v>
      </c>
      <c r="H387" s="51"/>
      <c r="I387" s="51"/>
      <c r="J387" s="51"/>
      <c r="K387" s="51"/>
      <c r="L387" s="51"/>
    </row>
    <row r="388" spans="1:12">
      <c r="A388" s="157"/>
      <c r="B388" s="44"/>
      <c r="C388" s="51" t="s">
        <v>353</v>
      </c>
      <c r="D388" s="51"/>
      <c r="E388" s="51"/>
      <c r="F388" s="51"/>
      <c r="G388" s="273">
        <f>+G386*G387</f>
        <v>428605.09517709241</v>
      </c>
      <c r="H388" s="51"/>
      <c r="I388" s="51"/>
      <c r="J388" s="51"/>
      <c r="K388" s="51"/>
      <c r="L388" s="51"/>
    </row>
    <row r="389" spans="1:12" s="165" customFormat="1">
      <c r="A389" s="71" t="s">
        <v>367</v>
      </c>
      <c r="B389" s="21"/>
      <c r="C389" s="51" t="s">
        <v>653</v>
      </c>
      <c r="D389" s="49"/>
      <c r="E389" s="49"/>
      <c r="F389" s="49"/>
      <c r="G389" s="49"/>
      <c r="H389" s="49"/>
      <c r="I389" s="49"/>
      <c r="J389" s="51"/>
      <c r="K389" s="171"/>
      <c r="L389" s="171"/>
    </row>
    <row r="390" spans="1:12" s="165" customFormat="1">
      <c r="A390" s="71" t="s">
        <v>368</v>
      </c>
      <c r="B390" s="21"/>
      <c r="C390" s="51" t="s">
        <v>654</v>
      </c>
      <c r="D390" s="49"/>
      <c r="E390" s="49"/>
      <c r="F390" s="49"/>
      <c r="G390" s="49"/>
      <c r="H390" s="49"/>
      <c r="I390" s="49"/>
      <c r="J390" s="51"/>
      <c r="K390" s="171"/>
      <c r="L390" s="171"/>
    </row>
    <row r="391" spans="1:12" s="165" customFormat="1">
      <c r="A391" s="71"/>
      <c r="B391" s="21"/>
      <c r="C391" s="51" t="s">
        <v>655</v>
      </c>
      <c r="D391" s="49"/>
      <c r="E391" s="49"/>
      <c r="F391" s="49"/>
      <c r="G391" s="49"/>
      <c r="H391" s="49"/>
      <c r="I391" s="49"/>
      <c r="J391" s="51"/>
      <c r="K391" s="171"/>
      <c r="L391" s="171"/>
    </row>
    <row r="392" spans="1:12">
      <c r="A392" s="71" t="s">
        <v>381</v>
      </c>
      <c r="C392" s="51" t="s">
        <v>656</v>
      </c>
      <c r="D392" s="49"/>
      <c r="E392" s="49"/>
      <c r="F392" s="49"/>
      <c r="G392" s="49"/>
      <c r="H392" s="49"/>
      <c r="I392" s="49"/>
      <c r="J392" s="51"/>
      <c r="K392" s="51"/>
      <c r="L392" s="51"/>
    </row>
    <row r="393" spans="1:12">
      <c r="A393" s="71" t="s">
        <v>382</v>
      </c>
      <c r="C393" s="51" t="s">
        <v>657</v>
      </c>
      <c r="D393" s="49"/>
      <c r="E393" s="49"/>
      <c r="F393" s="49"/>
      <c r="G393" s="49"/>
      <c r="H393" s="49"/>
      <c r="I393" s="49"/>
      <c r="J393" s="51"/>
      <c r="K393" s="51"/>
      <c r="L393" s="51"/>
    </row>
    <row r="394" spans="1:12">
      <c r="A394" s="71"/>
      <c r="C394" s="51" t="s">
        <v>658</v>
      </c>
      <c r="D394" s="49"/>
      <c r="E394" s="49"/>
      <c r="F394" s="49"/>
      <c r="G394" s="49"/>
      <c r="H394" s="49"/>
      <c r="I394" s="49"/>
      <c r="J394" s="51"/>
      <c r="K394" s="51"/>
      <c r="L394" s="51"/>
    </row>
    <row r="395" spans="1:12">
      <c r="A395" s="274" t="s">
        <v>539</v>
      </c>
      <c r="B395" s="274"/>
      <c r="C395" s="275" t="s">
        <v>540</v>
      </c>
      <c r="D395" s="49"/>
      <c r="E395" s="49"/>
      <c r="F395" s="49"/>
      <c r="G395" s="49"/>
      <c r="H395" s="49"/>
      <c r="I395" s="49"/>
      <c r="J395" s="49"/>
      <c r="K395" s="49"/>
      <c r="L395" s="51"/>
    </row>
    <row r="396" spans="1:12">
      <c r="A396" s="274" t="s">
        <v>541</v>
      </c>
      <c r="B396" s="276"/>
      <c r="C396" s="277" t="s">
        <v>542</v>
      </c>
      <c r="D396" s="49"/>
      <c r="E396" s="49"/>
      <c r="F396" s="49"/>
      <c r="G396" s="49"/>
      <c r="H396" s="49"/>
      <c r="I396" s="49"/>
      <c r="J396" s="49"/>
      <c r="K396" s="49"/>
      <c r="L396" s="51"/>
    </row>
    <row r="397" spans="1:12">
      <c r="C397" s="44"/>
    </row>
  </sheetData>
  <mergeCells count="1">
    <mergeCell ref="N1:P4"/>
  </mergeCells>
  <phoneticPr fontId="0" type="noConversion"/>
  <pageMargins left="0.5" right="0.3" top="0.79" bottom="0.75" header="0.5" footer="0.5"/>
  <pageSetup scale="52" fitToHeight="5" orientation="portrait" horizontalDpi="300" verticalDpi="300" r:id="rId1"/>
  <headerFooter alignWithMargins="0"/>
  <rowBreaks count="4" manualBreakCount="4">
    <brk id="78" max="11" man="1"/>
    <brk id="156" max="11" man="1"/>
    <brk id="235" max="11" man="1"/>
    <brk id="31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6"/>
  <sheetViews>
    <sheetView zoomScale="80" zoomScaleNormal="80" workbookViewId="0"/>
  </sheetViews>
  <sheetFormatPr defaultRowHeight="17.25"/>
  <cols>
    <col min="1" max="1" width="6.5546875" style="194" customWidth="1"/>
    <col min="2" max="2" width="23.33203125" style="194" customWidth="1"/>
    <col min="3" max="7" width="18.77734375" style="194" customWidth="1"/>
    <col min="8" max="8" width="12.6640625" style="194" bestFit="1" customWidth="1"/>
    <col min="9" max="13" width="15.77734375" style="194" customWidth="1"/>
    <col min="14" max="16384" width="8.88671875" style="194"/>
  </cols>
  <sheetData>
    <row r="1" spans="1:8" ht="18.75">
      <c r="A1" s="193" t="s">
        <v>383</v>
      </c>
      <c r="B1" s="448"/>
      <c r="C1" s="448"/>
      <c r="D1" s="448"/>
      <c r="E1" s="448"/>
      <c r="F1" s="448"/>
      <c r="G1" s="448"/>
    </row>
    <row r="2" spans="1:8">
      <c r="A2" s="194" t="s">
        <v>384</v>
      </c>
      <c r="B2" s="448"/>
      <c r="C2" s="448"/>
      <c r="D2" s="448"/>
      <c r="E2" s="448"/>
      <c r="F2" s="448"/>
      <c r="G2" s="448"/>
    </row>
    <row r="3" spans="1:8">
      <c r="A3" s="194" t="s">
        <v>396</v>
      </c>
      <c r="B3" s="448"/>
      <c r="C3" s="448"/>
      <c r="D3" s="448"/>
      <c r="E3" s="448"/>
      <c r="F3" s="448"/>
      <c r="G3" s="448"/>
    </row>
    <row r="4" spans="1:8" ht="18.75">
      <c r="A4" s="193"/>
      <c r="B4" s="448"/>
      <c r="C4" s="448"/>
      <c r="D4" s="448"/>
      <c r="E4" s="448"/>
      <c r="F4" s="448"/>
      <c r="G4" s="448"/>
    </row>
    <row r="5" spans="1:8">
      <c r="B5" s="448" t="s">
        <v>385</v>
      </c>
      <c r="C5" s="448"/>
      <c r="D5" s="448"/>
      <c r="E5" s="448"/>
      <c r="F5" s="448"/>
      <c r="G5" s="448"/>
    </row>
    <row r="6" spans="1:8" ht="39.75" customHeight="1">
      <c r="B6" s="448"/>
      <c r="C6" s="449" t="s">
        <v>386</v>
      </c>
      <c r="D6" s="449" t="s">
        <v>8</v>
      </c>
      <c r="E6" s="449" t="s">
        <v>387</v>
      </c>
      <c r="F6" s="450" t="s">
        <v>388</v>
      </c>
      <c r="G6" s="449" t="s">
        <v>389</v>
      </c>
      <c r="H6" s="195"/>
    </row>
    <row r="7" spans="1:8">
      <c r="B7" s="455">
        <v>42705</v>
      </c>
      <c r="C7" s="445">
        <v>1579878259.0526488</v>
      </c>
      <c r="D7" s="445">
        <v>471212456.48084408</v>
      </c>
      <c r="E7" s="445">
        <v>640352658.30168319</v>
      </c>
      <c r="F7" s="445">
        <v>43224098.758128807</v>
      </c>
      <c r="G7" s="445">
        <v>56731419.556330912</v>
      </c>
      <c r="H7" s="195"/>
    </row>
    <row r="8" spans="1:8">
      <c r="B8" s="455">
        <v>42736</v>
      </c>
      <c r="C8" s="446">
        <v>1580814671.7496955</v>
      </c>
      <c r="D8" s="446">
        <v>471660133.39843178</v>
      </c>
      <c r="E8" s="446">
        <v>643137446.04926729</v>
      </c>
      <c r="F8" s="446">
        <v>43300879.344676889</v>
      </c>
      <c r="G8" s="446">
        <v>56839887.833236508</v>
      </c>
      <c r="H8" s="195"/>
    </row>
    <row r="9" spans="1:8">
      <c r="B9" s="455">
        <v>42767</v>
      </c>
      <c r="C9" s="446">
        <v>1582110749.8736413</v>
      </c>
      <c r="D9" s="446">
        <v>472352420.09887993</v>
      </c>
      <c r="E9" s="446">
        <v>645268752.84833205</v>
      </c>
      <c r="F9" s="446">
        <v>43323565.819605358</v>
      </c>
      <c r="G9" s="446">
        <v>56863802.000028215</v>
      </c>
      <c r="H9" s="195"/>
    </row>
    <row r="10" spans="1:8">
      <c r="B10" s="455">
        <v>42795</v>
      </c>
      <c r="C10" s="446">
        <v>1584382842.0202105</v>
      </c>
      <c r="D10" s="446">
        <v>473316522.62516665</v>
      </c>
      <c r="E10" s="446">
        <v>647757242.02979875</v>
      </c>
      <c r="F10" s="446">
        <v>43366091.757692136</v>
      </c>
      <c r="G10" s="446">
        <v>57138830.811827727</v>
      </c>
      <c r="H10" s="195"/>
    </row>
    <row r="11" spans="1:8">
      <c r="B11" s="455">
        <v>42826</v>
      </c>
      <c r="C11" s="446">
        <v>1586324186.778806</v>
      </c>
      <c r="D11" s="446">
        <v>473931354.92328399</v>
      </c>
      <c r="E11" s="446">
        <v>652542378.89109206</v>
      </c>
      <c r="F11" s="446">
        <v>43437102.767327636</v>
      </c>
      <c r="G11" s="446">
        <v>57136563.298458464</v>
      </c>
    </row>
    <row r="12" spans="1:8">
      <c r="B12" s="455">
        <v>42856</v>
      </c>
      <c r="C12" s="446">
        <v>1588828530.3676109</v>
      </c>
      <c r="D12" s="446">
        <v>475082673.68848622</v>
      </c>
      <c r="E12" s="446">
        <v>655637132.4161377</v>
      </c>
      <c r="F12" s="446">
        <v>43482136.853470832</v>
      </c>
      <c r="G12" s="446">
        <v>57238168.735880397</v>
      </c>
    </row>
    <row r="13" spans="1:8">
      <c r="B13" s="455">
        <v>42887</v>
      </c>
      <c r="C13" s="446">
        <v>1590558718.9747407</v>
      </c>
      <c r="D13" s="446">
        <v>476502356.92567986</v>
      </c>
      <c r="E13" s="446">
        <v>659158883.96321356</v>
      </c>
      <c r="F13" s="446">
        <v>43498122.235908844</v>
      </c>
      <c r="G13" s="446">
        <v>57378988.949517131</v>
      </c>
    </row>
    <row r="14" spans="1:8">
      <c r="B14" s="455">
        <v>42917</v>
      </c>
      <c r="C14" s="446">
        <v>1591007187.6642737</v>
      </c>
      <c r="D14" s="446">
        <v>477083684.57124764</v>
      </c>
      <c r="E14" s="446">
        <v>661833266.11391735</v>
      </c>
      <c r="F14" s="446">
        <v>43578164.337778933</v>
      </c>
      <c r="G14" s="446">
        <v>57566913.104008704</v>
      </c>
    </row>
    <row r="15" spans="1:8">
      <c r="B15" s="455">
        <v>42948</v>
      </c>
      <c r="C15" s="446">
        <v>1592967267.8516967</v>
      </c>
      <c r="D15" s="446">
        <v>478237981.96990252</v>
      </c>
      <c r="E15" s="446">
        <v>664247596.686764</v>
      </c>
      <c r="F15" s="446">
        <v>43691209.653825067</v>
      </c>
      <c r="G15" s="446">
        <v>57811052.2309407</v>
      </c>
    </row>
    <row r="16" spans="1:8">
      <c r="B16" s="455">
        <v>42979</v>
      </c>
      <c r="C16" s="446">
        <v>1593880291.1381893</v>
      </c>
      <c r="D16" s="446">
        <v>479402769.73614061</v>
      </c>
      <c r="E16" s="446">
        <v>666881993.21298659</v>
      </c>
      <c r="F16" s="446">
        <v>43744764.0493614</v>
      </c>
      <c r="G16" s="446">
        <v>57974908.010991715</v>
      </c>
    </row>
    <row r="17" spans="2:7">
      <c r="B17" s="455">
        <v>43009</v>
      </c>
      <c r="C17" s="446">
        <v>1602173880.4093685</v>
      </c>
      <c r="D17" s="446">
        <v>480169759.518053</v>
      </c>
      <c r="E17" s="446">
        <v>670021926.6503551</v>
      </c>
      <c r="F17" s="446">
        <v>43798347.030781776</v>
      </c>
      <c r="G17" s="446">
        <v>58030891.52676563</v>
      </c>
    </row>
    <row r="18" spans="2:7">
      <c r="B18" s="455">
        <v>43040</v>
      </c>
      <c r="C18" s="446">
        <v>1604415679.6656792</v>
      </c>
      <c r="D18" s="446">
        <v>487335364.07227099</v>
      </c>
      <c r="E18" s="446">
        <v>673254282.01412833</v>
      </c>
      <c r="F18" s="446">
        <v>43849121.483297683</v>
      </c>
      <c r="G18" s="446">
        <v>59596573.971887782</v>
      </c>
    </row>
    <row r="19" spans="2:7">
      <c r="B19" s="455">
        <v>43070</v>
      </c>
      <c r="C19" s="446">
        <v>1610668679.5504448</v>
      </c>
      <c r="D19" s="446">
        <v>492851076.44642538</v>
      </c>
      <c r="E19" s="446">
        <v>679709266.49314058</v>
      </c>
      <c r="F19" s="446">
        <v>44072630.478624381</v>
      </c>
      <c r="G19" s="446">
        <v>59892836.605245076</v>
      </c>
    </row>
    <row r="20" spans="2:7">
      <c r="B20" s="455"/>
      <c r="C20" s="445"/>
      <c r="D20" s="445"/>
      <c r="E20" s="445"/>
      <c r="F20" s="445"/>
      <c r="G20" s="445"/>
    </row>
    <row r="21" spans="2:7">
      <c r="B21" s="456" t="s">
        <v>390</v>
      </c>
      <c r="C21" s="447">
        <f>SUM(C7:C19)/13</f>
        <v>1591385457.3151546</v>
      </c>
      <c r="D21" s="447">
        <f>SUM(D7:D19)/13</f>
        <v>477626042.65037018</v>
      </c>
      <c r="E21" s="447">
        <f>SUM(E7:E19)/13</f>
        <v>658446371.20544744</v>
      </c>
      <c r="F21" s="447">
        <f>SUM(F7:F19)/13</f>
        <v>43566633.428498439</v>
      </c>
      <c r="G21" s="447">
        <f>SUM(G7:G19)/13</f>
        <v>57707756.664239921</v>
      </c>
    </row>
    <row r="22" spans="2:7">
      <c r="B22" s="448"/>
      <c r="C22" s="448"/>
      <c r="D22" s="448"/>
      <c r="E22" s="448"/>
      <c r="F22" s="448"/>
      <c r="G22" s="448"/>
    </row>
    <row r="23" spans="2:7">
      <c r="B23" s="448"/>
      <c r="C23" s="446"/>
      <c r="D23" s="446"/>
      <c r="E23" s="446"/>
      <c r="F23" s="446"/>
      <c r="G23" s="446"/>
    </row>
    <row r="24" spans="2:7">
      <c r="B24" s="448"/>
      <c r="C24" s="446"/>
      <c r="D24" s="446"/>
      <c r="E24" s="446"/>
      <c r="F24" s="446"/>
      <c r="G24" s="446"/>
    </row>
    <row r="25" spans="2:7">
      <c r="B25" s="448" t="s">
        <v>391</v>
      </c>
      <c r="C25" s="448"/>
      <c r="D25" s="448"/>
      <c r="E25" s="448"/>
      <c r="F25" s="448"/>
      <c r="G25" s="448"/>
    </row>
    <row r="26" spans="2:7" ht="34.5">
      <c r="B26" s="448"/>
      <c r="C26" s="449" t="s">
        <v>386</v>
      </c>
      <c r="D26" s="449" t="s">
        <v>8</v>
      </c>
      <c r="E26" s="449" t="s">
        <v>387</v>
      </c>
      <c r="F26" s="450" t="s">
        <v>388</v>
      </c>
      <c r="G26" s="449" t="s">
        <v>389</v>
      </c>
    </row>
    <row r="27" spans="2:7">
      <c r="B27" s="455">
        <v>42705</v>
      </c>
      <c r="C27" s="447">
        <v>909949297.77708697</v>
      </c>
      <c r="D27" s="447">
        <v>128945226.92338742</v>
      </c>
      <c r="E27" s="447">
        <v>282816164.33918965</v>
      </c>
      <c r="F27" s="447">
        <v>17781886.671972413</v>
      </c>
      <c r="G27" s="447">
        <v>31449494.641492046</v>
      </c>
    </row>
    <row r="28" spans="2:7">
      <c r="B28" s="455">
        <v>42736</v>
      </c>
      <c r="C28" s="446">
        <v>914461157.66003025</v>
      </c>
      <c r="D28" s="446">
        <v>129692384.17489029</v>
      </c>
      <c r="E28" s="446">
        <v>284135730.48322636</v>
      </c>
      <c r="F28" s="446">
        <v>17556152.480002761</v>
      </c>
      <c r="G28" s="446">
        <v>31577546.438080709</v>
      </c>
    </row>
    <row r="29" spans="2:7">
      <c r="B29" s="455">
        <v>42767</v>
      </c>
      <c r="C29" s="446">
        <v>918815975.04047501</v>
      </c>
      <c r="D29" s="446">
        <v>130402980.63804862</v>
      </c>
      <c r="E29" s="446">
        <v>285533226.41038746</v>
      </c>
      <c r="F29" s="446">
        <v>17699989.465251911</v>
      </c>
      <c r="G29" s="446">
        <v>31725854.149020497</v>
      </c>
    </row>
    <row r="30" spans="2:7">
      <c r="B30" s="455">
        <v>42795</v>
      </c>
      <c r="C30" s="446">
        <v>922740692.30608022</v>
      </c>
      <c r="D30" s="446">
        <v>131073286.16450278</v>
      </c>
      <c r="E30" s="446">
        <v>286897378.0871464</v>
      </c>
      <c r="F30" s="446">
        <v>17749789.274127025</v>
      </c>
      <c r="G30" s="446">
        <v>31814940.050956514</v>
      </c>
    </row>
    <row r="31" spans="2:7">
      <c r="B31" s="455">
        <v>42826</v>
      </c>
      <c r="C31" s="446">
        <v>926819734.62594402</v>
      </c>
      <c r="D31" s="446">
        <v>131798570.9375287</v>
      </c>
      <c r="E31" s="446">
        <v>288098487.81973326</v>
      </c>
      <c r="F31" s="446">
        <v>17776350.134152476</v>
      </c>
      <c r="G31" s="446">
        <v>31970236.459694345</v>
      </c>
    </row>
    <row r="32" spans="2:7">
      <c r="B32" s="455">
        <v>42856</v>
      </c>
      <c r="C32" s="446">
        <v>930717259.27300406</v>
      </c>
      <c r="D32" s="446">
        <v>132443032.62843411</v>
      </c>
      <c r="E32" s="446">
        <v>289415301.74219716</v>
      </c>
      <c r="F32" s="446">
        <v>17683967.296635453</v>
      </c>
      <c r="G32" s="446">
        <v>32101003.800255898</v>
      </c>
    </row>
    <row r="33" spans="1:7">
      <c r="B33" s="455">
        <v>42887</v>
      </c>
      <c r="C33" s="446">
        <v>935216829.93409216</v>
      </c>
      <c r="D33" s="446">
        <v>133048525.16808483</v>
      </c>
      <c r="E33" s="446">
        <v>290693639.61691624</v>
      </c>
      <c r="F33" s="446">
        <v>17890242.909629907</v>
      </c>
      <c r="G33" s="446">
        <v>32222786.805125993</v>
      </c>
    </row>
    <row r="34" spans="1:7">
      <c r="B34" s="455">
        <v>42917</v>
      </c>
      <c r="C34" s="446">
        <v>940015275.2181077</v>
      </c>
      <c r="D34" s="446">
        <v>133784437.93084636</v>
      </c>
      <c r="E34" s="446">
        <v>292072804.45198339</v>
      </c>
      <c r="F34" s="446">
        <v>17714805.455895886</v>
      </c>
      <c r="G34" s="446">
        <v>32333829.234995894</v>
      </c>
    </row>
    <row r="35" spans="1:7">
      <c r="B35" s="455">
        <v>42948</v>
      </c>
      <c r="C35" s="446">
        <v>944220885.64455438</v>
      </c>
      <c r="D35" s="446">
        <v>134433900.39924362</v>
      </c>
      <c r="E35" s="446">
        <v>293486947.47554415</v>
      </c>
      <c r="F35" s="446">
        <v>17421505.592469975</v>
      </c>
      <c r="G35" s="446">
        <v>32432107.724884916</v>
      </c>
    </row>
    <row r="36" spans="1:7">
      <c r="B36" s="455">
        <v>42979</v>
      </c>
      <c r="C36" s="446">
        <v>948815837.19677472</v>
      </c>
      <c r="D36" s="446">
        <v>135083759.58821109</v>
      </c>
      <c r="E36" s="446">
        <v>294883335.89149433</v>
      </c>
      <c r="F36" s="446">
        <v>17470817.813156262</v>
      </c>
      <c r="G36" s="446">
        <v>32550000.059583966</v>
      </c>
    </row>
    <row r="37" spans="1:7">
      <c r="B37" s="455">
        <v>43009</v>
      </c>
      <c r="C37" s="446">
        <v>953238471.46226406</v>
      </c>
      <c r="D37" s="446">
        <v>135796353.07135451</v>
      </c>
      <c r="E37" s="446">
        <v>296231563.26928622</v>
      </c>
      <c r="F37" s="446">
        <v>17454757.415817916</v>
      </c>
      <c r="G37" s="446">
        <v>32693804.077731825</v>
      </c>
    </row>
    <row r="38" spans="1:7">
      <c r="B38" s="455">
        <v>43040</v>
      </c>
      <c r="C38" s="446">
        <v>957332035.54675305</v>
      </c>
      <c r="D38" s="446">
        <v>135894431.7674574</v>
      </c>
      <c r="E38" s="446">
        <v>297577717.28545809</v>
      </c>
      <c r="F38" s="446">
        <v>17429382.6022994</v>
      </c>
      <c r="G38" s="446">
        <v>32496113.730447903</v>
      </c>
    </row>
    <row r="39" spans="1:7">
      <c r="B39" s="455">
        <v>43070</v>
      </c>
      <c r="C39" s="446">
        <v>960853713.83841729</v>
      </c>
      <c r="D39" s="446">
        <v>136136472.01777518</v>
      </c>
      <c r="E39" s="446">
        <v>298856843.96226931</v>
      </c>
      <c r="F39" s="446">
        <v>16956371.709745042</v>
      </c>
      <c r="G39" s="446">
        <v>32587571.776746284</v>
      </c>
    </row>
    <row r="40" spans="1:7">
      <c r="B40" s="455"/>
      <c r="C40" s="445"/>
      <c r="D40" s="445"/>
      <c r="E40" s="445"/>
      <c r="F40" s="445"/>
      <c r="G40" s="445"/>
    </row>
    <row r="41" spans="1:7">
      <c r="B41" s="456" t="s">
        <v>390</v>
      </c>
      <c r="C41" s="447">
        <f>SUM(C27:C39)/13</f>
        <v>935630551.19412208</v>
      </c>
      <c r="D41" s="447">
        <f>SUM(D27:D39)/13</f>
        <v>132964104.72382806</v>
      </c>
      <c r="E41" s="447">
        <f>SUM(E27:E39)/13</f>
        <v>290823010.83344859</v>
      </c>
      <c r="F41" s="447">
        <f>SUM(F27:F39)/13</f>
        <v>17583539.909319721</v>
      </c>
      <c r="G41" s="447">
        <f>SUM(G27:G39)/13</f>
        <v>32150406.842232056</v>
      </c>
    </row>
    <row r="42" spans="1:7">
      <c r="B42" s="456"/>
      <c r="C42" s="457"/>
      <c r="D42" s="457"/>
      <c r="E42" s="457"/>
      <c r="F42" s="457"/>
      <c r="G42" s="457"/>
    </row>
    <row r="43" spans="1:7">
      <c r="B43" s="448"/>
      <c r="C43" s="491">
        <f>+C21-C41</f>
        <v>655754906.12103248</v>
      </c>
      <c r="D43" s="491">
        <f t="shared" ref="D43:G43" si="0">+D21-D41</f>
        <v>344661937.9265421</v>
      </c>
      <c r="E43" s="491">
        <f t="shared" si="0"/>
        <v>367623360.37199885</v>
      </c>
      <c r="F43" s="491">
        <f t="shared" si="0"/>
        <v>25983093.519178718</v>
      </c>
      <c r="G43" s="491">
        <f t="shared" si="0"/>
        <v>25557349.822007865</v>
      </c>
    </row>
    <row r="44" spans="1:7" ht="18.75">
      <c r="A44" s="193" t="s">
        <v>383</v>
      </c>
      <c r="B44" s="448"/>
      <c r="C44" s="446"/>
      <c r="D44" s="446"/>
      <c r="E44" s="446"/>
      <c r="F44" s="446"/>
      <c r="G44" s="446"/>
    </row>
    <row r="45" spans="1:7">
      <c r="A45" s="194" t="s">
        <v>392</v>
      </c>
      <c r="B45" s="448"/>
      <c r="C45" s="448"/>
      <c r="D45" s="448"/>
      <c r="E45" s="448"/>
      <c r="F45" s="448"/>
      <c r="G45" s="448"/>
    </row>
    <row r="46" spans="1:7">
      <c r="A46" s="194" t="s">
        <v>396</v>
      </c>
      <c r="B46" s="448"/>
      <c r="C46" s="448"/>
      <c r="D46" s="448"/>
      <c r="E46" s="448"/>
      <c r="F46" s="448"/>
      <c r="G46" s="448"/>
    </row>
    <row r="47" spans="1:7">
      <c r="B47" s="448"/>
      <c r="C47" s="448"/>
      <c r="D47" s="448"/>
      <c r="E47" s="458"/>
      <c r="F47" s="458"/>
      <c r="G47" s="458"/>
    </row>
    <row r="48" spans="1:7">
      <c r="B48" s="448"/>
      <c r="C48" s="448"/>
      <c r="D48" s="448"/>
      <c r="E48" s="458"/>
      <c r="F48" s="458"/>
      <c r="G48" s="458"/>
    </row>
    <row r="49" spans="2:7">
      <c r="B49" s="459" t="s">
        <v>393</v>
      </c>
      <c r="C49" s="448"/>
      <c r="D49" s="448"/>
      <c r="E49" s="458"/>
      <c r="F49" s="458"/>
      <c r="G49" s="458"/>
    </row>
    <row r="50" spans="2:7">
      <c r="B50" s="459" t="s">
        <v>394</v>
      </c>
      <c r="C50" s="448"/>
      <c r="D50" s="448"/>
      <c r="E50" s="458"/>
      <c r="F50" s="458"/>
      <c r="G50" s="458"/>
    </row>
    <row r="51" spans="2:7">
      <c r="B51" s="459"/>
      <c r="C51" s="448"/>
      <c r="D51" s="448"/>
      <c r="E51" s="458"/>
      <c r="F51" s="458"/>
      <c r="G51" s="458"/>
    </row>
    <row r="52" spans="2:7">
      <c r="B52" s="455">
        <v>42705</v>
      </c>
      <c r="C52" s="460">
        <v>0</v>
      </c>
      <c r="D52" s="448"/>
      <c r="E52" s="460"/>
      <c r="F52" s="461"/>
      <c r="G52" s="458"/>
    </row>
    <row r="53" spans="2:7">
      <c r="B53" s="455">
        <v>42736</v>
      </c>
      <c r="C53" s="460">
        <f t="shared" ref="C53:C61" si="1">+C52+D53</f>
        <v>0</v>
      </c>
      <c r="D53" s="446">
        <v>0</v>
      </c>
      <c r="E53" s="460"/>
      <c r="F53" s="461"/>
      <c r="G53" s="458"/>
    </row>
    <row r="54" spans="2:7">
      <c r="B54" s="455">
        <v>42767</v>
      </c>
      <c r="C54" s="460">
        <f t="shared" si="1"/>
        <v>0</v>
      </c>
      <c r="D54" s="446">
        <v>0</v>
      </c>
      <c r="E54" s="460"/>
      <c r="F54" s="461"/>
      <c r="G54" s="458"/>
    </row>
    <row r="55" spans="2:7">
      <c r="B55" s="455">
        <v>42795</v>
      </c>
      <c r="C55" s="460">
        <f t="shared" si="1"/>
        <v>0</v>
      </c>
      <c r="D55" s="446">
        <v>0</v>
      </c>
      <c r="E55" s="460"/>
      <c r="F55" s="461"/>
      <c r="G55" s="458"/>
    </row>
    <row r="56" spans="2:7">
      <c r="B56" s="455">
        <v>42826</v>
      </c>
      <c r="C56" s="460">
        <f t="shared" si="1"/>
        <v>0</v>
      </c>
      <c r="D56" s="446">
        <v>0</v>
      </c>
      <c r="E56" s="460"/>
      <c r="F56" s="461"/>
      <c r="G56" s="458"/>
    </row>
    <row r="57" spans="2:7">
      <c r="B57" s="455">
        <v>42856</v>
      </c>
      <c r="C57" s="460">
        <f t="shared" si="1"/>
        <v>0</v>
      </c>
      <c r="D57" s="446">
        <v>0</v>
      </c>
      <c r="E57" s="460"/>
      <c r="F57" s="461"/>
      <c r="G57" s="458"/>
    </row>
    <row r="58" spans="2:7">
      <c r="B58" s="455">
        <v>42887</v>
      </c>
      <c r="C58" s="460">
        <f t="shared" si="1"/>
        <v>0</v>
      </c>
      <c r="D58" s="446">
        <v>0</v>
      </c>
      <c r="E58" s="460"/>
      <c r="F58" s="461"/>
      <c r="G58" s="458"/>
    </row>
    <row r="59" spans="2:7">
      <c r="B59" s="455">
        <v>42917</v>
      </c>
      <c r="C59" s="460">
        <f t="shared" si="1"/>
        <v>0</v>
      </c>
      <c r="D59" s="446">
        <v>0</v>
      </c>
      <c r="E59" s="460"/>
      <c r="F59" s="461"/>
      <c r="G59" s="458"/>
    </row>
    <row r="60" spans="2:7">
      <c r="B60" s="455">
        <v>42948</v>
      </c>
      <c r="C60" s="460">
        <f t="shared" si="1"/>
        <v>0</v>
      </c>
      <c r="D60" s="446">
        <v>0</v>
      </c>
      <c r="E60" s="460"/>
      <c r="F60" s="461"/>
      <c r="G60" s="458"/>
    </row>
    <row r="61" spans="2:7">
      <c r="B61" s="455">
        <v>42979</v>
      </c>
      <c r="C61" s="460">
        <f t="shared" si="1"/>
        <v>0</v>
      </c>
      <c r="D61" s="446">
        <v>0</v>
      </c>
      <c r="E61" s="460"/>
      <c r="F61" s="461"/>
      <c r="G61" s="458"/>
    </row>
    <row r="62" spans="2:7">
      <c r="B62" s="455">
        <v>43009</v>
      </c>
      <c r="C62" s="460">
        <v>0</v>
      </c>
      <c r="D62" s="446">
        <v>0</v>
      </c>
      <c r="E62" s="460"/>
      <c r="F62" s="461"/>
      <c r="G62" s="458"/>
    </row>
    <row r="63" spans="2:7">
      <c r="B63" s="455">
        <v>43040</v>
      </c>
      <c r="C63" s="460">
        <v>0</v>
      </c>
      <c r="D63" s="446">
        <v>0</v>
      </c>
      <c r="E63" s="460"/>
      <c r="F63" s="461"/>
      <c r="G63" s="458"/>
    </row>
    <row r="64" spans="2:7">
      <c r="B64" s="455">
        <v>43070</v>
      </c>
      <c r="C64" s="460">
        <v>0</v>
      </c>
      <c r="D64" s="446">
        <v>0</v>
      </c>
      <c r="E64" s="460"/>
      <c r="F64" s="461"/>
      <c r="G64" s="458"/>
    </row>
    <row r="65" spans="1:7">
      <c r="B65" s="462"/>
      <c r="C65" s="459"/>
      <c r="D65" s="448"/>
      <c r="E65" s="463"/>
      <c r="F65" s="464"/>
      <c r="G65" s="458"/>
    </row>
    <row r="66" spans="1:7">
      <c r="B66" s="456" t="s">
        <v>390</v>
      </c>
      <c r="C66" s="465">
        <f>AVERAGE(C52:C64)</f>
        <v>0</v>
      </c>
      <c r="D66" s="448">
        <f>SUM(D52:D65)</f>
        <v>0</v>
      </c>
      <c r="E66" s="466"/>
      <c r="F66" s="467"/>
      <c r="G66" s="458"/>
    </row>
    <row r="67" spans="1:7">
      <c r="B67" s="448"/>
      <c r="C67" s="448"/>
      <c r="D67" s="448"/>
      <c r="E67" s="458"/>
      <c r="F67" s="458"/>
      <c r="G67" s="458"/>
    </row>
    <row r="68" spans="1:7">
      <c r="B68" s="448"/>
      <c r="C68" s="448"/>
      <c r="D68" s="448"/>
      <c r="E68" s="448"/>
      <c r="F68" s="448"/>
      <c r="G68" s="448"/>
    </row>
    <row r="69" spans="1:7">
      <c r="B69" s="448"/>
      <c r="C69" s="448"/>
      <c r="D69" s="448"/>
      <c r="E69" s="448"/>
      <c r="F69" s="448"/>
      <c r="G69" s="448"/>
    </row>
    <row r="70" spans="1:7" ht="18.75">
      <c r="A70" s="193" t="s">
        <v>383</v>
      </c>
      <c r="B70" s="448"/>
      <c r="C70" s="448"/>
      <c r="D70" s="448"/>
      <c r="E70" s="448"/>
      <c r="F70" s="448"/>
      <c r="G70" s="448"/>
    </row>
    <row r="71" spans="1:7">
      <c r="A71" s="194" t="s">
        <v>395</v>
      </c>
      <c r="B71" s="448"/>
      <c r="C71" s="448"/>
      <c r="D71" s="448"/>
      <c r="E71" s="448"/>
      <c r="F71" s="448"/>
      <c r="G71" s="448"/>
    </row>
    <row r="72" spans="1:7">
      <c r="A72" s="194" t="s">
        <v>396</v>
      </c>
      <c r="B72" s="448"/>
      <c r="C72" s="448"/>
      <c r="D72" s="448"/>
      <c r="E72" s="448"/>
      <c r="F72" s="448"/>
      <c r="G72" s="448"/>
    </row>
    <row r="73" spans="1:7">
      <c r="B73" s="448"/>
      <c r="C73" s="448"/>
      <c r="D73" s="448"/>
      <c r="E73" s="448"/>
      <c r="F73" s="448"/>
      <c r="G73" s="448"/>
    </row>
    <row r="74" spans="1:7">
      <c r="B74" s="448"/>
      <c r="C74" s="448"/>
      <c r="D74" s="468">
        <v>282</v>
      </c>
      <c r="E74" s="468">
        <v>283</v>
      </c>
      <c r="F74" s="468">
        <v>190</v>
      </c>
      <c r="G74" s="468">
        <v>255</v>
      </c>
    </row>
    <row r="75" spans="1:7">
      <c r="B75" s="448" t="s">
        <v>397</v>
      </c>
      <c r="C75" s="448"/>
      <c r="D75" s="448"/>
      <c r="E75" s="448"/>
      <c r="F75" s="448"/>
      <c r="G75" s="448"/>
    </row>
    <row r="76" spans="1:7">
      <c r="B76" s="455">
        <v>42705</v>
      </c>
      <c r="C76" s="469">
        <v>0</v>
      </c>
      <c r="D76" s="470">
        <f>+'Workpaper (Page 5)'!L18</f>
        <v>-305740977.05182004</v>
      </c>
      <c r="E76" s="470">
        <f>+'Workpaper (Page 5)'!L38</f>
        <v>-30006956.475233622</v>
      </c>
      <c r="F76" s="470">
        <f>+'Workpaper (Page 5)'!L58+'Workpaper (Page 5)'!L78</f>
        <v>12745071.28168625</v>
      </c>
      <c r="G76" s="469">
        <v>0</v>
      </c>
    </row>
    <row r="77" spans="1:7">
      <c r="B77" s="455">
        <v>42736</v>
      </c>
      <c r="C77" s="471">
        <v>0</v>
      </c>
      <c r="D77" s="472">
        <v>0</v>
      </c>
      <c r="E77" s="472">
        <v>0</v>
      </c>
      <c r="F77" s="472">
        <v>0</v>
      </c>
      <c r="G77" s="469">
        <v>0</v>
      </c>
    </row>
    <row r="78" spans="1:7">
      <c r="B78" s="455">
        <v>42767</v>
      </c>
      <c r="C78" s="471">
        <v>0</v>
      </c>
      <c r="D78" s="472">
        <v>0</v>
      </c>
      <c r="E78" s="472">
        <v>0</v>
      </c>
      <c r="F78" s="472">
        <v>0</v>
      </c>
      <c r="G78" s="469">
        <v>0</v>
      </c>
    </row>
    <row r="79" spans="1:7">
      <c r="B79" s="455">
        <v>42795</v>
      </c>
      <c r="C79" s="471">
        <v>0</v>
      </c>
      <c r="D79" s="472">
        <v>0</v>
      </c>
      <c r="E79" s="472">
        <v>0</v>
      </c>
      <c r="F79" s="472">
        <v>0</v>
      </c>
      <c r="G79" s="469">
        <v>0</v>
      </c>
    </row>
    <row r="80" spans="1:7">
      <c r="B80" s="455">
        <v>42826</v>
      </c>
      <c r="C80" s="471">
        <v>0</v>
      </c>
      <c r="D80" s="472">
        <v>0</v>
      </c>
      <c r="E80" s="472">
        <v>0</v>
      </c>
      <c r="F80" s="472">
        <v>0</v>
      </c>
      <c r="G80" s="469">
        <v>0</v>
      </c>
    </row>
    <row r="81" spans="1:7">
      <c r="B81" s="455">
        <v>42856</v>
      </c>
      <c r="C81" s="471">
        <v>0</v>
      </c>
      <c r="D81" s="472">
        <v>0</v>
      </c>
      <c r="E81" s="472">
        <v>0</v>
      </c>
      <c r="F81" s="472">
        <v>0</v>
      </c>
      <c r="G81" s="469">
        <v>0</v>
      </c>
    </row>
    <row r="82" spans="1:7">
      <c r="B82" s="455">
        <v>42887</v>
      </c>
      <c r="C82" s="471">
        <v>0</v>
      </c>
      <c r="D82" s="472">
        <v>0</v>
      </c>
      <c r="E82" s="472">
        <v>0</v>
      </c>
      <c r="F82" s="472">
        <v>0</v>
      </c>
      <c r="G82" s="469">
        <v>0</v>
      </c>
    </row>
    <row r="83" spans="1:7">
      <c r="B83" s="455">
        <v>42917</v>
      </c>
      <c r="C83" s="471">
        <v>0</v>
      </c>
      <c r="D83" s="472">
        <v>0</v>
      </c>
      <c r="E83" s="472">
        <v>0</v>
      </c>
      <c r="F83" s="472">
        <v>0</v>
      </c>
      <c r="G83" s="469">
        <v>0</v>
      </c>
    </row>
    <row r="84" spans="1:7">
      <c r="B84" s="455">
        <v>42948</v>
      </c>
      <c r="C84" s="471">
        <v>0</v>
      </c>
      <c r="D84" s="472">
        <v>0</v>
      </c>
      <c r="E84" s="472">
        <v>0</v>
      </c>
      <c r="F84" s="472">
        <v>0</v>
      </c>
      <c r="G84" s="469">
        <v>0</v>
      </c>
    </row>
    <row r="85" spans="1:7">
      <c r="B85" s="455">
        <v>42979</v>
      </c>
      <c r="C85" s="471">
        <v>0</v>
      </c>
      <c r="D85" s="472">
        <v>0</v>
      </c>
      <c r="E85" s="472">
        <v>0</v>
      </c>
      <c r="F85" s="472">
        <v>0</v>
      </c>
      <c r="G85" s="469">
        <v>0</v>
      </c>
    </row>
    <row r="86" spans="1:7">
      <c r="B86" s="455">
        <v>43009</v>
      </c>
      <c r="C86" s="471">
        <v>0</v>
      </c>
      <c r="D86" s="472">
        <v>0</v>
      </c>
      <c r="E86" s="472">
        <v>0</v>
      </c>
      <c r="F86" s="472">
        <v>0</v>
      </c>
      <c r="G86" s="469">
        <v>0</v>
      </c>
    </row>
    <row r="87" spans="1:7">
      <c r="B87" s="455">
        <v>43040</v>
      </c>
      <c r="C87" s="471">
        <v>0</v>
      </c>
      <c r="D87" s="472">
        <v>0</v>
      </c>
      <c r="E87" s="472">
        <v>0</v>
      </c>
      <c r="F87" s="472">
        <v>0</v>
      </c>
      <c r="G87" s="469">
        <v>0</v>
      </c>
    </row>
    <row r="88" spans="1:7">
      <c r="B88" s="455">
        <v>43070</v>
      </c>
      <c r="C88" s="473">
        <v>0</v>
      </c>
      <c r="D88" s="447">
        <f>+'Workpaper (Page 5)'!L30</f>
        <v>-312573411.2535013</v>
      </c>
      <c r="E88" s="447">
        <f>+'Workpaper (Page 5)'!L50</f>
        <v>-25225776.645782996</v>
      </c>
      <c r="F88" s="447">
        <f>+'Workpaper (Page 5)'!L70+'Workpaper (Page 5)'!L90</f>
        <v>12253903.539171251</v>
      </c>
      <c r="G88" s="470">
        <v>0</v>
      </c>
    </row>
    <row r="89" spans="1:7">
      <c r="B89" s="455"/>
      <c r="C89" s="474"/>
      <c r="D89" s="474"/>
      <c r="E89" s="474"/>
      <c r="F89" s="474"/>
      <c r="G89" s="474"/>
    </row>
    <row r="90" spans="1:7">
      <c r="B90" s="456" t="s">
        <v>398</v>
      </c>
      <c r="C90" s="475">
        <f>SUM(C76:C88)/13</f>
        <v>0</v>
      </c>
      <c r="D90" s="447">
        <f>SUM(D76:D88)/2</f>
        <v>-309157194.15266067</v>
      </c>
      <c r="E90" s="447">
        <f>SUM(E76:E88)/2</f>
        <v>-27616366.560508311</v>
      </c>
      <c r="F90" s="447">
        <f>SUM(F76:F88)/2</f>
        <v>12499487.410428751</v>
      </c>
      <c r="G90" s="475">
        <f>SUM(G76:G88)/13</f>
        <v>0</v>
      </c>
    </row>
    <row r="91" spans="1:7">
      <c r="B91" s="448"/>
      <c r="C91" s="448"/>
      <c r="D91" s="448"/>
      <c r="E91" s="448"/>
      <c r="F91" s="448"/>
      <c r="G91" s="448"/>
    </row>
    <row r="92" spans="1:7">
      <c r="B92" s="448"/>
      <c r="C92" s="448"/>
      <c r="D92" s="448"/>
      <c r="E92" s="448"/>
      <c r="F92" s="448"/>
      <c r="G92" s="448"/>
    </row>
    <row r="93" spans="1:7" ht="18.75">
      <c r="A93" s="193" t="s">
        <v>383</v>
      </c>
      <c r="B93" s="448"/>
      <c r="C93" s="448"/>
      <c r="D93" s="448"/>
      <c r="E93" s="448"/>
      <c r="F93" s="448"/>
      <c r="G93" s="448"/>
    </row>
    <row r="94" spans="1:7">
      <c r="A94" s="194" t="s">
        <v>399</v>
      </c>
      <c r="B94" s="448"/>
      <c r="C94" s="448"/>
      <c r="D94" s="448"/>
      <c r="E94" s="448"/>
      <c r="F94" s="448"/>
      <c r="G94" s="448"/>
    </row>
    <row r="95" spans="1:7">
      <c r="A95" s="194" t="s">
        <v>396</v>
      </c>
      <c r="B95" s="448"/>
      <c r="C95" s="448"/>
      <c r="D95" s="448"/>
      <c r="E95" s="448"/>
      <c r="F95" s="448"/>
      <c r="G95" s="448"/>
    </row>
    <row r="96" spans="1:7">
      <c r="B96" s="448"/>
      <c r="C96" s="448"/>
      <c r="D96" s="448"/>
      <c r="E96" s="448"/>
      <c r="F96" s="448"/>
      <c r="G96" s="448"/>
    </row>
    <row r="97" spans="2:7">
      <c r="B97" s="448" t="s">
        <v>399</v>
      </c>
      <c r="C97" s="448"/>
      <c r="D97" s="448"/>
      <c r="E97" s="448"/>
      <c r="F97" s="448"/>
      <c r="G97" s="476" t="s">
        <v>9</v>
      </c>
    </row>
    <row r="98" spans="2:7">
      <c r="B98" s="448"/>
      <c r="C98" s="477" t="s">
        <v>400</v>
      </c>
      <c r="D98" s="448"/>
      <c r="E98" s="478" t="s">
        <v>8</v>
      </c>
      <c r="F98" s="478" t="s">
        <v>640</v>
      </c>
      <c r="G98" s="478" t="s">
        <v>641</v>
      </c>
    </row>
    <row r="99" spans="2:7">
      <c r="B99" s="455">
        <v>42705</v>
      </c>
      <c r="C99" s="479">
        <v>27268</v>
      </c>
      <c r="D99" s="448"/>
      <c r="E99" s="447">
        <v>27268</v>
      </c>
      <c r="F99" s="447">
        <v>778197</v>
      </c>
      <c r="G99" s="447">
        <f>+E99+F99</f>
        <v>805465</v>
      </c>
    </row>
    <row r="100" spans="2:7">
      <c r="B100" s="455">
        <v>42736</v>
      </c>
      <c r="C100" s="446">
        <v>0</v>
      </c>
      <c r="D100" s="448"/>
      <c r="E100" s="446">
        <v>0</v>
      </c>
      <c r="F100" s="446">
        <v>0</v>
      </c>
      <c r="G100" s="446"/>
    </row>
    <row r="101" spans="2:7">
      <c r="B101" s="455">
        <v>42767</v>
      </c>
      <c r="C101" s="446">
        <v>0</v>
      </c>
      <c r="D101" s="448"/>
      <c r="E101" s="446">
        <v>0</v>
      </c>
      <c r="F101" s="446">
        <v>0</v>
      </c>
      <c r="G101" s="446"/>
    </row>
    <row r="102" spans="2:7">
      <c r="B102" s="455">
        <v>42795</v>
      </c>
      <c r="C102" s="446">
        <v>0</v>
      </c>
      <c r="D102" s="448"/>
      <c r="E102" s="446">
        <v>0</v>
      </c>
      <c r="F102" s="446">
        <v>0</v>
      </c>
      <c r="G102" s="446"/>
    </row>
    <row r="103" spans="2:7">
      <c r="B103" s="455">
        <v>42826</v>
      </c>
      <c r="C103" s="446">
        <v>0</v>
      </c>
      <c r="D103" s="448"/>
      <c r="E103" s="446">
        <v>0</v>
      </c>
      <c r="F103" s="446">
        <v>0</v>
      </c>
      <c r="G103" s="446"/>
    </row>
    <row r="104" spans="2:7">
      <c r="B104" s="455">
        <v>42856</v>
      </c>
      <c r="C104" s="446">
        <v>0</v>
      </c>
      <c r="D104" s="448"/>
      <c r="E104" s="446">
        <v>0</v>
      </c>
      <c r="F104" s="446">
        <v>0</v>
      </c>
      <c r="G104" s="446"/>
    </row>
    <row r="105" spans="2:7">
      <c r="B105" s="455">
        <v>42887</v>
      </c>
      <c r="C105" s="446">
        <v>0</v>
      </c>
      <c r="D105" s="448"/>
      <c r="E105" s="446">
        <v>0</v>
      </c>
      <c r="F105" s="446">
        <v>0</v>
      </c>
      <c r="G105" s="446"/>
    </row>
    <row r="106" spans="2:7">
      <c r="B106" s="455">
        <v>42917</v>
      </c>
      <c r="C106" s="446">
        <v>0</v>
      </c>
      <c r="D106" s="448"/>
      <c r="E106" s="446">
        <v>0</v>
      </c>
      <c r="F106" s="446">
        <v>0</v>
      </c>
      <c r="G106" s="446"/>
    </row>
    <row r="107" spans="2:7">
      <c r="B107" s="455">
        <v>42948</v>
      </c>
      <c r="C107" s="446">
        <v>0</v>
      </c>
      <c r="D107" s="448"/>
      <c r="E107" s="446">
        <v>0</v>
      </c>
      <c r="F107" s="446">
        <v>0</v>
      </c>
      <c r="G107" s="446"/>
    </row>
    <row r="108" spans="2:7">
      <c r="B108" s="455">
        <v>42979</v>
      </c>
      <c r="C108" s="446">
        <v>0</v>
      </c>
      <c r="D108" s="448"/>
      <c r="E108" s="446">
        <v>0</v>
      </c>
      <c r="F108" s="446">
        <v>0</v>
      </c>
      <c r="G108" s="446"/>
    </row>
    <row r="109" spans="2:7">
      <c r="B109" s="455">
        <v>43009</v>
      </c>
      <c r="C109" s="446">
        <v>0</v>
      </c>
      <c r="D109" s="448"/>
      <c r="E109" s="446"/>
      <c r="F109" s="446"/>
      <c r="G109" s="446"/>
    </row>
    <row r="110" spans="2:7">
      <c r="B110" s="455">
        <v>43040</v>
      </c>
      <c r="C110" s="446">
        <v>0</v>
      </c>
      <c r="D110" s="448"/>
      <c r="E110" s="446">
        <v>0</v>
      </c>
      <c r="F110" s="446">
        <v>0</v>
      </c>
      <c r="G110" s="446"/>
    </row>
    <row r="111" spans="2:7">
      <c r="B111" s="455">
        <v>43070</v>
      </c>
      <c r="C111" s="480">
        <f>+C99</f>
        <v>27268</v>
      </c>
      <c r="D111" s="448"/>
      <c r="E111" s="446">
        <v>27268</v>
      </c>
      <c r="F111" s="446">
        <v>778197</v>
      </c>
      <c r="G111" s="447">
        <f>+E111+F111</f>
        <v>805465</v>
      </c>
    </row>
    <row r="112" spans="2:7">
      <c r="B112" s="455"/>
      <c r="C112" s="448"/>
      <c r="D112" s="448"/>
      <c r="E112" s="445"/>
      <c r="F112" s="445"/>
      <c r="G112" s="445"/>
    </row>
    <row r="113" spans="1:7">
      <c r="B113" s="456" t="s">
        <v>398</v>
      </c>
      <c r="C113" s="457">
        <f>(C99+C111)/2</f>
        <v>27268</v>
      </c>
      <c r="D113" s="448"/>
      <c r="E113" s="446">
        <f>(E99+E111)/2</f>
        <v>27268</v>
      </c>
      <c r="F113" s="446">
        <f>(F99+F111)/2</f>
        <v>778197</v>
      </c>
      <c r="G113" s="446">
        <f>(G99+G111)/2</f>
        <v>805465</v>
      </c>
    </row>
    <row r="114" spans="1:7">
      <c r="B114" s="481" t="s">
        <v>401</v>
      </c>
      <c r="C114" s="457"/>
      <c r="D114" s="448"/>
      <c r="E114" s="448"/>
      <c r="F114" s="448"/>
      <c r="G114" s="448"/>
    </row>
    <row r="115" spans="1:7">
      <c r="B115" s="448"/>
      <c r="C115" s="448"/>
      <c r="D115" s="448"/>
      <c r="E115" s="448"/>
      <c r="F115" s="448"/>
      <c r="G115" s="448"/>
    </row>
    <row r="116" spans="1:7">
      <c r="B116" s="448"/>
      <c r="C116" s="448"/>
      <c r="D116" s="448"/>
      <c r="E116" s="448"/>
      <c r="F116" s="448"/>
      <c r="G116" s="448"/>
    </row>
    <row r="117" spans="1:7">
      <c r="B117" s="448"/>
      <c r="C117" s="448"/>
      <c r="D117" s="448"/>
      <c r="E117" s="448"/>
      <c r="F117" s="448"/>
      <c r="G117" s="448"/>
    </row>
    <row r="118" spans="1:7">
      <c r="B118" s="448"/>
      <c r="C118" s="448"/>
      <c r="D118" s="448"/>
      <c r="E118" s="448"/>
      <c r="F118" s="448"/>
      <c r="G118" s="448"/>
    </row>
    <row r="119" spans="1:7" ht="18.75">
      <c r="A119" s="193" t="s">
        <v>383</v>
      </c>
      <c r="B119" s="448"/>
      <c r="C119" s="448"/>
      <c r="D119" s="448"/>
      <c r="E119" s="448"/>
      <c r="F119" s="448"/>
      <c r="G119" s="448"/>
    </row>
    <row r="120" spans="1:7">
      <c r="A120" s="194" t="s">
        <v>402</v>
      </c>
      <c r="B120" s="448"/>
      <c r="C120" s="448"/>
      <c r="D120" s="448"/>
      <c r="E120" s="448"/>
      <c r="F120" s="448"/>
      <c r="G120" s="448"/>
    </row>
    <row r="121" spans="1:7">
      <c r="A121" s="194" t="s">
        <v>396</v>
      </c>
      <c r="B121" s="448"/>
      <c r="C121" s="448"/>
      <c r="D121" s="448"/>
      <c r="E121" s="448"/>
      <c r="F121" s="448"/>
      <c r="G121" s="448"/>
    </row>
    <row r="122" spans="1:7">
      <c r="B122" s="448"/>
      <c r="C122" s="448"/>
      <c r="D122" s="448"/>
      <c r="E122" s="448"/>
      <c r="F122" s="448"/>
      <c r="G122" s="448"/>
    </row>
    <row r="123" spans="1:7">
      <c r="B123" s="482" t="s">
        <v>403</v>
      </c>
      <c r="C123" s="448"/>
      <c r="D123" s="448"/>
      <c r="E123" s="448"/>
      <c r="F123" s="448"/>
      <c r="G123" s="448"/>
    </row>
    <row r="124" spans="1:7">
      <c r="B124" s="448"/>
      <c r="C124" s="448"/>
      <c r="D124" s="448"/>
      <c r="E124" s="448"/>
      <c r="F124" s="448"/>
      <c r="G124" s="448"/>
    </row>
    <row r="125" spans="1:7">
      <c r="B125" s="448"/>
      <c r="C125" s="483" t="s">
        <v>404</v>
      </c>
      <c r="D125" s="483" t="s">
        <v>405</v>
      </c>
      <c r="E125" s="448"/>
      <c r="F125" s="448"/>
      <c r="G125" s="448"/>
    </row>
    <row r="126" spans="1:7">
      <c r="B126" s="455">
        <v>42705</v>
      </c>
      <c r="C126" s="460">
        <v>1900000</v>
      </c>
      <c r="D126" s="460">
        <v>300000</v>
      </c>
      <c r="E126" s="448"/>
      <c r="F126" s="448"/>
      <c r="G126" s="448"/>
    </row>
    <row r="127" spans="1:7">
      <c r="B127" s="455">
        <v>42736</v>
      </c>
      <c r="C127" s="446">
        <v>0</v>
      </c>
      <c r="D127" s="446">
        <v>0</v>
      </c>
      <c r="E127" s="448"/>
      <c r="F127" s="448"/>
      <c r="G127" s="448"/>
    </row>
    <row r="128" spans="1:7">
      <c r="B128" s="455">
        <v>42767</v>
      </c>
      <c r="C128" s="446">
        <v>0</v>
      </c>
      <c r="D128" s="446">
        <v>0</v>
      </c>
      <c r="E128" s="448"/>
      <c r="F128" s="448"/>
      <c r="G128" s="448"/>
    </row>
    <row r="129" spans="1:7">
      <c r="B129" s="455">
        <v>42795</v>
      </c>
      <c r="C129" s="446">
        <v>0</v>
      </c>
      <c r="D129" s="446">
        <v>0</v>
      </c>
      <c r="E129" s="448"/>
      <c r="F129" s="448"/>
      <c r="G129" s="448"/>
    </row>
    <row r="130" spans="1:7">
      <c r="B130" s="455">
        <v>42826</v>
      </c>
      <c r="C130" s="446">
        <v>0</v>
      </c>
      <c r="D130" s="446">
        <v>0</v>
      </c>
      <c r="E130" s="448"/>
      <c r="F130" s="448"/>
      <c r="G130" s="448"/>
    </row>
    <row r="131" spans="1:7">
      <c r="B131" s="455">
        <v>42856</v>
      </c>
      <c r="C131" s="446">
        <v>0</v>
      </c>
      <c r="D131" s="446">
        <v>0</v>
      </c>
      <c r="E131" s="448"/>
      <c r="F131" s="448"/>
      <c r="G131" s="448"/>
    </row>
    <row r="132" spans="1:7">
      <c r="B132" s="455">
        <v>42887</v>
      </c>
      <c r="C132" s="446">
        <v>0</v>
      </c>
      <c r="D132" s="446">
        <v>0</v>
      </c>
      <c r="E132" s="448"/>
      <c r="F132" s="448"/>
      <c r="G132" s="448"/>
    </row>
    <row r="133" spans="1:7">
      <c r="B133" s="455">
        <v>42917</v>
      </c>
      <c r="C133" s="446">
        <v>0</v>
      </c>
      <c r="D133" s="446">
        <v>0</v>
      </c>
      <c r="E133" s="448"/>
      <c r="F133" s="448"/>
      <c r="G133" s="448"/>
    </row>
    <row r="134" spans="1:7">
      <c r="B134" s="455">
        <v>42948</v>
      </c>
      <c r="C134" s="446">
        <v>0</v>
      </c>
      <c r="D134" s="446">
        <v>0</v>
      </c>
      <c r="E134" s="448"/>
      <c r="F134" s="448"/>
      <c r="G134" s="448"/>
    </row>
    <row r="135" spans="1:7">
      <c r="B135" s="455">
        <v>42979</v>
      </c>
      <c r="C135" s="446">
        <v>0</v>
      </c>
      <c r="D135" s="446">
        <v>0</v>
      </c>
      <c r="E135" s="448"/>
      <c r="F135" s="448"/>
      <c r="G135" s="448"/>
    </row>
    <row r="136" spans="1:7">
      <c r="B136" s="455">
        <v>43009</v>
      </c>
      <c r="C136" s="446">
        <v>0</v>
      </c>
      <c r="D136" s="446">
        <v>0</v>
      </c>
      <c r="E136" s="448"/>
      <c r="F136" s="448"/>
      <c r="G136" s="448"/>
    </row>
    <row r="137" spans="1:7">
      <c r="B137" s="455">
        <v>43040</v>
      </c>
      <c r="C137" s="446">
        <v>0</v>
      </c>
      <c r="D137" s="446">
        <v>0</v>
      </c>
      <c r="E137" s="448"/>
      <c r="F137" s="448"/>
      <c r="G137" s="448"/>
    </row>
    <row r="138" spans="1:7">
      <c r="B138" s="455">
        <v>43070</v>
      </c>
      <c r="C138" s="460">
        <v>1900000</v>
      </c>
      <c r="D138" s="460">
        <v>300000</v>
      </c>
      <c r="E138" s="448"/>
      <c r="F138" s="448"/>
      <c r="G138" s="448"/>
    </row>
    <row r="139" spans="1:7">
      <c r="B139" s="455"/>
      <c r="C139" s="448"/>
      <c r="D139" s="448"/>
      <c r="E139" s="448"/>
      <c r="F139" s="448"/>
      <c r="G139" s="448"/>
    </row>
    <row r="140" spans="1:7">
      <c r="B140" s="456" t="s">
        <v>398</v>
      </c>
      <c r="C140" s="457">
        <f>(C138+C126)/2</f>
        <v>1900000</v>
      </c>
      <c r="D140" s="457">
        <f>(D138+D126)/2</f>
        <v>300000</v>
      </c>
      <c r="E140" s="479">
        <f>+C140+D140</f>
        <v>2200000</v>
      </c>
      <c r="F140" s="448"/>
      <c r="G140" s="448"/>
    </row>
    <row r="141" spans="1:7">
      <c r="B141" s="448"/>
      <c r="C141" s="448"/>
      <c r="D141" s="448"/>
      <c r="E141" s="448"/>
      <c r="F141" s="448"/>
      <c r="G141" s="448"/>
    </row>
    <row r="142" spans="1:7">
      <c r="B142" s="448"/>
      <c r="C142" s="484"/>
      <c r="D142" s="484"/>
      <c r="E142" s="448"/>
      <c r="F142" s="448"/>
      <c r="G142" s="448"/>
    </row>
    <row r="143" spans="1:7">
      <c r="A143" s="195"/>
      <c r="B143" s="458"/>
      <c r="C143" s="458"/>
      <c r="D143" s="458"/>
      <c r="E143" s="458"/>
      <c r="F143" s="458"/>
      <c r="G143" s="458"/>
    </row>
    <row r="144" spans="1:7">
      <c r="A144" s="195"/>
      <c r="B144" s="466"/>
      <c r="C144" s="485"/>
      <c r="D144" s="485"/>
      <c r="E144" s="458"/>
      <c r="F144" s="458"/>
      <c r="G144" s="458"/>
    </row>
    <row r="145" spans="1:7">
      <c r="A145" s="195"/>
      <c r="B145" s="458"/>
      <c r="C145" s="486"/>
      <c r="D145" s="487"/>
      <c r="E145" s="458"/>
      <c r="F145" s="458"/>
      <c r="G145" s="458"/>
    </row>
    <row r="146" spans="1:7">
      <c r="A146" s="195"/>
      <c r="B146" s="458"/>
      <c r="C146" s="485"/>
      <c r="D146" s="458"/>
      <c r="E146" s="458"/>
      <c r="F146" s="458"/>
      <c r="G146" s="458"/>
    </row>
    <row r="147" spans="1:7">
      <c r="A147" s="195"/>
      <c r="B147" s="458"/>
      <c r="C147" s="485"/>
      <c r="D147" s="458"/>
      <c r="E147" s="458"/>
      <c r="F147" s="458"/>
      <c r="G147" s="458"/>
    </row>
    <row r="148" spans="1:7">
      <c r="A148" s="195"/>
      <c r="B148" s="487"/>
      <c r="C148" s="458"/>
      <c r="D148" s="458"/>
      <c r="E148" s="458"/>
      <c r="F148" s="458"/>
      <c r="G148" s="458"/>
    </row>
    <row r="149" spans="1:7">
      <c r="B149" s="448"/>
      <c r="C149" s="448"/>
      <c r="D149" s="448"/>
      <c r="E149" s="448"/>
      <c r="F149" s="448"/>
      <c r="G149" s="448"/>
    </row>
    <row r="150" spans="1:7" ht="18.75">
      <c r="A150" s="193" t="s">
        <v>383</v>
      </c>
      <c r="B150" s="448"/>
      <c r="C150" s="448"/>
      <c r="D150" s="448"/>
      <c r="E150" s="448"/>
      <c r="F150" s="448"/>
      <c r="G150" s="448"/>
    </row>
    <row r="151" spans="1:7">
      <c r="A151" s="194" t="s">
        <v>406</v>
      </c>
      <c r="B151" s="448"/>
      <c r="C151" s="448"/>
      <c r="D151" s="448"/>
      <c r="E151" s="448"/>
      <c r="F151" s="448"/>
      <c r="G151" s="448"/>
    </row>
    <row r="152" spans="1:7">
      <c r="A152" s="194" t="s">
        <v>396</v>
      </c>
      <c r="B152" s="448"/>
      <c r="C152" s="448"/>
      <c r="D152" s="448"/>
      <c r="E152" s="448"/>
      <c r="F152" s="448"/>
      <c r="G152" s="448"/>
    </row>
    <row r="153" spans="1:7">
      <c r="B153" s="448"/>
      <c r="C153" s="448"/>
      <c r="D153" s="448"/>
      <c r="E153" s="448"/>
      <c r="F153" s="448"/>
      <c r="G153" s="448"/>
    </row>
    <row r="154" spans="1:7">
      <c r="B154" s="448" t="s">
        <v>407</v>
      </c>
      <c r="C154" s="448"/>
      <c r="D154" s="448"/>
      <c r="E154" s="448"/>
      <c r="F154" s="448"/>
      <c r="G154" s="448"/>
    </row>
    <row r="155" spans="1:7">
      <c r="B155" s="482" t="s">
        <v>408</v>
      </c>
      <c r="C155" s="448"/>
      <c r="D155" s="448"/>
      <c r="E155" s="448"/>
      <c r="F155" s="448"/>
      <c r="G155" s="448"/>
    </row>
    <row r="156" spans="1:7">
      <c r="B156" s="448"/>
      <c r="C156" s="448"/>
      <c r="D156" s="448"/>
      <c r="E156" s="448"/>
      <c r="F156" s="448"/>
      <c r="G156" s="448"/>
    </row>
    <row r="157" spans="1:7">
      <c r="B157" s="448"/>
      <c r="C157" s="477" t="s">
        <v>406</v>
      </c>
      <c r="D157" s="488"/>
      <c r="E157" s="448"/>
      <c r="F157" s="448"/>
      <c r="G157" s="448"/>
    </row>
    <row r="158" spans="1:7">
      <c r="B158" s="455">
        <v>42705</v>
      </c>
      <c r="C158" s="447">
        <v>0</v>
      </c>
      <c r="D158" s="489"/>
      <c r="E158" s="448"/>
      <c r="F158" s="448"/>
      <c r="G158" s="448"/>
    </row>
    <row r="159" spans="1:7">
      <c r="B159" s="455">
        <v>42736</v>
      </c>
      <c r="C159" s="446">
        <v>0</v>
      </c>
      <c r="D159" s="460"/>
      <c r="E159" s="448"/>
      <c r="F159" s="448"/>
      <c r="G159" s="448"/>
    </row>
    <row r="160" spans="1:7">
      <c r="B160" s="455">
        <v>42767</v>
      </c>
      <c r="C160" s="446">
        <v>0</v>
      </c>
      <c r="D160" s="460"/>
      <c r="E160" s="448"/>
      <c r="F160" s="448"/>
      <c r="G160" s="448"/>
    </row>
    <row r="161" spans="2:7">
      <c r="B161" s="455">
        <v>42795</v>
      </c>
      <c r="C161" s="446">
        <v>0</v>
      </c>
      <c r="D161" s="460"/>
      <c r="E161" s="448"/>
      <c r="F161" s="448"/>
      <c r="G161" s="448"/>
    </row>
    <row r="162" spans="2:7">
      <c r="B162" s="455">
        <v>42826</v>
      </c>
      <c r="C162" s="446">
        <v>0</v>
      </c>
      <c r="D162" s="460"/>
      <c r="E162" s="448"/>
      <c r="F162" s="448"/>
      <c r="G162" s="448"/>
    </row>
    <row r="163" spans="2:7">
      <c r="B163" s="455">
        <v>42856</v>
      </c>
      <c r="C163" s="446">
        <v>0</v>
      </c>
      <c r="D163" s="460"/>
      <c r="E163" s="448"/>
      <c r="F163" s="448"/>
      <c r="G163" s="448"/>
    </row>
    <row r="164" spans="2:7">
      <c r="B164" s="455">
        <v>42887</v>
      </c>
      <c r="C164" s="446">
        <v>0</v>
      </c>
      <c r="D164" s="460"/>
      <c r="E164" s="448"/>
      <c r="F164" s="448"/>
      <c r="G164" s="448"/>
    </row>
    <row r="165" spans="2:7">
      <c r="B165" s="455">
        <v>42917</v>
      </c>
      <c r="C165" s="446">
        <v>0</v>
      </c>
      <c r="D165" s="460"/>
      <c r="E165" s="448"/>
      <c r="F165" s="448"/>
      <c r="G165" s="448"/>
    </row>
    <row r="166" spans="2:7">
      <c r="B166" s="455">
        <v>42948</v>
      </c>
      <c r="C166" s="446">
        <v>0</v>
      </c>
      <c r="D166" s="460"/>
      <c r="E166" s="448"/>
      <c r="F166" s="448"/>
      <c r="G166" s="448"/>
    </row>
    <row r="167" spans="2:7">
      <c r="B167" s="455">
        <v>42979</v>
      </c>
      <c r="C167" s="446">
        <v>0</v>
      </c>
      <c r="D167" s="460"/>
      <c r="E167" s="448"/>
      <c r="F167" s="448"/>
      <c r="G167" s="448"/>
    </row>
    <row r="168" spans="2:7">
      <c r="B168" s="455">
        <v>43009</v>
      </c>
      <c r="C168" s="446">
        <v>0</v>
      </c>
      <c r="D168" s="460"/>
      <c r="E168" s="448"/>
      <c r="F168" s="448"/>
      <c r="G168" s="448"/>
    </row>
    <row r="169" spans="2:7">
      <c r="B169" s="455">
        <v>43040</v>
      </c>
      <c r="C169" s="446">
        <v>0</v>
      </c>
      <c r="D169" s="460"/>
      <c r="E169" s="448"/>
      <c r="F169" s="448"/>
      <c r="G169" s="448"/>
    </row>
    <row r="170" spans="2:7">
      <c r="B170" s="455">
        <v>43070</v>
      </c>
      <c r="C170" s="480">
        <v>0</v>
      </c>
      <c r="D170" s="460"/>
      <c r="E170" s="448"/>
      <c r="F170" s="448"/>
      <c r="G170" s="448"/>
    </row>
    <row r="171" spans="2:7">
      <c r="B171" s="455"/>
      <c r="C171" s="448"/>
      <c r="D171" s="458"/>
      <c r="E171" s="448"/>
      <c r="F171" s="448"/>
      <c r="G171" s="448"/>
    </row>
    <row r="172" spans="2:7">
      <c r="B172" s="456" t="s">
        <v>398</v>
      </c>
      <c r="C172" s="457">
        <f>(C158+C170)/2</f>
        <v>0</v>
      </c>
      <c r="D172" s="485"/>
      <c r="E172" s="448"/>
      <c r="F172" s="448"/>
      <c r="G172" s="448"/>
    </row>
    <row r="173" spans="2:7">
      <c r="B173" s="448"/>
      <c r="C173" s="486"/>
      <c r="D173" s="448"/>
      <c r="E173" s="448"/>
      <c r="F173" s="448"/>
      <c r="G173" s="448"/>
    </row>
    <row r="174" spans="2:7">
      <c r="B174" s="448"/>
      <c r="C174" s="485"/>
      <c r="D174" s="448"/>
      <c r="E174" s="448"/>
      <c r="F174" s="448"/>
      <c r="G174" s="448"/>
    </row>
    <row r="175" spans="2:7">
      <c r="B175" s="448"/>
      <c r="C175" s="457"/>
      <c r="D175" s="448"/>
      <c r="E175" s="448"/>
      <c r="F175" s="448"/>
      <c r="G175" s="448"/>
    </row>
    <row r="176" spans="2:7">
      <c r="B176" s="203"/>
    </row>
  </sheetData>
  <phoneticPr fontId="51" type="noConversion"/>
  <pageMargins left="0.5" right="0.75" top="1" bottom="1" header="0.5" footer="0.5"/>
  <pageSetup scale="60" fitToHeight="4" orientation="portrait" r:id="rId1"/>
  <headerFooter alignWithMargins="0"/>
  <rowBreaks count="3" manualBreakCount="3">
    <brk id="43" max="16383" man="1"/>
    <brk id="69" max="16383" man="1"/>
    <brk id="1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zoomScale="80" zoomScaleNormal="80" workbookViewId="0"/>
  </sheetViews>
  <sheetFormatPr defaultRowHeight="17.25"/>
  <cols>
    <col min="1" max="1" width="8.88671875" style="205"/>
    <col min="2" max="3" width="9" style="218" bestFit="1" customWidth="1"/>
    <col min="4" max="4" width="9" style="205" bestFit="1" customWidth="1"/>
    <col min="5" max="5" width="18.77734375" style="205" customWidth="1"/>
    <col min="6" max="6" width="12.77734375" style="205" customWidth="1"/>
    <col min="7" max="7" width="12.77734375" style="218" customWidth="1"/>
    <col min="8" max="9" width="12.77734375" style="205" customWidth="1"/>
    <col min="10" max="10" width="18.77734375" style="205" customWidth="1"/>
    <col min="11" max="11" width="6.77734375" style="205" customWidth="1"/>
    <col min="12" max="12" width="18.77734375" style="205" customWidth="1"/>
    <col min="13" max="16384" width="8.88671875" style="205"/>
  </cols>
  <sheetData>
    <row r="1" spans="1:12" ht="18.75">
      <c r="A1" s="193" t="s">
        <v>383</v>
      </c>
    </row>
    <row r="2" spans="1:12">
      <c r="A2" s="194" t="s">
        <v>395</v>
      </c>
    </row>
    <row r="3" spans="1:12">
      <c r="A3" s="194" t="s">
        <v>396</v>
      </c>
    </row>
    <row r="5" spans="1:12">
      <c r="B5" s="194" t="s">
        <v>397</v>
      </c>
    </row>
    <row r="6" spans="1:12">
      <c r="B6" s="226"/>
      <c r="C6" s="226"/>
      <c r="D6" s="418"/>
      <c r="E6" s="419" t="s">
        <v>681</v>
      </c>
      <c r="F6" s="418"/>
      <c r="G6" s="226"/>
      <c r="H6" s="418"/>
      <c r="I6" s="418"/>
      <c r="J6" s="418"/>
      <c r="K6" s="418"/>
      <c r="L6" s="418"/>
    </row>
    <row r="7" spans="1:12">
      <c r="B7" s="226"/>
      <c r="C7" s="226" t="s">
        <v>682</v>
      </c>
      <c r="D7" s="420">
        <v>190</v>
      </c>
      <c r="E7" s="421">
        <f>L72+L92</f>
        <v>12499487.410428751</v>
      </c>
      <c r="F7" s="418"/>
      <c r="G7" s="226"/>
      <c r="H7" s="418"/>
      <c r="I7" s="418"/>
      <c r="J7" s="418"/>
      <c r="K7" s="418"/>
      <c r="L7" s="418"/>
    </row>
    <row r="8" spans="1:12">
      <c r="B8" s="226"/>
      <c r="C8" s="226" t="s">
        <v>682</v>
      </c>
      <c r="D8" s="420">
        <v>255</v>
      </c>
      <c r="E8" s="421">
        <v>0</v>
      </c>
      <c r="F8" s="418"/>
      <c r="G8" s="226"/>
      <c r="H8" s="418"/>
      <c r="I8" s="418"/>
      <c r="J8" s="418"/>
      <c r="K8" s="418"/>
      <c r="L8" s="418"/>
    </row>
    <row r="9" spans="1:12">
      <c r="B9" s="226"/>
      <c r="C9" s="226" t="s">
        <v>682</v>
      </c>
      <c r="D9" s="420">
        <v>281</v>
      </c>
      <c r="E9" s="421">
        <v>0</v>
      </c>
      <c r="F9" s="418"/>
      <c r="G9" s="226"/>
      <c r="H9" s="418"/>
      <c r="I9" s="418"/>
      <c r="J9" s="418"/>
      <c r="K9" s="418"/>
      <c r="L9" s="418"/>
    </row>
    <row r="10" spans="1:12">
      <c r="B10" s="226"/>
      <c r="C10" s="226" t="s">
        <v>682</v>
      </c>
      <c r="D10" s="420">
        <v>282</v>
      </c>
      <c r="E10" s="421">
        <f>L32</f>
        <v>-309157194.15266067</v>
      </c>
      <c r="F10" s="418"/>
      <c r="G10" s="226"/>
      <c r="H10" s="418"/>
      <c r="I10" s="418"/>
      <c r="J10" s="418"/>
      <c r="K10" s="418"/>
      <c r="L10" s="418"/>
    </row>
    <row r="11" spans="1:12">
      <c r="B11" s="226"/>
      <c r="C11" s="226" t="s">
        <v>682</v>
      </c>
      <c r="D11" s="420">
        <v>283</v>
      </c>
      <c r="E11" s="421">
        <f>L52</f>
        <v>-27616366.560508311</v>
      </c>
      <c r="F11" s="418"/>
      <c r="G11" s="226"/>
      <c r="H11" s="418"/>
      <c r="I11" s="418"/>
      <c r="J11" s="418"/>
      <c r="K11" s="418"/>
      <c r="L11" s="418"/>
    </row>
    <row r="12" spans="1:12" ht="18" thickBot="1">
      <c r="B12" s="226"/>
      <c r="C12" s="226"/>
      <c r="D12" s="418"/>
      <c r="E12" s="422">
        <f>SUM(E7:E11)</f>
        <v>-324274073.30274022</v>
      </c>
      <c r="F12" s="418"/>
      <c r="G12" s="226"/>
      <c r="H12" s="418"/>
      <c r="I12" s="418"/>
      <c r="J12" s="418"/>
      <c r="K12" s="418"/>
      <c r="L12" s="418"/>
    </row>
    <row r="13" spans="1:12" ht="18" thickTop="1">
      <c r="B13" s="226"/>
      <c r="C13" s="226"/>
      <c r="D13" s="418"/>
      <c r="E13" s="418"/>
      <c r="F13" s="418"/>
      <c r="G13" s="226"/>
      <c r="H13" s="418"/>
      <c r="I13" s="418"/>
      <c r="J13" s="418"/>
      <c r="K13" s="418"/>
      <c r="L13" s="418"/>
    </row>
    <row r="14" spans="1:12">
      <c r="B14" s="226"/>
      <c r="C14" s="226"/>
      <c r="D14" s="418"/>
      <c r="E14" s="418"/>
      <c r="F14" s="418"/>
      <c r="G14" s="226"/>
      <c r="H14" s="418"/>
      <c r="I14" s="423">
        <v>282</v>
      </c>
      <c r="J14" s="423">
        <v>282</v>
      </c>
      <c r="K14" s="424"/>
      <c r="L14" s="418"/>
    </row>
    <row r="15" spans="1:12">
      <c r="B15" s="425"/>
      <c r="C15" s="425"/>
      <c r="D15" s="426"/>
      <c r="E15" s="423">
        <v>282</v>
      </c>
      <c r="F15" s="423">
        <v>282</v>
      </c>
      <c r="G15" s="425" t="s">
        <v>683</v>
      </c>
      <c r="H15" s="426"/>
      <c r="I15" s="426" t="s">
        <v>684</v>
      </c>
      <c r="J15" s="426" t="s">
        <v>685</v>
      </c>
      <c r="K15" s="426"/>
      <c r="L15" s="426" t="s">
        <v>686</v>
      </c>
    </row>
    <row r="16" spans="1:12" ht="18" thickBot="1">
      <c r="B16" s="427" t="s">
        <v>273</v>
      </c>
      <c r="C16" s="427" t="s">
        <v>687</v>
      </c>
      <c r="D16" s="428" t="s">
        <v>688</v>
      </c>
      <c r="E16" s="428" t="s">
        <v>682</v>
      </c>
      <c r="F16" s="428" t="s">
        <v>689</v>
      </c>
      <c r="G16" s="427" t="s">
        <v>690</v>
      </c>
      <c r="H16" s="428" t="s">
        <v>691</v>
      </c>
      <c r="I16" s="428" t="s">
        <v>689</v>
      </c>
      <c r="J16" s="428" t="s">
        <v>682</v>
      </c>
      <c r="K16" s="428"/>
      <c r="L16" s="428" t="s">
        <v>692</v>
      </c>
    </row>
    <row r="17" spans="2:15">
      <c r="B17" s="226"/>
      <c r="C17" s="226"/>
      <c r="D17" s="418"/>
      <c r="E17" s="418"/>
      <c r="F17" s="418"/>
      <c r="G17" s="226"/>
      <c r="H17" s="418"/>
      <c r="I17" s="418"/>
      <c r="J17" s="418"/>
      <c r="K17" s="418"/>
      <c r="L17" s="418"/>
    </row>
    <row r="18" spans="2:15">
      <c r="B18" s="226">
        <v>1</v>
      </c>
      <c r="C18" s="226">
        <v>2016</v>
      </c>
      <c r="D18" s="429" t="s">
        <v>693</v>
      </c>
      <c r="E18" s="430">
        <v>-305740977.05182004</v>
      </c>
      <c r="F18" s="421"/>
      <c r="G18" s="226"/>
      <c r="H18" s="418"/>
      <c r="I18" s="421"/>
      <c r="J18" s="421">
        <f>E18</f>
        <v>-305740977.05182004</v>
      </c>
      <c r="K18" s="421"/>
      <c r="L18" s="421">
        <f>+J18</f>
        <v>-305740977.05182004</v>
      </c>
      <c r="O18" s="205" t="s">
        <v>707</v>
      </c>
    </row>
    <row r="19" spans="2:15">
      <c r="B19" s="226">
        <v>2</v>
      </c>
      <c r="C19" s="226">
        <v>2017</v>
      </c>
      <c r="D19" s="429" t="s">
        <v>694</v>
      </c>
      <c r="E19" s="430">
        <f>+(($E$30-$E$18)/12)+E18</f>
        <v>-306970074.38233441</v>
      </c>
      <c r="F19" s="421">
        <f>E19-E18</f>
        <v>-1229097.3305143714</v>
      </c>
      <c r="G19" s="226">
        <v>335</v>
      </c>
      <c r="H19" s="431">
        <f>G19/365</f>
        <v>0.9178082191780822</v>
      </c>
      <c r="I19" s="421">
        <f>H19*F19</f>
        <v>-1128075.6321159299</v>
      </c>
      <c r="J19" s="421">
        <f>J18+I19</f>
        <v>-306869052.68393594</v>
      </c>
      <c r="K19" s="421"/>
      <c r="L19" s="418"/>
    </row>
    <row r="20" spans="2:15">
      <c r="B20" s="226">
        <v>3</v>
      </c>
      <c r="C20" s="226">
        <v>2017</v>
      </c>
      <c r="D20" s="429" t="s">
        <v>695</v>
      </c>
      <c r="E20" s="430">
        <f t="shared" ref="E20:E29" si="0">+(($E$30-$E$18)/12)+E19</f>
        <v>-308199171.71284878</v>
      </c>
      <c r="F20" s="421">
        <f>E20-E19</f>
        <v>-1229097.3305143714</v>
      </c>
      <c r="G20" s="226">
        <v>307</v>
      </c>
      <c r="H20" s="431">
        <f t="shared" ref="H20:H30" si="1">G20/365</f>
        <v>0.84109589041095889</v>
      </c>
      <c r="I20" s="421">
        <f t="shared" ref="I20:I30" si="2">H20*F20</f>
        <v>-1033788.7136107178</v>
      </c>
      <c r="J20" s="421">
        <f>J19+I20</f>
        <v>-307902841.39754665</v>
      </c>
      <c r="K20" s="421"/>
      <c r="L20" s="418"/>
    </row>
    <row r="21" spans="2:15">
      <c r="B21" s="226">
        <v>4</v>
      </c>
      <c r="C21" s="226">
        <v>2017</v>
      </c>
      <c r="D21" s="429" t="s">
        <v>696</v>
      </c>
      <c r="E21" s="430">
        <f t="shared" si="0"/>
        <v>-309428269.04336315</v>
      </c>
      <c r="F21" s="421">
        <f t="shared" ref="F21:F30" si="3">E21-E20</f>
        <v>-1229097.3305143714</v>
      </c>
      <c r="G21" s="226">
        <v>276</v>
      </c>
      <c r="H21" s="431">
        <f t="shared" si="1"/>
        <v>0.75616438356164384</v>
      </c>
      <c r="I21" s="421">
        <f t="shared" si="2"/>
        <v>-929399.62526566163</v>
      </c>
      <c r="J21" s="421">
        <f t="shared" ref="J21:J30" si="4">J20+I21</f>
        <v>-308832241.02281231</v>
      </c>
      <c r="K21" s="421"/>
      <c r="L21" s="418"/>
    </row>
    <row r="22" spans="2:15">
      <c r="B22" s="226">
        <v>5</v>
      </c>
      <c r="C22" s="226">
        <v>2017</v>
      </c>
      <c r="D22" s="429" t="s">
        <v>697</v>
      </c>
      <c r="E22" s="430">
        <f t="shared" si="0"/>
        <v>-310657366.37387753</v>
      </c>
      <c r="F22" s="421">
        <f t="shared" si="3"/>
        <v>-1229097.3305143714</v>
      </c>
      <c r="G22" s="226">
        <v>246</v>
      </c>
      <c r="H22" s="431">
        <f t="shared" si="1"/>
        <v>0.67397260273972603</v>
      </c>
      <c r="I22" s="421">
        <f t="shared" si="2"/>
        <v>-828377.9268672202</v>
      </c>
      <c r="J22" s="421">
        <f t="shared" si="4"/>
        <v>-309660618.94967955</v>
      </c>
      <c r="K22" s="421"/>
      <c r="L22" s="418"/>
    </row>
    <row r="23" spans="2:15">
      <c r="B23" s="226">
        <v>6</v>
      </c>
      <c r="C23" s="226">
        <v>2017</v>
      </c>
      <c r="D23" s="429" t="s">
        <v>455</v>
      </c>
      <c r="E23" s="430">
        <f t="shared" si="0"/>
        <v>-311886463.7043919</v>
      </c>
      <c r="F23" s="421">
        <f t="shared" si="3"/>
        <v>-1229097.3305143714</v>
      </c>
      <c r="G23" s="226">
        <v>215</v>
      </c>
      <c r="H23" s="431">
        <f t="shared" si="1"/>
        <v>0.58904109589041098</v>
      </c>
      <c r="I23" s="421">
        <f t="shared" si="2"/>
        <v>-723988.83852216403</v>
      </c>
      <c r="J23" s="421">
        <f t="shared" si="4"/>
        <v>-310384607.78820169</v>
      </c>
      <c r="K23" s="421"/>
      <c r="L23" s="418"/>
    </row>
    <row r="24" spans="2:15">
      <c r="B24" s="226">
        <v>7</v>
      </c>
      <c r="C24" s="226">
        <v>2017</v>
      </c>
      <c r="D24" s="429" t="s">
        <v>698</v>
      </c>
      <c r="E24" s="430">
        <f t="shared" si="0"/>
        <v>-313115561.03490627</v>
      </c>
      <c r="F24" s="421">
        <f t="shared" si="3"/>
        <v>-1229097.3305143714</v>
      </c>
      <c r="G24" s="226">
        <v>185</v>
      </c>
      <c r="H24" s="431">
        <f t="shared" si="1"/>
        <v>0.50684931506849318</v>
      </c>
      <c r="I24" s="421">
        <f t="shared" si="2"/>
        <v>-622967.14012372249</v>
      </c>
      <c r="J24" s="421">
        <f t="shared" si="4"/>
        <v>-311007574.92832541</v>
      </c>
      <c r="K24" s="421"/>
      <c r="L24" s="418"/>
    </row>
    <row r="25" spans="2:15">
      <c r="B25" s="226">
        <v>8</v>
      </c>
      <c r="C25" s="226">
        <v>2017</v>
      </c>
      <c r="D25" s="429" t="s">
        <v>699</v>
      </c>
      <c r="E25" s="430">
        <f t="shared" si="0"/>
        <v>-314344658.36542064</v>
      </c>
      <c r="F25" s="421">
        <f t="shared" si="3"/>
        <v>-1229097.3305143714</v>
      </c>
      <c r="G25" s="226">
        <v>154</v>
      </c>
      <c r="H25" s="431">
        <f t="shared" si="1"/>
        <v>0.42191780821917807</v>
      </c>
      <c r="I25" s="421">
        <f t="shared" si="2"/>
        <v>-518578.05177866627</v>
      </c>
      <c r="J25" s="421">
        <f t="shared" si="4"/>
        <v>-311526152.98010409</v>
      </c>
      <c r="K25" s="421"/>
      <c r="L25" s="418"/>
    </row>
    <row r="26" spans="2:15">
      <c r="B26" s="226">
        <v>9</v>
      </c>
      <c r="C26" s="226">
        <v>2017</v>
      </c>
      <c r="D26" s="429" t="s">
        <v>700</v>
      </c>
      <c r="E26" s="430">
        <f t="shared" si="0"/>
        <v>-315573755.69593501</v>
      </c>
      <c r="F26" s="421">
        <f t="shared" si="3"/>
        <v>-1229097.3305143714</v>
      </c>
      <c r="G26" s="226">
        <v>123</v>
      </c>
      <c r="H26" s="431">
        <f t="shared" si="1"/>
        <v>0.33698630136986302</v>
      </c>
      <c r="I26" s="421">
        <f t="shared" si="2"/>
        <v>-414188.9634336101</v>
      </c>
      <c r="J26" s="421">
        <f t="shared" si="4"/>
        <v>-311940341.94353771</v>
      </c>
      <c r="K26" s="421"/>
      <c r="L26" s="418"/>
    </row>
    <row r="27" spans="2:15">
      <c r="B27" s="226">
        <v>10</v>
      </c>
      <c r="C27" s="226">
        <v>2017</v>
      </c>
      <c r="D27" s="429" t="s">
        <v>701</v>
      </c>
      <c r="E27" s="430">
        <f t="shared" si="0"/>
        <v>-316802853.02644938</v>
      </c>
      <c r="F27" s="421">
        <f t="shared" si="3"/>
        <v>-1229097.3305143714</v>
      </c>
      <c r="G27" s="226">
        <v>93</v>
      </c>
      <c r="H27" s="431">
        <f t="shared" si="1"/>
        <v>0.25479452054794521</v>
      </c>
      <c r="I27" s="421">
        <f t="shared" si="2"/>
        <v>-313167.26503516862</v>
      </c>
      <c r="J27" s="421">
        <f t="shared" si="4"/>
        <v>-312253509.20857286</v>
      </c>
      <c r="K27" s="421"/>
      <c r="L27" s="418"/>
    </row>
    <row r="28" spans="2:15">
      <c r="B28" s="226">
        <v>11</v>
      </c>
      <c r="C28" s="226">
        <v>2017</v>
      </c>
      <c r="D28" s="429" t="s">
        <v>702</v>
      </c>
      <c r="E28" s="430">
        <f t="shared" si="0"/>
        <v>-318031950.35696375</v>
      </c>
      <c r="F28" s="421">
        <f t="shared" si="3"/>
        <v>-1229097.3305143714</v>
      </c>
      <c r="G28" s="226">
        <v>62</v>
      </c>
      <c r="H28" s="431">
        <f t="shared" si="1"/>
        <v>0.16986301369863013</v>
      </c>
      <c r="I28" s="421">
        <f t="shared" si="2"/>
        <v>-208778.17669011239</v>
      </c>
      <c r="J28" s="421">
        <f t="shared" si="4"/>
        <v>-312462287.38526297</v>
      </c>
      <c r="K28" s="421"/>
      <c r="L28" s="418"/>
    </row>
    <row r="29" spans="2:15">
      <c r="B29" s="226">
        <v>12</v>
      </c>
      <c r="C29" s="226">
        <v>2017</v>
      </c>
      <c r="D29" s="429" t="s">
        <v>703</v>
      </c>
      <c r="E29" s="430">
        <f t="shared" si="0"/>
        <v>-319261047.68747813</v>
      </c>
      <c r="F29" s="421">
        <f t="shared" si="3"/>
        <v>-1229097.3305143714</v>
      </c>
      <c r="G29" s="226">
        <v>32</v>
      </c>
      <c r="H29" s="431">
        <f t="shared" si="1"/>
        <v>8.7671232876712329E-2</v>
      </c>
      <c r="I29" s="421">
        <f t="shared" si="2"/>
        <v>-107756.47829167092</v>
      </c>
      <c r="J29" s="421">
        <f t="shared" si="4"/>
        <v>-312570043.86355466</v>
      </c>
      <c r="K29" s="421"/>
      <c r="L29" s="418"/>
    </row>
    <row r="30" spans="2:15">
      <c r="B30" s="226">
        <v>13</v>
      </c>
      <c r="C30" s="226">
        <v>2017</v>
      </c>
      <c r="D30" s="429" t="s">
        <v>693</v>
      </c>
      <c r="E30" s="430">
        <v>-320490145.0179922</v>
      </c>
      <c r="F30" s="421">
        <f t="shared" si="3"/>
        <v>-1229097.3305140734</v>
      </c>
      <c r="G30" s="226">
        <v>1</v>
      </c>
      <c r="H30" s="431">
        <f t="shared" si="1"/>
        <v>2.7397260273972603E-3</v>
      </c>
      <c r="I30" s="421">
        <f t="shared" si="2"/>
        <v>-3367.3899466138996</v>
      </c>
      <c r="J30" s="421">
        <f t="shared" si="4"/>
        <v>-312573411.2535013</v>
      </c>
      <c r="K30" s="421"/>
      <c r="L30" s="421">
        <f>+J30</f>
        <v>-312573411.2535013</v>
      </c>
    </row>
    <row r="31" spans="2:15">
      <c r="B31" s="226"/>
      <c r="C31" s="226"/>
      <c r="D31" s="418"/>
      <c r="E31" s="432"/>
      <c r="F31" s="418"/>
      <c r="G31" s="226"/>
      <c r="H31" s="418"/>
      <c r="I31" s="418"/>
      <c r="J31" s="418"/>
      <c r="K31" s="433" t="s">
        <v>704</v>
      </c>
      <c r="L31" s="434">
        <f>SUM(L18:L30)</f>
        <v>-618314388.30532134</v>
      </c>
    </row>
    <row r="32" spans="2:15">
      <c r="B32" s="226"/>
      <c r="C32" s="226"/>
      <c r="D32" s="418"/>
      <c r="E32" s="432"/>
      <c r="F32" s="418"/>
      <c r="G32" s="226"/>
      <c r="H32" s="418"/>
      <c r="I32" s="418"/>
      <c r="J32" s="418"/>
      <c r="K32" s="435" t="s">
        <v>692</v>
      </c>
      <c r="L32" s="436">
        <f>+L31/2</f>
        <v>-309157194.15266067</v>
      </c>
    </row>
    <row r="33" spans="2:12">
      <c r="B33" s="226"/>
      <c r="C33" s="226"/>
      <c r="D33" s="418"/>
      <c r="E33" s="432"/>
      <c r="F33" s="418"/>
      <c r="G33" s="226"/>
      <c r="H33" s="418"/>
      <c r="I33" s="418"/>
      <c r="J33" s="418"/>
      <c r="K33" s="435"/>
      <c r="L33" s="444"/>
    </row>
    <row r="34" spans="2:12">
      <c r="B34" s="226"/>
      <c r="C34" s="226"/>
      <c r="D34" s="418"/>
      <c r="E34" s="432"/>
      <c r="F34" s="418"/>
      <c r="G34" s="226"/>
      <c r="H34" s="418"/>
      <c r="I34" s="423">
        <v>283</v>
      </c>
      <c r="J34" s="423">
        <v>283</v>
      </c>
      <c r="K34" s="424"/>
      <c r="L34" s="418"/>
    </row>
    <row r="35" spans="2:12">
      <c r="B35" s="425"/>
      <c r="C35" s="425"/>
      <c r="D35" s="426"/>
      <c r="E35" s="437">
        <v>283</v>
      </c>
      <c r="F35" s="423">
        <v>283</v>
      </c>
      <c r="G35" s="425" t="s">
        <v>683</v>
      </c>
      <c r="H35" s="426"/>
      <c r="I35" s="426" t="s">
        <v>684</v>
      </c>
      <c r="J35" s="426" t="s">
        <v>685</v>
      </c>
      <c r="K35" s="426"/>
      <c r="L35" s="426" t="s">
        <v>686</v>
      </c>
    </row>
    <row r="36" spans="2:12" ht="18" thickBot="1">
      <c r="B36" s="427" t="s">
        <v>273</v>
      </c>
      <c r="C36" s="427" t="s">
        <v>687</v>
      </c>
      <c r="D36" s="428" t="s">
        <v>688</v>
      </c>
      <c r="E36" s="438" t="s">
        <v>682</v>
      </c>
      <c r="F36" s="428" t="s">
        <v>689</v>
      </c>
      <c r="G36" s="427" t="s">
        <v>690</v>
      </c>
      <c r="H36" s="428" t="s">
        <v>691</v>
      </c>
      <c r="I36" s="428" t="s">
        <v>689</v>
      </c>
      <c r="J36" s="428" t="s">
        <v>682</v>
      </c>
      <c r="K36" s="428"/>
      <c r="L36" s="428" t="s">
        <v>692</v>
      </c>
    </row>
    <row r="37" spans="2:12">
      <c r="B37" s="226"/>
      <c r="C37" s="226"/>
      <c r="D37" s="418"/>
      <c r="E37" s="432"/>
      <c r="F37" s="418"/>
      <c r="G37" s="226"/>
      <c r="H37" s="418"/>
      <c r="I37" s="418"/>
      <c r="J37" s="418"/>
      <c r="K37" s="418"/>
      <c r="L37" s="418"/>
    </row>
    <row r="38" spans="2:12">
      <c r="B38" s="226">
        <v>1</v>
      </c>
      <c r="C38" s="226">
        <v>2016</v>
      </c>
      <c r="D38" s="429" t="s">
        <v>693</v>
      </c>
      <c r="E38" s="430">
        <v>-30006956.475233622</v>
      </c>
      <c r="F38" s="439"/>
      <c r="G38" s="440"/>
      <c r="H38" s="441"/>
      <c r="I38" s="439"/>
      <c r="J38" s="421">
        <f>E38</f>
        <v>-30006956.475233622</v>
      </c>
      <c r="K38" s="421"/>
      <c r="L38" s="421">
        <f>+J38</f>
        <v>-30006956.475233622</v>
      </c>
    </row>
    <row r="39" spans="2:12">
      <c r="B39" s="226">
        <v>2</v>
      </c>
      <c r="C39" s="226">
        <v>2017</v>
      </c>
      <c r="D39" s="429" t="s">
        <v>694</v>
      </c>
      <c r="E39" s="430">
        <f>+(($E$50-$E$38)/12)+E38</f>
        <v>-29608524.822779402</v>
      </c>
      <c r="F39" s="439"/>
      <c r="G39" s="440"/>
      <c r="H39" s="442"/>
      <c r="I39" s="439"/>
      <c r="J39" s="421">
        <f t="shared" ref="J39:J50" si="5">E39</f>
        <v>-29608524.822779402</v>
      </c>
      <c r="K39" s="421"/>
      <c r="L39" s="418"/>
    </row>
    <row r="40" spans="2:12">
      <c r="B40" s="226">
        <v>3</v>
      </c>
      <c r="C40" s="226">
        <v>2017</v>
      </c>
      <c r="D40" s="429" t="s">
        <v>695</v>
      </c>
      <c r="E40" s="430">
        <f>+(($E$50-$E$38)/12)+E39</f>
        <v>-29210093.170325182</v>
      </c>
      <c r="F40" s="439"/>
      <c r="G40" s="440"/>
      <c r="H40" s="442"/>
      <c r="I40" s="439"/>
      <c r="J40" s="421">
        <f t="shared" si="5"/>
        <v>-29210093.170325182</v>
      </c>
      <c r="K40" s="421"/>
      <c r="L40" s="418"/>
    </row>
    <row r="41" spans="2:12">
      <c r="B41" s="226">
        <v>4</v>
      </c>
      <c r="C41" s="226">
        <v>2017</v>
      </c>
      <c r="D41" s="429" t="s">
        <v>696</v>
      </c>
      <c r="E41" s="430">
        <f t="shared" ref="E41:E49" si="6">+(($E$50-$E$38)/12)+E40</f>
        <v>-28811661.517870963</v>
      </c>
      <c r="F41" s="439"/>
      <c r="G41" s="440"/>
      <c r="H41" s="442"/>
      <c r="I41" s="439"/>
      <c r="J41" s="421">
        <f t="shared" si="5"/>
        <v>-28811661.517870963</v>
      </c>
      <c r="K41" s="421"/>
      <c r="L41" s="418"/>
    </row>
    <row r="42" spans="2:12">
      <c r="B42" s="226">
        <v>5</v>
      </c>
      <c r="C42" s="226">
        <v>2017</v>
      </c>
      <c r="D42" s="429" t="s">
        <v>697</v>
      </c>
      <c r="E42" s="430">
        <f t="shared" si="6"/>
        <v>-28413229.865416743</v>
      </c>
      <c r="F42" s="439"/>
      <c r="G42" s="440"/>
      <c r="H42" s="442"/>
      <c r="I42" s="439"/>
      <c r="J42" s="421">
        <f t="shared" si="5"/>
        <v>-28413229.865416743</v>
      </c>
      <c r="K42" s="421"/>
      <c r="L42" s="418"/>
    </row>
    <row r="43" spans="2:12">
      <c r="B43" s="226">
        <v>6</v>
      </c>
      <c r="C43" s="226">
        <v>2017</v>
      </c>
      <c r="D43" s="429" t="s">
        <v>455</v>
      </c>
      <c r="E43" s="430">
        <f t="shared" si="6"/>
        <v>-28014798.212962523</v>
      </c>
      <c r="F43" s="439"/>
      <c r="G43" s="440"/>
      <c r="H43" s="442"/>
      <c r="I43" s="439"/>
      <c r="J43" s="421">
        <f t="shared" si="5"/>
        <v>-28014798.212962523</v>
      </c>
      <c r="K43" s="421"/>
      <c r="L43" s="418"/>
    </row>
    <row r="44" spans="2:12">
      <c r="B44" s="226">
        <v>7</v>
      </c>
      <c r="C44" s="226">
        <v>2017</v>
      </c>
      <c r="D44" s="429" t="s">
        <v>698</v>
      </c>
      <c r="E44" s="430">
        <f t="shared" si="6"/>
        <v>-27616366.560508303</v>
      </c>
      <c r="F44" s="439"/>
      <c r="G44" s="440"/>
      <c r="H44" s="442"/>
      <c r="I44" s="439"/>
      <c r="J44" s="421">
        <f t="shared" si="5"/>
        <v>-27616366.560508303</v>
      </c>
      <c r="K44" s="421"/>
      <c r="L44" s="418"/>
    </row>
    <row r="45" spans="2:12">
      <c r="B45" s="226">
        <v>8</v>
      </c>
      <c r="C45" s="226">
        <v>2017</v>
      </c>
      <c r="D45" s="429" t="s">
        <v>699</v>
      </c>
      <c r="E45" s="430">
        <f t="shared" si="6"/>
        <v>-27217934.908054084</v>
      </c>
      <c r="F45" s="439"/>
      <c r="G45" s="440"/>
      <c r="H45" s="442"/>
      <c r="I45" s="439"/>
      <c r="J45" s="421">
        <f t="shared" si="5"/>
        <v>-27217934.908054084</v>
      </c>
      <c r="K45" s="421"/>
      <c r="L45" s="418"/>
    </row>
    <row r="46" spans="2:12">
      <c r="B46" s="226">
        <v>9</v>
      </c>
      <c r="C46" s="226">
        <v>2017</v>
      </c>
      <c r="D46" s="429" t="s">
        <v>700</v>
      </c>
      <c r="E46" s="430">
        <f t="shared" si="6"/>
        <v>-26819503.255599864</v>
      </c>
      <c r="F46" s="439"/>
      <c r="G46" s="440"/>
      <c r="H46" s="442"/>
      <c r="I46" s="439"/>
      <c r="J46" s="421">
        <f t="shared" si="5"/>
        <v>-26819503.255599864</v>
      </c>
      <c r="K46" s="421"/>
      <c r="L46" s="418"/>
    </row>
    <row r="47" spans="2:12">
      <c r="B47" s="226">
        <v>10</v>
      </c>
      <c r="C47" s="226">
        <v>2017</v>
      </c>
      <c r="D47" s="429" t="s">
        <v>701</v>
      </c>
      <c r="E47" s="430">
        <f t="shared" si="6"/>
        <v>-26421071.603145644</v>
      </c>
      <c r="F47" s="439"/>
      <c r="G47" s="440"/>
      <c r="H47" s="442"/>
      <c r="I47" s="439"/>
      <c r="J47" s="421">
        <f t="shared" si="5"/>
        <v>-26421071.603145644</v>
      </c>
      <c r="K47" s="421"/>
      <c r="L47" s="418"/>
    </row>
    <row r="48" spans="2:12">
      <c r="B48" s="226">
        <v>11</v>
      </c>
      <c r="C48" s="226">
        <v>2017</v>
      </c>
      <c r="D48" s="429" t="s">
        <v>702</v>
      </c>
      <c r="E48" s="430">
        <f t="shared" si="6"/>
        <v>-26022639.950691424</v>
      </c>
      <c r="F48" s="439"/>
      <c r="G48" s="440"/>
      <c r="H48" s="442"/>
      <c r="I48" s="439"/>
      <c r="J48" s="421">
        <f t="shared" si="5"/>
        <v>-26022639.950691424</v>
      </c>
      <c r="K48" s="421"/>
      <c r="L48" s="418"/>
    </row>
    <row r="49" spans="2:12">
      <c r="B49" s="226">
        <v>12</v>
      </c>
      <c r="C49" s="226">
        <v>2017</v>
      </c>
      <c r="D49" s="429" t="s">
        <v>703</v>
      </c>
      <c r="E49" s="430">
        <f t="shared" si="6"/>
        <v>-25624208.298237205</v>
      </c>
      <c r="F49" s="439"/>
      <c r="G49" s="440"/>
      <c r="H49" s="442"/>
      <c r="I49" s="439"/>
      <c r="J49" s="421">
        <f t="shared" si="5"/>
        <v>-25624208.298237205</v>
      </c>
      <c r="K49" s="421"/>
      <c r="L49" s="418"/>
    </row>
    <row r="50" spans="2:12">
      <c r="B50" s="226">
        <v>13</v>
      </c>
      <c r="C50" s="226">
        <v>2017</v>
      </c>
      <c r="D50" s="429" t="s">
        <v>693</v>
      </c>
      <c r="E50" s="430">
        <v>-25225776.645782996</v>
      </c>
      <c r="F50" s="439"/>
      <c r="G50" s="440"/>
      <c r="H50" s="442"/>
      <c r="I50" s="439"/>
      <c r="J50" s="421">
        <f t="shared" si="5"/>
        <v>-25225776.645782996</v>
      </c>
      <c r="K50" s="421"/>
      <c r="L50" s="421">
        <f>+J50</f>
        <v>-25225776.645782996</v>
      </c>
    </row>
    <row r="51" spans="2:12">
      <c r="B51" s="226"/>
      <c r="C51" s="226"/>
      <c r="D51" s="418"/>
      <c r="E51" s="432"/>
      <c r="F51" s="418"/>
      <c r="G51" s="226"/>
      <c r="H51" s="418"/>
      <c r="I51" s="421"/>
      <c r="J51" s="418"/>
      <c r="K51" s="433" t="s">
        <v>704</v>
      </c>
      <c r="L51" s="434">
        <f>SUM(L38:L50)</f>
        <v>-55232733.121016622</v>
      </c>
    </row>
    <row r="52" spans="2:12">
      <c r="B52" s="226"/>
      <c r="C52" s="226"/>
      <c r="D52" s="418"/>
      <c r="E52" s="432"/>
      <c r="F52" s="418"/>
      <c r="G52" s="226"/>
      <c r="H52" s="418"/>
      <c r="I52" s="418"/>
      <c r="J52" s="418"/>
      <c r="K52" s="435" t="s">
        <v>692</v>
      </c>
      <c r="L52" s="436">
        <f>+L51/2</f>
        <v>-27616366.560508311</v>
      </c>
    </row>
    <row r="53" spans="2:12">
      <c r="B53" s="226"/>
      <c r="C53" s="226"/>
      <c r="D53" s="418"/>
      <c r="E53" s="432"/>
      <c r="F53" s="418"/>
      <c r="G53" s="226"/>
      <c r="H53" s="418"/>
      <c r="I53" s="418"/>
      <c r="J53" s="418"/>
      <c r="K53" s="435"/>
      <c r="L53" s="444"/>
    </row>
    <row r="54" spans="2:12" hidden="1">
      <c r="B54" s="443" t="s">
        <v>705</v>
      </c>
      <c r="C54" s="226"/>
      <c r="D54" s="418"/>
      <c r="E54" s="432"/>
      <c r="F54" s="418"/>
      <c r="G54" s="226"/>
      <c r="H54" s="418"/>
      <c r="I54" s="423">
        <v>190</v>
      </c>
      <c r="J54" s="423">
        <v>190</v>
      </c>
      <c r="K54" s="424"/>
      <c r="L54" s="418"/>
    </row>
    <row r="55" spans="2:12" hidden="1">
      <c r="B55" s="425"/>
      <c r="C55" s="425"/>
      <c r="D55" s="426"/>
      <c r="E55" s="437">
        <v>190</v>
      </c>
      <c r="F55" s="423">
        <v>190</v>
      </c>
      <c r="G55" s="425" t="s">
        <v>683</v>
      </c>
      <c r="H55" s="426"/>
      <c r="I55" s="426" t="s">
        <v>684</v>
      </c>
      <c r="J55" s="426" t="s">
        <v>685</v>
      </c>
      <c r="K55" s="426"/>
      <c r="L55" s="426" t="s">
        <v>686</v>
      </c>
    </row>
    <row r="56" spans="2:12" ht="18" hidden="1" thickBot="1">
      <c r="B56" s="427" t="s">
        <v>273</v>
      </c>
      <c r="C56" s="427" t="s">
        <v>687</v>
      </c>
      <c r="D56" s="428" t="s">
        <v>688</v>
      </c>
      <c r="E56" s="438" t="s">
        <v>682</v>
      </c>
      <c r="F56" s="428" t="s">
        <v>689</v>
      </c>
      <c r="G56" s="427" t="s">
        <v>690</v>
      </c>
      <c r="H56" s="428" t="s">
        <v>691</v>
      </c>
      <c r="I56" s="428" t="s">
        <v>689</v>
      </c>
      <c r="J56" s="428" t="s">
        <v>682</v>
      </c>
      <c r="K56" s="428"/>
      <c r="L56" s="428" t="s">
        <v>692</v>
      </c>
    </row>
    <row r="57" spans="2:12" hidden="1">
      <c r="B57" s="226"/>
      <c r="C57" s="226"/>
      <c r="D57" s="418"/>
      <c r="E57" s="432"/>
      <c r="F57" s="418"/>
      <c r="G57" s="226"/>
      <c r="H57" s="418"/>
      <c r="I57" s="418"/>
      <c r="J57" s="418"/>
      <c r="K57" s="418"/>
      <c r="L57" s="418"/>
    </row>
    <row r="58" spans="2:12" hidden="1">
      <c r="B58" s="226">
        <v>1</v>
      </c>
      <c r="C58" s="226">
        <v>2016</v>
      </c>
      <c r="D58" s="429" t="s">
        <v>693</v>
      </c>
      <c r="E58" s="430">
        <v>0</v>
      </c>
      <c r="F58" s="421"/>
      <c r="G58" s="226"/>
      <c r="H58" s="418"/>
      <c r="I58" s="421"/>
      <c r="J58" s="421">
        <f>E58</f>
        <v>0</v>
      </c>
      <c r="K58" s="421"/>
      <c r="L58" s="421">
        <f>+J58</f>
        <v>0</v>
      </c>
    </row>
    <row r="59" spans="2:12" hidden="1">
      <c r="B59" s="226">
        <v>2</v>
      </c>
      <c r="C59" s="226">
        <v>2017</v>
      </c>
      <c r="D59" s="429" t="s">
        <v>694</v>
      </c>
      <c r="E59" s="430">
        <f>+(($E$70-$E$58)/12)+E58</f>
        <v>0</v>
      </c>
      <c r="F59" s="421">
        <f>E59-E58</f>
        <v>0</v>
      </c>
      <c r="G59" s="226">
        <v>335</v>
      </c>
      <c r="H59" s="431">
        <f>G59/365</f>
        <v>0.9178082191780822</v>
      </c>
      <c r="I59" s="421">
        <f>H59*F59</f>
        <v>0</v>
      </c>
      <c r="J59" s="421">
        <f>J58+I59</f>
        <v>0</v>
      </c>
      <c r="K59" s="421"/>
      <c r="L59" s="418"/>
    </row>
    <row r="60" spans="2:12" hidden="1">
      <c r="B60" s="226">
        <v>3</v>
      </c>
      <c r="C60" s="226">
        <v>2017</v>
      </c>
      <c r="D60" s="429" t="s">
        <v>695</v>
      </c>
      <c r="E60" s="430">
        <f t="shared" ref="E60:E69" si="7">+(($E$70-$E$58)/12)+E59</f>
        <v>0</v>
      </c>
      <c r="F60" s="421">
        <f>E60-E59</f>
        <v>0</v>
      </c>
      <c r="G60" s="226">
        <v>307</v>
      </c>
      <c r="H60" s="431">
        <f t="shared" ref="H60:H70" si="8">G60/365</f>
        <v>0.84109589041095889</v>
      </c>
      <c r="I60" s="421">
        <f t="shared" ref="I60:I70" si="9">H60*F60</f>
        <v>0</v>
      </c>
      <c r="J60" s="421">
        <f>J59+I60</f>
        <v>0</v>
      </c>
      <c r="K60" s="421"/>
      <c r="L60" s="418"/>
    </row>
    <row r="61" spans="2:12" hidden="1">
      <c r="B61" s="226">
        <v>4</v>
      </c>
      <c r="C61" s="226">
        <v>2017</v>
      </c>
      <c r="D61" s="429" t="s">
        <v>696</v>
      </c>
      <c r="E61" s="430">
        <f t="shared" si="7"/>
        <v>0</v>
      </c>
      <c r="F61" s="421">
        <f t="shared" ref="F61:F70" si="10">E61-E60</f>
        <v>0</v>
      </c>
      <c r="G61" s="226">
        <v>276</v>
      </c>
      <c r="H61" s="431">
        <f t="shared" si="8"/>
        <v>0.75616438356164384</v>
      </c>
      <c r="I61" s="421">
        <f t="shared" si="9"/>
        <v>0</v>
      </c>
      <c r="J61" s="421">
        <f t="shared" ref="J61:J70" si="11">J60+I61</f>
        <v>0</v>
      </c>
      <c r="K61" s="421"/>
      <c r="L61" s="418"/>
    </row>
    <row r="62" spans="2:12" hidden="1">
      <c r="B62" s="226">
        <v>5</v>
      </c>
      <c r="C62" s="226">
        <v>2017</v>
      </c>
      <c r="D62" s="429" t="s">
        <v>697</v>
      </c>
      <c r="E62" s="430">
        <f t="shared" si="7"/>
        <v>0</v>
      </c>
      <c r="F62" s="421">
        <f t="shared" si="10"/>
        <v>0</v>
      </c>
      <c r="G62" s="226">
        <v>246</v>
      </c>
      <c r="H62" s="431">
        <f t="shared" si="8"/>
        <v>0.67397260273972603</v>
      </c>
      <c r="I62" s="421">
        <f t="shared" si="9"/>
        <v>0</v>
      </c>
      <c r="J62" s="421">
        <f t="shared" si="11"/>
        <v>0</v>
      </c>
      <c r="K62" s="421"/>
      <c r="L62" s="418"/>
    </row>
    <row r="63" spans="2:12" hidden="1">
      <c r="B63" s="226">
        <v>6</v>
      </c>
      <c r="C63" s="226">
        <v>2017</v>
      </c>
      <c r="D63" s="429" t="s">
        <v>455</v>
      </c>
      <c r="E63" s="430">
        <f t="shared" si="7"/>
        <v>0</v>
      </c>
      <c r="F63" s="421">
        <f t="shared" si="10"/>
        <v>0</v>
      </c>
      <c r="G63" s="226">
        <v>215</v>
      </c>
      <c r="H63" s="431">
        <f t="shared" si="8"/>
        <v>0.58904109589041098</v>
      </c>
      <c r="I63" s="421">
        <f t="shared" si="9"/>
        <v>0</v>
      </c>
      <c r="J63" s="421">
        <f t="shared" si="11"/>
        <v>0</v>
      </c>
      <c r="K63" s="421"/>
      <c r="L63" s="418"/>
    </row>
    <row r="64" spans="2:12" hidden="1">
      <c r="B64" s="226">
        <v>7</v>
      </c>
      <c r="C64" s="226">
        <v>2017</v>
      </c>
      <c r="D64" s="429" t="s">
        <v>698</v>
      </c>
      <c r="E64" s="430">
        <f t="shared" si="7"/>
        <v>0</v>
      </c>
      <c r="F64" s="421">
        <f t="shared" si="10"/>
        <v>0</v>
      </c>
      <c r="G64" s="226">
        <v>185</v>
      </c>
      <c r="H64" s="431">
        <f t="shared" si="8"/>
        <v>0.50684931506849318</v>
      </c>
      <c r="I64" s="421">
        <f t="shared" si="9"/>
        <v>0</v>
      </c>
      <c r="J64" s="421">
        <f t="shared" si="11"/>
        <v>0</v>
      </c>
      <c r="K64" s="421"/>
      <c r="L64" s="418"/>
    </row>
    <row r="65" spans="2:12" hidden="1">
      <c r="B65" s="226">
        <v>8</v>
      </c>
      <c r="C65" s="226">
        <v>2017</v>
      </c>
      <c r="D65" s="429" t="s">
        <v>699</v>
      </c>
      <c r="E65" s="430">
        <f t="shared" si="7"/>
        <v>0</v>
      </c>
      <c r="F65" s="421">
        <f t="shared" si="10"/>
        <v>0</v>
      </c>
      <c r="G65" s="226">
        <v>154</v>
      </c>
      <c r="H65" s="431">
        <f t="shared" si="8"/>
        <v>0.42191780821917807</v>
      </c>
      <c r="I65" s="421">
        <f t="shared" si="9"/>
        <v>0</v>
      </c>
      <c r="J65" s="421">
        <f t="shared" si="11"/>
        <v>0</v>
      </c>
      <c r="K65" s="421"/>
      <c r="L65" s="418"/>
    </row>
    <row r="66" spans="2:12" hidden="1">
      <c r="B66" s="226">
        <v>9</v>
      </c>
      <c r="C66" s="226">
        <v>2017</v>
      </c>
      <c r="D66" s="429" t="s">
        <v>700</v>
      </c>
      <c r="E66" s="430">
        <f t="shared" si="7"/>
        <v>0</v>
      </c>
      <c r="F66" s="421">
        <f t="shared" si="10"/>
        <v>0</v>
      </c>
      <c r="G66" s="226">
        <v>123</v>
      </c>
      <c r="H66" s="431">
        <f t="shared" si="8"/>
        <v>0.33698630136986302</v>
      </c>
      <c r="I66" s="421">
        <f t="shared" si="9"/>
        <v>0</v>
      </c>
      <c r="J66" s="421">
        <f t="shared" si="11"/>
        <v>0</v>
      </c>
      <c r="K66" s="421"/>
      <c r="L66" s="418"/>
    </row>
    <row r="67" spans="2:12" hidden="1">
      <c r="B67" s="226">
        <v>10</v>
      </c>
      <c r="C67" s="226">
        <v>2017</v>
      </c>
      <c r="D67" s="429" t="s">
        <v>701</v>
      </c>
      <c r="E67" s="430">
        <f t="shared" si="7"/>
        <v>0</v>
      </c>
      <c r="F67" s="421">
        <f t="shared" si="10"/>
        <v>0</v>
      </c>
      <c r="G67" s="226">
        <v>93</v>
      </c>
      <c r="H67" s="431">
        <f t="shared" si="8"/>
        <v>0.25479452054794521</v>
      </c>
      <c r="I67" s="421">
        <f t="shared" si="9"/>
        <v>0</v>
      </c>
      <c r="J67" s="421">
        <f t="shared" si="11"/>
        <v>0</v>
      </c>
      <c r="K67" s="421"/>
      <c r="L67" s="418"/>
    </row>
    <row r="68" spans="2:12" hidden="1">
      <c r="B68" s="226">
        <v>11</v>
      </c>
      <c r="C68" s="226">
        <v>2017</v>
      </c>
      <c r="D68" s="429" t="s">
        <v>702</v>
      </c>
      <c r="E68" s="430">
        <f t="shared" si="7"/>
        <v>0</v>
      </c>
      <c r="F68" s="421">
        <f t="shared" si="10"/>
        <v>0</v>
      </c>
      <c r="G68" s="226">
        <v>62</v>
      </c>
      <c r="H68" s="431">
        <f t="shared" si="8"/>
        <v>0.16986301369863013</v>
      </c>
      <c r="I68" s="421">
        <f t="shared" si="9"/>
        <v>0</v>
      </c>
      <c r="J68" s="421">
        <f t="shared" si="11"/>
        <v>0</v>
      </c>
      <c r="K68" s="421"/>
      <c r="L68" s="418"/>
    </row>
    <row r="69" spans="2:12" hidden="1">
      <c r="B69" s="226">
        <v>12</v>
      </c>
      <c r="C69" s="226">
        <v>2017</v>
      </c>
      <c r="D69" s="429" t="s">
        <v>703</v>
      </c>
      <c r="E69" s="430">
        <f t="shared" si="7"/>
        <v>0</v>
      </c>
      <c r="F69" s="421">
        <f t="shared" si="10"/>
        <v>0</v>
      </c>
      <c r="G69" s="226">
        <v>32</v>
      </c>
      <c r="H69" s="431">
        <f t="shared" si="8"/>
        <v>8.7671232876712329E-2</v>
      </c>
      <c r="I69" s="421">
        <f t="shared" si="9"/>
        <v>0</v>
      </c>
      <c r="J69" s="421">
        <f t="shared" si="11"/>
        <v>0</v>
      </c>
      <c r="K69" s="421"/>
      <c r="L69" s="418"/>
    </row>
    <row r="70" spans="2:12" hidden="1">
      <c r="B70" s="226">
        <v>13</v>
      </c>
      <c r="C70" s="226">
        <v>2017</v>
      </c>
      <c r="D70" s="429" t="s">
        <v>693</v>
      </c>
      <c r="E70" s="430">
        <v>0</v>
      </c>
      <c r="F70" s="421">
        <f t="shared" si="10"/>
        <v>0</v>
      </c>
      <c r="G70" s="226">
        <v>1</v>
      </c>
      <c r="H70" s="431">
        <f t="shared" si="8"/>
        <v>2.7397260273972603E-3</v>
      </c>
      <c r="I70" s="421">
        <f t="shared" si="9"/>
        <v>0</v>
      </c>
      <c r="J70" s="421">
        <f t="shared" si="11"/>
        <v>0</v>
      </c>
      <c r="K70" s="421"/>
      <c r="L70" s="421">
        <f>+J70</f>
        <v>0</v>
      </c>
    </row>
    <row r="71" spans="2:12" hidden="1">
      <c r="B71" s="226"/>
      <c r="C71" s="226"/>
      <c r="D71" s="418"/>
      <c r="E71" s="418"/>
      <c r="F71" s="418"/>
      <c r="G71" s="226"/>
      <c r="H71" s="418"/>
      <c r="I71" s="418"/>
      <c r="J71" s="418"/>
      <c r="K71" s="433" t="s">
        <v>704</v>
      </c>
      <c r="L71" s="434">
        <f>SUM(L58:L70)</f>
        <v>0</v>
      </c>
    </row>
    <row r="72" spans="2:12" hidden="1">
      <c r="B72" s="226"/>
      <c r="C72" s="226"/>
      <c r="D72" s="418"/>
      <c r="E72" s="418"/>
      <c r="F72" s="418"/>
      <c r="G72" s="226"/>
      <c r="H72" s="418"/>
      <c r="I72" s="418"/>
      <c r="J72" s="418"/>
      <c r="K72" s="435" t="s">
        <v>692</v>
      </c>
      <c r="L72" s="436">
        <f>+L71/2</f>
        <v>0</v>
      </c>
    </row>
    <row r="73" spans="2:12" hidden="1">
      <c r="B73" s="226"/>
      <c r="C73" s="226"/>
      <c r="D73" s="418"/>
      <c r="E73" s="418"/>
      <c r="F73" s="418"/>
      <c r="G73" s="226"/>
      <c r="H73" s="418"/>
      <c r="I73" s="418"/>
      <c r="J73" s="418"/>
      <c r="K73" s="418"/>
      <c r="L73" s="418"/>
    </row>
    <row r="74" spans="2:12">
      <c r="B74" s="443" t="s">
        <v>706</v>
      </c>
      <c r="C74" s="226"/>
      <c r="D74" s="418"/>
      <c r="E74" s="432"/>
      <c r="F74" s="418"/>
      <c r="G74" s="226"/>
      <c r="H74" s="418"/>
      <c r="I74" s="423">
        <v>190</v>
      </c>
      <c r="J74" s="423">
        <v>190</v>
      </c>
      <c r="K74" s="424"/>
      <c r="L74" s="418"/>
    </row>
    <row r="75" spans="2:12">
      <c r="B75" s="425"/>
      <c r="C75" s="425"/>
      <c r="D75" s="426"/>
      <c r="E75" s="437">
        <v>190</v>
      </c>
      <c r="F75" s="423">
        <v>190</v>
      </c>
      <c r="G75" s="425" t="s">
        <v>683</v>
      </c>
      <c r="H75" s="426"/>
      <c r="I75" s="426" t="s">
        <v>684</v>
      </c>
      <c r="J75" s="426" t="s">
        <v>685</v>
      </c>
      <c r="K75" s="426"/>
      <c r="L75" s="426" t="s">
        <v>686</v>
      </c>
    </row>
    <row r="76" spans="2:12" ht="18" thickBot="1">
      <c r="B76" s="427" t="s">
        <v>273</v>
      </c>
      <c r="C76" s="427" t="s">
        <v>687</v>
      </c>
      <c r="D76" s="428" t="s">
        <v>688</v>
      </c>
      <c r="E76" s="438" t="s">
        <v>682</v>
      </c>
      <c r="F76" s="428" t="s">
        <v>689</v>
      </c>
      <c r="G76" s="427" t="s">
        <v>690</v>
      </c>
      <c r="H76" s="428" t="s">
        <v>691</v>
      </c>
      <c r="I76" s="428" t="s">
        <v>689</v>
      </c>
      <c r="J76" s="428" t="s">
        <v>682</v>
      </c>
      <c r="K76" s="428"/>
      <c r="L76" s="428" t="s">
        <v>692</v>
      </c>
    </row>
    <row r="77" spans="2:12">
      <c r="B77" s="226"/>
      <c r="C77" s="226"/>
      <c r="D77" s="418"/>
      <c r="E77" s="432"/>
      <c r="F77" s="418"/>
      <c r="G77" s="226"/>
      <c r="H77" s="418"/>
      <c r="I77" s="418"/>
      <c r="J77" s="418"/>
      <c r="K77" s="418"/>
      <c r="L77" s="418"/>
    </row>
    <row r="78" spans="2:12">
      <c r="B78" s="226">
        <v>1</v>
      </c>
      <c r="C78" s="226">
        <v>2016</v>
      </c>
      <c r="D78" s="429" t="s">
        <v>693</v>
      </c>
      <c r="E78" s="430">
        <v>12745071.28168625</v>
      </c>
      <c r="F78" s="421"/>
      <c r="G78" s="226"/>
      <c r="H78" s="418"/>
      <c r="I78" s="421"/>
      <c r="J78" s="421">
        <f>E78</f>
        <v>12745071.28168625</v>
      </c>
      <c r="K78" s="421"/>
      <c r="L78" s="421">
        <f>+J78</f>
        <v>12745071.28168625</v>
      </c>
    </row>
    <row r="79" spans="2:12">
      <c r="B79" s="226">
        <v>2</v>
      </c>
      <c r="C79" s="226">
        <v>2017</v>
      </c>
      <c r="D79" s="429" t="s">
        <v>694</v>
      </c>
      <c r="E79" s="430">
        <f>+(($E$90-$E$78)/12)+E78</f>
        <v>12704140.636476668</v>
      </c>
      <c r="F79" s="439"/>
      <c r="G79" s="440"/>
      <c r="H79" s="441"/>
      <c r="I79" s="439"/>
      <c r="J79" s="421">
        <f>E79</f>
        <v>12704140.636476668</v>
      </c>
      <c r="K79" s="421"/>
      <c r="L79" s="418"/>
    </row>
    <row r="80" spans="2:12">
      <c r="B80" s="226">
        <v>3</v>
      </c>
      <c r="C80" s="226">
        <v>2017</v>
      </c>
      <c r="D80" s="429" t="s">
        <v>695</v>
      </c>
      <c r="E80" s="430">
        <f>+(($E$90-$E$78)/12)+E79</f>
        <v>12663209.991267085</v>
      </c>
      <c r="F80" s="439"/>
      <c r="G80" s="440"/>
      <c r="H80" s="442"/>
      <c r="I80" s="439"/>
      <c r="J80" s="421">
        <f t="shared" ref="J80:J90" si="12">E80</f>
        <v>12663209.991267085</v>
      </c>
      <c r="K80" s="421"/>
      <c r="L80" s="418"/>
    </row>
    <row r="81" spans="2:12">
      <c r="B81" s="226">
        <v>4</v>
      </c>
      <c r="C81" s="226">
        <v>2017</v>
      </c>
      <c r="D81" s="429" t="s">
        <v>696</v>
      </c>
      <c r="E81" s="430">
        <f t="shared" ref="E81:E89" si="13">+(($E$90-$E$78)/12)+E80</f>
        <v>12622279.346057503</v>
      </c>
      <c r="F81" s="439"/>
      <c r="G81" s="440"/>
      <c r="H81" s="442"/>
      <c r="I81" s="439"/>
      <c r="J81" s="421">
        <f t="shared" si="12"/>
        <v>12622279.346057503</v>
      </c>
      <c r="K81" s="421"/>
      <c r="L81" s="418"/>
    </row>
    <row r="82" spans="2:12">
      <c r="B82" s="226">
        <v>5</v>
      </c>
      <c r="C82" s="226">
        <v>2017</v>
      </c>
      <c r="D82" s="429" t="s">
        <v>697</v>
      </c>
      <c r="E82" s="430">
        <f t="shared" si="13"/>
        <v>12581348.70084792</v>
      </c>
      <c r="F82" s="439"/>
      <c r="G82" s="440"/>
      <c r="H82" s="442"/>
      <c r="I82" s="439"/>
      <c r="J82" s="421">
        <f t="shared" si="12"/>
        <v>12581348.70084792</v>
      </c>
      <c r="K82" s="421"/>
      <c r="L82" s="418"/>
    </row>
    <row r="83" spans="2:12">
      <c r="B83" s="226">
        <v>6</v>
      </c>
      <c r="C83" s="226">
        <v>2017</v>
      </c>
      <c r="D83" s="429" t="s">
        <v>455</v>
      </c>
      <c r="E83" s="430">
        <f t="shared" si="13"/>
        <v>12540418.055638338</v>
      </c>
      <c r="F83" s="439"/>
      <c r="G83" s="440"/>
      <c r="H83" s="442"/>
      <c r="I83" s="439"/>
      <c r="J83" s="421">
        <f t="shared" si="12"/>
        <v>12540418.055638338</v>
      </c>
      <c r="K83" s="421"/>
      <c r="L83" s="418"/>
    </row>
    <row r="84" spans="2:12">
      <c r="B84" s="226">
        <v>7</v>
      </c>
      <c r="C84" s="226">
        <v>2017</v>
      </c>
      <c r="D84" s="429" t="s">
        <v>698</v>
      </c>
      <c r="E84" s="430">
        <f t="shared" si="13"/>
        <v>12499487.410428755</v>
      </c>
      <c r="F84" s="439"/>
      <c r="G84" s="440"/>
      <c r="H84" s="442"/>
      <c r="I84" s="439"/>
      <c r="J84" s="421">
        <f t="shared" si="12"/>
        <v>12499487.410428755</v>
      </c>
      <c r="K84" s="421"/>
      <c r="L84" s="418"/>
    </row>
    <row r="85" spans="2:12">
      <c r="B85" s="226">
        <v>8</v>
      </c>
      <c r="C85" s="226">
        <v>2017</v>
      </c>
      <c r="D85" s="429" t="s">
        <v>699</v>
      </c>
      <c r="E85" s="430">
        <f t="shared" si="13"/>
        <v>12458556.765219172</v>
      </c>
      <c r="F85" s="439"/>
      <c r="G85" s="440"/>
      <c r="H85" s="442"/>
      <c r="I85" s="439"/>
      <c r="J85" s="421">
        <f t="shared" si="12"/>
        <v>12458556.765219172</v>
      </c>
      <c r="K85" s="421"/>
      <c r="L85" s="418"/>
    </row>
    <row r="86" spans="2:12">
      <c r="B86" s="226">
        <v>9</v>
      </c>
      <c r="C86" s="226">
        <v>2017</v>
      </c>
      <c r="D86" s="429" t="s">
        <v>700</v>
      </c>
      <c r="E86" s="430">
        <f t="shared" si="13"/>
        <v>12417626.12000959</v>
      </c>
      <c r="F86" s="439"/>
      <c r="G86" s="440"/>
      <c r="H86" s="442"/>
      <c r="I86" s="439"/>
      <c r="J86" s="421">
        <f t="shared" si="12"/>
        <v>12417626.12000959</v>
      </c>
      <c r="K86" s="421"/>
      <c r="L86" s="418"/>
    </row>
    <row r="87" spans="2:12">
      <c r="B87" s="226">
        <v>10</v>
      </c>
      <c r="C87" s="226">
        <v>2017</v>
      </c>
      <c r="D87" s="429" t="s">
        <v>701</v>
      </c>
      <c r="E87" s="430">
        <f t="shared" si="13"/>
        <v>12376695.474800007</v>
      </c>
      <c r="F87" s="439"/>
      <c r="G87" s="440"/>
      <c r="H87" s="442"/>
      <c r="I87" s="439"/>
      <c r="J87" s="421">
        <f t="shared" si="12"/>
        <v>12376695.474800007</v>
      </c>
      <c r="K87" s="421"/>
      <c r="L87" s="418"/>
    </row>
    <row r="88" spans="2:12">
      <c r="B88" s="226">
        <v>11</v>
      </c>
      <c r="C88" s="226">
        <v>2017</v>
      </c>
      <c r="D88" s="429" t="s">
        <v>702</v>
      </c>
      <c r="E88" s="430">
        <f t="shared" si="13"/>
        <v>12335764.829590425</v>
      </c>
      <c r="F88" s="439"/>
      <c r="G88" s="440"/>
      <c r="H88" s="442"/>
      <c r="I88" s="439"/>
      <c r="J88" s="421">
        <f t="shared" si="12"/>
        <v>12335764.829590425</v>
      </c>
      <c r="K88" s="421"/>
      <c r="L88" s="418"/>
    </row>
    <row r="89" spans="2:12">
      <c r="B89" s="226">
        <v>12</v>
      </c>
      <c r="C89" s="226">
        <v>2017</v>
      </c>
      <c r="D89" s="429" t="s">
        <v>703</v>
      </c>
      <c r="E89" s="430">
        <f t="shared" si="13"/>
        <v>12294834.184380842</v>
      </c>
      <c r="F89" s="439"/>
      <c r="G89" s="440"/>
      <c r="H89" s="442"/>
      <c r="I89" s="439"/>
      <c r="J89" s="421">
        <f t="shared" si="12"/>
        <v>12294834.184380842</v>
      </c>
      <c r="K89" s="421"/>
      <c r="L89" s="418"/>
    </row>
    <row r="90" spans="2:12">
      <c r="B90" s="226">
        <v>13</v>
      </c>
      <c r="C90" s="226">
        <v>2017</v>
      </c>
      <c r="D90" s="429" t="s">
        <v>693</v>
      </c>
      <c r="E90" s="430">
        <v>12253903.539171251</v>
      </c>
      <c r="F90" s="439"/>
      <c r="G90" s="440"/>
      <c r="H90" s="442"/>
      <c r="I90" s="439"/>
      <c r="J90" s="421">
        <f t="shared" si="12"/>
        <v>12253903.539171251</v>
      </c>
      <c r="K90" s="421"/>
      <c r="L90" s="421">
        <f>+J90</f>
        <v>12253903.539171251</v>
      </c>
    </row>
    <row r="91" spans="2:12">
      <c r="B91" s="226"/>
      <c r="C91" s="226"/>
      <c r="D91" s="418"/>
      <c r="E91" s="418"/>
      <c r="F91" s="418"/>
      <c r="G91" s="226"/>
      <c r="H91" s="418"/>
      <c r="I91" s="418"/>
      <c r="J91" s="418"/>
      <c r="K91" s="433" t="s">
        <v>704</v>
      </c>
      <c r="L91" s="434">
        <f>SUM(L78:L90)</f>
        <v>24998974.820857503</v>
      </c>
    </row>
    <row r="92" spans="2:12">
      <c r="B92" s="226"/>
      <c r="C92" s="226"/>
      <c r="D92" s="418"/>
      <c r="E92" s="418"/>
      <c r="F92" s="418"/>
      <c r="G92" s="226"/>
      <c r="H92" s="418"/>
      <c r="I92" s="418"/>
      <c r="J92" s="418"/>
      <c r="K92" s="435" t="s">
        <v>692</v>
      </c>
      <c r="L92" s="436">
        <f>+L91/2</f>
        <v>12499487.410428751</v>
      </c>
    </row>
  </sheetData>
  <pageMargins left="0.7" right="0.7" top="0.75" bottom="0.75" header="0.3" footer="0.3"/>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7"/>
  <sheetViews>
    <sheetView zoomScale="75" zoomScaleNormal="75" workbookViewId="0"/>
  </sheetViews>
  <sheetFormatPr defaultRowHeight="17.25"/>
  <cols>
    <col min="1" max="1" width="8.88671875" style="206"/>
    <col min="2" max="2" width="9" style="206" bestFit="1" customWidth="1"/>
    <col min="3" max="3" width="3.33203125" style="206" customWidth="1"/>
    <col min="4" max="4" width="52.6640625" style="206" customWidth="1"/>
    <col min="5" max="6" width="12.77734375" style="206" customWidth="1"/>
    <col min="7" max="7" width="14.21875" style="350" bestFit="1" customWidth="1"/>
    <col min="8" max="16384" width="8.88671875" style="205"/>
  </cols>
  <sheetData>
    <row r="1" spans="1:7" ht="18.75">
      <c r="A1" s="193" t="s">
        <v>383</v>
      </c>
    </row>
    <row r="2" spans="1:7">
      <c r="A2" s="194" t="s">
        <v>409</v>
      </c>
    </row>
    <row r="3" spans="1:7">
      <c r="A3" s="194" t="s">
        <v>708</v>
      </c>
    </row>
    <row r="5" spans="1:7" ht="34.5">
      <c r="B5" s="210" t="s">
        <v>410</v>
      </c>
      <c r="G5" s="408"/>
    </row>
    <row r="6" spans="1:7">
      <c r="B6" s="210"/>
      <c r="C6" s="211" t="s">
        <v>411</v>
      </c>
      <c r="G6" s="382"/>
    </row>
    <row r="7" spans="1:7">
      <c r="B7" s="200">
        <v>560</v>
      </c>
      <c r="D7" s="206" t="s">
        <v>412</v>
      </c>
      <c r="E7" s="197">
        <v>67.049540000000007</v>
      </c>
      <c r="G7" s="382"/>
    </row>
    <row r="8" spans="1:7">
      <c r="B8" s="208">
        <v>561.1</v>
      </c>
      <c r="D8" s="206" t="s">
        <v>413</v>
      </c>
      <c r="E8" s="200">
        <v>968.39698999999996</v>
      </c>
      <c r="G8" s="382"/>
    </row>
    <row r="9" spans="1:7">
      <c r="B9" s="208">
        <v>561.20000000000005</v>
      </c>
      <c r="D9" s="206" t="s">
        <v>414</v>
      </c>
      <c r="E9" s="200">
        <v>1772.2534100000003</v>
      </c>
      <c r="G9" s="382"/>
    </row>
    <row r="10" spans="1:7">
      <c r="B10" s="208">
        <v>561.29999999999995</v>
      </c>
      <c r="D10" s="206" t="s">
        <v>415</v>
      </c>
      <c r="E10" s="200">
        <v>405.37187</v>
      </c>
      <c r="G10" s="382"/>
    </row>
    <row r="11" spans="1:7" ht="16.5" customHeight="1">
      <c r="B11" s="208">
        <v>561.4</v>
      </c>
      <c r="D11" s="206" t="s">
        <v>416</v>
      </c>
      <c r="E11" s="200">
        <v>16188.130999999999</v>
      </c>
      <c r="G11" s="382"/>
    </row>
    <row r="12" spans="1:7">
      <c r="B12" s="208">
        <v>562</v>
      </c>
      <c r="D12" s="206" t="s">
        <v>417</v>
      </c>
      <c r="E12" s="200">
        <v>89.229799999999997</v>
      </c>
      <c r="G12" s="382"/>
    </row>
    <row r="13" spans="1:7">
      <c r="B13" s="208">
        <v>563</v>
      </c>
      <c r="D13" s="206" t="s">
        <v>418</v>
      </c>
      <c r="E13" s="200">
        <v>53.486739999999998</v>
      </c>
      <c r="G13" s="382"/>
    </row>
    <row r="14" spans="1:7">
      <c r="B14" s="208">
        <v>566</v>
      </c>
      <c r="D14" s="206" t="s">
        <v>419</v>
      </c>
      <c r="E14" s="200">
        <v>5.3465500000000006</v>
      </c>
      <c r="G14" s="382"/>
    </row>
    <row r="15" spans="1:7">
      <c r="B15" s="208">
        <v>567</v>
      </c>
      <c r="C15" s="209"/>
      <c r="D15" s="209" t="s">
        <v>420</v>
      </c>
      <c r="E15" s="200">
        <v>7.9999799999999999</v>
      </c>
      <c r="G15" s="382"/>
    </row>
    <row r="16" spans="1:7">
      <c r="B16" s="208"/>
      <c r="D16" s="206" t="s">
        <v>421</v>
      </c>
      <c r="E16" s="217">
        <f>SUM(E7:E15)</f>
        <v>19557.265879999999</v>
      </c>
      <c r="G16" s="382"/>
    </row>
    <row r="17" spans="2:7">
      <c r="B17" s="208"/>
      <c r="G17" s="382"/>
    </row>
    <row r="18" spans="2:7">
      <c r="B18" s="210"/>
      <c r="C18" s="211" t="s">
        <v>422</v>
      </c>
      <c r="E18" s="201"/>
      <c r="G18" s="382"/>
    </row>
    <row r="19" spans="2:7">
      <c r="B19" s="200">
        <v>568</v>
      </c>
      <c r="D19" s="206" t="s">
        <v>412</v>
      </c>
      <c r="E19" s="197">
        <v>49.178410000000007</v>
      </c>
      <c r="G19" s="382"/>
    </row>
    <row r="20" spans="2:7">
      <c r="B20" s="208">
        <v>569</v>
      </c>
      <c r="D20" s="206" t="s">
        <v>423</v>
      </c>
      <c r="E20" s="200">
        <v>176.64665000000002</v>
      </c>
      <c r="G20" s="382"/>
    </row>
    <row r="21" spans="2:7">
      <c r="B21" s="208">
        <v>569.1</v>
      </c>
      <c r="D21" s="206" t="s">
        <v>424</v>
      </c>
      <c r="E21" s="200">
        <v>0</v>
      </c>
      <c r="G21" s="382"/>
    </row>
    <row r="22" spans="2:7">
      <c r="B22" s="208">
        <v>569.20000000000005</v>
      </c>
      <c r="D22" s="206" t="s">
        <v>425</v>
      </c>
      <c r="E22" s="200">
        <v>0</v>
      </c>
      <c r="G22" s="382"/>
    </row>
    <row r="23" spans="2:7">
      <c r="B23" s="208">
        <v>569.29999999999995</v>
      </c>
      <c r="D23" s="206" t="s">
        <v>426</v>
      </c>
      <c r="E23" s="200">
        <v>870.73007000000007</v>
      </c>
      <c r="G23" s="382"/>
    </row>
    <row r="24" spans="2:7">
      <c r="B24" s="208">
        <v>570</v>
      </c>
      <c r="D24" s="206" t="s">
        <v>427</v>
      </c>
      <c r="E24" s="200">
        <v>548.70884000000001</v>
      </c>
      <c r="G24" s="382"/>
    </row>
    <row r="25" spans="2:7">
      <c r="B25" s="208">
        <v>571</v>
      </c>
      <c r="D25" s="209" t="s">
        <v>428</v>
      </c>
      <c r="E25" s="200">
        <v>1083.28225</v>
      </c>
      <c r="G25" s="382"/>
    </row>
    <row r="26" spans="2:7">
      <c r="D26" s="206" t="s">
        <v>429</v>
      </c>
      <c r="E26" s="217">
        <f>SUM(E18:E25)</f>
        <v>2728.5462200000002</v>
      </c>
      <c r="G26" s="382"/>
    </row>
    <row r="27" spans="2:7">
      <c r="G27" s="382"/>
    </row>
    <row r="28" spans="2:7">
      <c r="C28" s="206" t="s">
        <v>430</v>
      </c>
      <c r="E28" s="201">
        <f>E26+E16</f>
        <v>22285.812099999999</v>
      </c>
      <c r="G28" s="382"/>
    </row>
    <row r="29" spans="2:7">
      <c r="E29" s="201"/>
      <c r="G29" s="382"/>
    </row>
    <row r="30" spans="2:7">
      <c r="C30" s="206" t="s">
        <v>431</v>
      </c>
      <c r="G30" s="382"/>
    </row>
    <row r="31" spans="2:7">
      <c r="B31" s="208">
        <v>928</v>
      </c>
      <c r="D31" s="206" t="s">
        <v>432</v>
      </c>
      <c r="E31" s="197">
        <v>705</v>
      </c>
      <c r="G31" s="382"/>
    </row>
    <row r="32" spans="2:7">
      <c r="E32" s="201"/>
      <c r="G32" s="382"/>
    </row>
    <row r="33" spans="1:7">
      <c r="E33" s="201"/>
      <c r="G33" s="382"/>
    </row>
    <row r="34" spans="1:7">
      <c r="E34" s="201"/>
      <c r="G34" s="382"/>
    </row>
    <row r="35" spans="1:7">
      <c r="E35" s="201"/>
      <c r="G35" s="382"/>
    </row>
    <row r="36" spans="1:7" ht="18.75">
      <c r="A36" s="193" t="s">
        <v>383</v>
      </c>
      <c r="E36" s="201"/>
      <c r="G36" s="382"/>
    </row>
    <row r="37" spans="1:7">
      <c r="A37" s="194" t="s">
        <v>433</v>
      </c>
      <c r="E37" s="201"/>
      <c r="G37" s="382"/>
    </row>
    <row r="38" spans="1:7">
      <c r="A38" s="194" t="s">
        <v>434</v>
      </c>
      <c r="E38" s="201"/>
      <c r="G38" s="382"/>
    </row>
    <row r="39" spans="1:7">
      <c r="A39" s="194" t="s">
        <v>668</v>
      </c>
      <c r="G39" s="382"/>
    </row>
    <row r="40" spans="1:7">
      <c r="G40" s="382"/>
    </row>
    <row r="41" spans="1:7" ht="34.5">
      <c r="B41" s="210" t="s">
        <v>410</v>
      </c>
      <c r="G41" s="408"/>
    </row>
    <row r="42" spans="1:7">
      <c r="B42" s="210"/>
      <c r="C42" s="211" t="s">
        <v>435</v>
      </c>
      <c r="G42" s="382"/>
    </row>
    <row r="43" spans="1:7">
      <c r="B43" s="208">
        <v>920</v>
      </c>
      <c r="D43" s="206" t="s">
        <v>436</v>
      </c>
      <c r="E43" s="197">
        <v>15686.043291275006</v>
      </c>
      <c r="G43" s="382"/>
    </row>
    <row r="44" spans="1:7">
      <c r="B44" s="208">
        <v>921</v>
      </c>
      <c r="D44" s="206" t="s">
        <v>437</v>
      </c>
      <c r="E44" s="200">
        <v>5839.0089401820005</v>
      </c>
      <c r="G44" s="382"/>
    </row>
    <row r="45" spans="1:7">
      <c r="A45" s="254" t="s">
        <v>438</v>
      </c>
      <c r="B45" s="208">
        <v>922</v>
      </c>
      <c r="D45" s="206" t="s">
        <v>439</v>
      </c>
      <c r="E45" s="200">
        <v>-2379.3000000000002</v>
      </c>
      <c r="G45" s="382"/>
    </row>
    <row r="46" spans="1:7">
      <c r="B46" s="208">
        <v>923</v>
      </c>
      <c r="D46" s="206" t="s">
        <v>440</v>
      </c>
      <c r="E46" s="200">
        <v>13225.71601025</v>
      </c>
      <c r="G46" s="382"/>
    </row>
    <row r="47" spans="1:7">
      <c r="B47" s="208">
        <v>924</v>
      </c>
      <c r="D47" s="206" t="s">
        <v>441</v>
      </c>
      <c r="E47" s="200">
        <v>867.43499999999995</v>
      </c>
      <c r="G47" s="382"/>
    </row>
    <row r="48" spans="1:7">
      <c r="B48" s="208">
        <v>925</v>
      </c>
      <c r="D48" s="206" t="s">
        <v>442</v>
      </c>
      <c r="E48" s="200">
        <v>1294.0208289</v>
      </c>
      <c r="G48" s="382"/>
    </row>
    <row r="49" spans="2:7">
      <c r="B49" s="208">
        <v>926</v>
      </c>
      <c r="D49" s="206" t="s">
        <v>443</v>
      </c>
      <c r="E49" s="200">
        <v>40.649891400000001</v>
      </c>
      <c r="G49" s="382"/>
    </row>
    <row r="50" spans="2:7">
      <c r="B50" s="208">
        <v>928</v>
      </c>
      <c r="D50" s="206" t="s">
        <v>444</v>
      </c>
      <c r="E50" s="200">
        <v>705</v>
      </c>
      <c r="G50" s="382"/>
    </row>
    <row r="51" spans="2:7">
      <c r="B51" s="208">
        <v>930.2</v>
      </c>
      <c r="D51" s="206" t="s">
        <v>445</v>
      </c>
      <c r="E51" s="200">
        <v>3811.5801632999996</v>
      </c>
      <c r="G51" s="382"/>
    </row>
    <row r="52" spans="2:7">
      <c r="B52" s="208">
        <v>931</v>
      </c>
      <c r="D52" s="206" t="s">
        <v>420</v>
      </c>
      <c r="E52" s="200">
        <v>48.309103799999995</v>
      </c>
      <c r="G52" s="382"/>
    </row>
    <row r="53" spans="2:7">
      <c r="B53" s="208">
        <v>935</v>
      </c>
      <c r="D53" s="209" t="s">
        <v>446</v>
      </c>
      <c r="E53" s="200">
        <v>337.41603765000002</v>
      </c>
      <c r="G53" s="382"/>
    </row>
    <row r="54" spans="2:7">
      <c r="B54" s="208"/>
      <c r="D54" s="206" t="s">
        <v>447</v>
      </c>
      <c r="E54" s="196">
        <f>SUM(E43:E53)</f>
        <v>39475.879266757001</v>
      </c>
      <c r="G54" s="382"/>
    </row>
    <row r="55" spans="2:7">
      <c r="B55" s="208"/>
      <c r="D55" s="490"/>
      <c r="E55" s="490"/>
      <c r="F55" s="490"/>
      <c r="G55" s="382"/>
    </row>
    <row r="56" spans="2:7">
      <c r="D56" s="490"/>
      <c r="E56" s="490"/>
      <c r="F56" s="490"/>
      <c r="G56" s="382"/>
    </row>
    <row r="57" spans="2:7">
      <c r="C57" s="211" t="s">
        <v>81</v>
      </c>
      <c r="D57" s="490"/>
      <c r="E57" s="490"/>
      <c r="F57" s="490"/>
      <c r="G57" s="382"/>
    </row>
    <row r="58" spans="2:7">
      <c r="D58" s="490" t="s">
        <v>8</v>
      </c>
      <c r="E58" s="447">
        <v>9911.4339999999993</v>
      </c>
      <c r="F58" s="490"/>
      <c r="G58" s="382"/>
    </row>
    <row r="59" spans="2:7">
      <c r="D59" s="490" t="s">
        <v>587</v>
      </c>
      <c r="E59" s="446">
        <v>2806.319</v>
      </c>
      <c r="F59" s="490"/>
      <c r="G59" s="382"/>
    </row>
    <row r="60" spans="2:7">
      <c r="D60" s="490" t="s">
        <v>389</v>
      </c>
      <c r="E60" s="446">
        <v>1873.954</v>
      </c>
      <c r="F60" s="490"/>
      <c r="G60" s="382"/>
    </row>
    <row r="61" spans="2:7">
      <c r="D61" s="490"/>
      <c r="E61" s="490"/>
      <c r="F61" s="490"/>
      <c r="G61" s="382"/>
    </row>
    <row r="62" spans="2:7">
      <c r="B62" s="254"/>
      <c r="D62" s="490"/>
      <c r="E62" s="490"/>
      <c r="F62" s="490"/>
      <c r="G62" s="382"/>
    </row>
    <row r="63" spans="2:7">
      <c r="C63" s="215" t="s">
        <v>448</v>
      </c>
      <c r="D63" s="490"/>
      <c r="E63" s="490"/>
      <c r="F63" s="490"/>
      <c r="G63" s="382"/>
    </row>
    <row r="64" spans="2:7">
      <c r="E64" s="216" t="s">
        <v>449</v>
      </c>
      <c r="F64" s="216" t="s">
        <v>450</v>
      </c>
      <c r="G64" s="406"/>
    </row>
    <row r="65" spans="4:7">
      <c r="D65" s="206" t="s">
        <v>642</v>
      </c>
      <c r="E65" s="200">
        <v>9483.0540000000001</v>
      </c>
      <c r="F65" s="200"/>
      <c r="G65" s="382"/>
    </row>
    <row r="66" spans="4:7">
      <c r="D66" s="206" t="s">
        <v>643</v>
      </c>
      <c r="E66" s="200">
        <v>0</v>
      </c>
      <c r="F66" s="200"/>
      <c r="G66" s="382"/>
    </row>
    <row r="67" spans="4:7">
      <c r="D67" s="206" t="s">
        <v>644</v>
      </c>
      <c r="E67" s="200"/>
      <c r="F67" s="200">
        <v>7107</v>
      </c>
      <c r="G67" s="382"/>
    </row>
    <row r="68" spans="4:7">
      <c r="E68" s="217">
        <f>SUM(E65:E67)</f>
        <v>9483.0540000000001</v>
      </c>
      <c r="F68" s="217">
        <f>SUM(F65:F67)</f>
        <v>7107</v>
      </c>
      <c r="G68" s="407"/>
    </row>
    <row r="69" spans="4:7">
      <c r="E69" s="202">
        <v>0</v>
      </c>
      <c r="F69" s="202">
        <v>0</v>
      </c>
      <c r="G69" s="382"/>
    </row>
    <row r="70" spans="4:7">
      <c r="E70" s="201">
        <f>+E68+E69</f>
        <v>9483.0540000000001</v>
      </c>
      <c r="F70" s="201">
        <f>+F68+F69</f>
        <v>7107</v>
      </c>
      <c r="G70" s="382"/>
    </row>
    <row r="71" spans="4:7">
      <c r="G71" s="382"/>
    </row>
    <row r="72" spans="4:7">
      <c r="D72" s="417" t="s">
        <v>463</v>
      </c>
      <c r="E72" s="200">
        <v>399.36099999999999</v>
      </c>
      <c r="G72" s="382"/>
    </row>
    <row r="73" spans="4:7">
      <c r="G73" s="382"/>
    </row>
    <row r="74" spans="4:7">
      <c r="G74" s="382"/>
    </row>
    <row r="75" spans="4:7">
      <c r="G75" s="382"/>
    </row>
    <row r="76" spans="4:7">
      <c r="G76" s="382"/>
    </row>
    <row r="77" spans="4:7">
      <c r="G77" s="382"/>
    </row>
  </sheetData>
  <phoneticPr fontId="51" type="noConversion"/>
  <pageMargins left="0.75" right="0.75" top="1" bottom="1" header="0.5" footer="0.5"/>
  <pageSetup scale="59" fitToHeight="2" orientation="portrait" r:id="rId1"/>
  <headerFooter alignWithMargins="0"/>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17"/>
  <sheetViews>
    <sheetView zoomScale="80" zoomScaleNormal="80" workbookViewId="0"/>
  </sheetViews>
  <sheetFormatPr defaultRowHeight="17.25"/>
  <cols>
    <col min="1" max="2" width="8.88671875" style="205"/>
    <col min="3" max="3" width="3.33203125" style="205" customWidth="1"/>
    <col min="4" max="4" width="43.5546875" style="205" customWidth="1"/>
    <col min="5" max="5" width="22.33203125" style="206" bestFit="1" customWidth="1"/>
    <col min="6" max="6" width="14.109375" style="205" bestFit="1" customWidth="1"/>
    <col min="7" max="16384" width="8.88671875" style="205"/>
  </cols>
  <sheetData>
    <row r="1" spans="1:7" ht="18.75">
      <c r="A1" s="193" t="s">
        <v>383</v>
      </c>
    </row>
    <row r="2" spans="1:7">
      <c r="A2" s="205" t="s">
        <v>464</v>
      </c>
    </row>
    <row r="5" spans="1:7">
      <c r="C5" s="219" t="s">
        <v>91</v>
      </c>
    </row>
    <row r="6" spans="1:7">
      <c r="C6" s="194" t="s">
        <v>586</v>
      </c>
      <c r="E6" s="206" t="s">
        <v>465</v>
      </c>
    </row>
    <row r="7" spans="1:7">
      <c r="B7" s="220"/>
      <c r="D7" s="218" t="s">
        <v>260</v>
      </c>
      <c r="E7" s="201">
        <v>18189.862840000005</v>
      </c>
      <c r="F7" s="213"/>
      <c r="G7" s="212"/>
    </row>
    <row r="8" spans="1:7">
      <c r="B8" s="220"/>
      <c r="D8" s="218" t="s">
        <v>13</v>
      </c>
      <c r="E8" s="200">
        <v>3156.3702999999996</v>
      </c>
      <c r="F8" s="214"/>
    </row>
    <row r="9" spans="1:7">
      <c r="B9" s="220"/>
      <c r="D9" s="218" t="s">
        <v>262</v>
      </c>
      <c r="E9" s="200">
        <v>7484.7423929890019</v>
      </c>
      <c r="F9" s="214"/>
    </row>
    <row r="10" spans="1:7">
      <c r="B10" s="220"/>
      <c r="D10" s="218" t="s">
        <v>124</v>
      </c>
      <c r="E10" s="200">
        <v>3088.9393034839986</v>
      </c>
      <c r="F10" s="214"/>
    </row>
    <row r="11" spans="1:7">
      <c r="B11" s="220"/>
      <c r="D11" s="218"/>
      <c r="E11" s="200"/>
    </row>
    <row r="12" spans="1:7">
      <c r="B12" s="220"/>
      <c r="C12" s="219" t="s">
        <v>466</v>
      </c>
      <c r="E12" s="206" t="s">
        <v>467</v>
      </c>
    </row>
    <row r="13" spans="1:7">
      <c r="C13" s="221" t="s">
        <v>588</v>
      </c>
      <c r="D13" s="218"/>
      <c r="E13" s="200"/>
    </row>
    <row r="14" spans="1:7">
      <c r="B14" s="222"/>
      <c r="D14" s="218" t="s">
        <v>128</v>
      </c>
      <c r="E14" s="201">
        <v>2227.5330100000001</v>
      </c>
      <c r="F14" s="280">
        <f>+E14/E17</f>
        <v>0.89179874670963655</v>
      </c>
      <c r="G14" s="223"/>
    </row>
    <row r="15" spans="1:7">
      <c r="B15" s="222"/>
      <c r="D15" s="218" t="s">
        <v>129</v>
      </c>
      <c r="E15" s="200">
        <v>270.26486</v>
      </c>
      <c r="F15" s="280">
        <f>+E15/E17</f>
        <v>0.10820125329036331</v>
      </c>
    </row>
    <row r="16" spans="1:7">
      <c r="B16" s="224"/>
      <c r="D16" s="225" t="s">
        <v>131</v>
      </c>
      <c r="E16" s="202">
        <v>0</v>
      </c>
    </row>
    <row r="17" spans="5:5">
      <c r="E17" s="201">
        <f>SUM(E14:E16)</f>
        <v>2497.7978700000003</v>
      </c>
    </row>
  </sheetData>
  <phoneticPr fontId="51" type="noConversion"/>
  <pageMargins left="0.75" right="1" top="1" bottom="1" header="0.5" footer="0.5"/>
  <pageSetup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30"/>
  <sheetViews>
    <sheetView zoomScale="80" zoomScaleNormal="80" workbookViewId="0"/>
  </sheetViews>
  <sheetFormatPr defaultRowHeight="17.25"/>
  <cols>
    <col min="1" max="1" width="8.5546875" style="226" customWidth="1"/>
    <col min="2" max="2" width="7.33203125" style="226" customWidth="1"/>
    <col min="3" max="3" width="17" style="226" bestFit="1" customWidth="1"/>
    <col min="4" max="4" width="2" style="226" customWidth="1"/>
    <col min="5" max="5" width="15.21875" style="198" customWidth="1"/>
    <col min="6" max="6" width="9.33203125" style="226" customWidth="1"/>
    <col min="7" max="7" width="8.88671875" style="226"/>
    <col min="8" max="8" width="10.6640625" style="226" customWidth="1"/>
    <col min="9" max="9" width="8.88671875" style="226"/>
    <col min="10" max="10" width="15.33203125" style="226" customWidth="1"/>
    <col min="11" max="16384" width="8.88671875" style="226"/>
  </cols>
  <sheetData>
    <row r="1" spans="1:7" ht="18.75">
      <c r="A1" s="193" t="s">
        <v>383</v>
      </c>
    </row>
    <row r="2" spans="1:7">
      <c r="A2" s="205" t="s">
        <v>468</v>
      </c>
    </row>
    <row r="3" spans="1:7">
      <c r="A3" s="205" t="s">
        <v>709</v>
      </c>
    </row>
    <row r="5" spans="1:7">
      <c r="B5" s="227" t="s">
        <v>469</v>
      </c>
      <c r="C5" s="227"/>
      <c r="F5" s="198"/>
      <c r="G5" s="198"/>
    </row>
    <row r="6" spans="1:7">
      <c r="C6" s="228" t="s">
        <v>470</v>
      </c>
      <c r="E6" s="409">
        <v>698220.97430000012</v>
      </c>
      <c r="F6" s="198"/>
      <c r="G6" s="198"/>
    </row>
    <row r="7" spans="1:7">
      <c r="C7" s="228" t="s">
        <v>471</v>
      </c>
      <c r="E7" s="229">
        <v>32626.228624768239</v>
      </c>
      <c r="F7" s="198"/>
      <c r="G7" s="198"/>
    </row>
    <row r="8" spans="1:7">
      <c r="C8" s="230" t="s">
        <v>472</v>
      </c>
      <c r="E8" s="231">
        <f>+E7/E6</f>
        <v>4.6727654747807587E-2</v>
      </c>
      <c r="F8" s="198"/>
      <c r="G8" s="198"/>
    </row>
    <row r="9" spans="1:7">
      <c r="F9" s="198"/>
      <c r="G9" s="198"/>
    </row>
    <row r="10" spans="1:7">
      <c r="F10" s="198"/>
      <c r="G10" s="198"/>
    </row>
    <row r="11" spans="1:7">
      <c r="F11" s="198"/>
      <c r="G11" s="198"/>
    </row>
    <row r="12" spans="1:7">
      <c r="B12" s="227" t="s">
        <v>473</v>
      </c>
      <c r="C12" s="227"/>
      <c r="F12" s="198"/>
      <c r="G12" s="198"/>
    </row>
    <row r="13" spans="1:7">
      <c r="C13" s="226" t="s">
        <v>473</v>
      </c>
      <c r="E13" s="409">
        <f>863093.173+5154.442+17210.903</f>
        <v>885458.51800000004</v>
      </c>
      <c r="F13" s="198"/>
      <c r="G13" s="198"/>
    </row>
    <row r="14" spans="1:7" hidden="1">
      <c r="C14" s="226" t="s">
        <v>474</v>
      </c>
      <c r="E14" s="232">
        <v>0</v>
      </c>
      <c r="F14" s="198"/>
      <c r="G14" s="198"/>
    </row>
    <row r="15" spans="1:7" hidden="1">
      <c r="C15" s="227" t="s">
        <v>475</v>
      </c>
      <c r="D15" s="227"/>
      <c r="E15" s="233">
        <v>0</v>
      </c>
      <c r="F15" s="198"/>
      <c r="G15" s="198"/>
    </row>
    <row r="16" spans="1:7" ht="18" thickBot="1">
      <c r="E16" s="234">
        <f>SUM(E13:E15)</f>
        <v>885458.51800000004</v>
      </c>
      <c r="F16" s="198"/>
      <c r="G16" s="198"/>
    </row>
    <row r="17" spans="2:10" ht="18" thickTop="1">
      <c r="F17" s="198"/>
      <c r="G17" s="198"/>
    </row>
    <row r="18" spans="2:10">
      <c r="F18" s="198"/>
      <c r="G18" s="198"/>
    </row>
    <row r="19" spans="2:10">
      <c r="F19" s="198"/>
      <c r="G19" s="198"/>
    </row>
    <row r="20" spans="2:10">
      <c r="B20" s="226" t="s">
        <v>468</v>
      </c>
      <c r="E20" s="198" t="s">
        <v>476</v>
      </c>
      <c r="F20" s="198" t="s">
        <v>477</v>
      </c>
      <c r="G20" s="198" t="s">
        <v>96</v>
      </c>
      <c r="H20" s="226" t="s">
        <v>98</v>
      </c>
    </row>
    <row r="21" spans="2:10">
      <c r="C21" s="226" t="s">
        <v>469</v>
      </c>
      <c r="E21" s="235">
        <f>E6</f>
        <v>698220.97430000012</v>
      </c>
      <c r="F21" s="236">
        <f>E21/E24</f>
        <v>0.44088527867843003</v>
      </c>
      <c r="G21" s="236">
        <f>E8</f>
        <v>4.6727654747807587E-2</v>
      </c>
      <c r="H21" s="237">
        <f>G21*F21</f>
        <v>2.0601535085476613E-2</v>
      </c>
    </row>
    <row r="22" spans="2:10" hidden="1">
      <c r="C22" s="226" t="s">
        <v>478</v>
      </c>
      <c r="E22" s="238">
        <v>0</v>
      </c>
      <c r="F22" s="231">
        <v>0</v>
      </c>
      <c r="G22" s="239">
        <v>0</v>
      </c>
      <c r="H22" s="240">
        <f>G22*F22</f>
        <v>0</v>
      </c>
    </row>
    <row r="23" spans="2:10">
      <c r="C23" s="226" t="s">
        <v>473</v>
      </c>
      <c r="E23" s="241">
        <f>E16</f>
        <v>885458.51800000004</v>
      </c>
      <c r="F23" s="242">
        <f>E23/E24</f>
        <v>0.55911472132157003</v>
      </c>
      <c r="G23" s="242">
        <v>0.12379999999999999</v>
      </c>
      <c r="H23" s="243">
        <f>F23*G23</f>
        <v>6.9218402499610365E-2</v>
      </c>
    </row>
    <row r="24" spans="2:10">
      <c r="C24" s="226" t="s">
        <v>479</v>
      </c>
      <c r="E24" s="235">
        <f>SUM(E21:E23)</f>
        <v>1583679.4923</v>
      </c>
      <c r="F24" s="236">
        <f>SUM(F21:F23)</f>
        <v>1</v>
      </c>
      <c r="G24" s="198"/>
      <c r="H24" s="244">
        <f>SUM(H21:H23)</f>
        <v>8.9819937585086981E-2</v>
      </c>
      <c r="J24" s="245"/>
    </row>
    <row r="30" spans="2:10">
      <c r="C30" s="246"/>
    </row>
  </sheetData>
  <phoneticPr fontId="51" type="noConversion"/>
  <pageMargins left="0.75" right="0.75" top="1" bottom="1" header="0.5" footer="0.5"/>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9"/>
  <sheetViews>
    <sheetView zoomScale="75" zoomScaleNormal="75" workbookViewId="0"/>
  </sheetViews>
  <sheetFormatPr defaultRowHeight="17.25"/>
  <cols>
    <col min="1" max="1" width="8.88671875" style="205"/>
    <col min="2" max="2" width="3.21875" style="205" customWidth="1"/>
    <col min="3" max="3" width="16.5546875" style="205" customWidth="1"/>
    <col min="4" max="4" width="12.5546875" style="206" bestFit="1" customWidth="1"/>
    <col min="5" max="5" width="8.88671875" style="205"/>
    <col min="6" max="6" width="9.44140625" style="205" bestFit="1" customWidth="1"/>
    <col min="7" max="8" width="8.88671875" style="205"/>
    <col min="9" max="9" width="10.109375" style="205" customWidth="1"/>
    <col min="10" max="10" width="8.88671875" style="205"/>
    <col min="11" max="11" width="3.77734375" style="205" customWidth="1"/>
    <col min="12" max="12" width="3.21875" style="205" customWidth="1"/>
    <col min="13" max="13" width="8.88671875" style="205"/>
    <col min="14" max="14" width="10.5546875" style="205" customWidth="1"/>
    <col min="15" max="15" width="8.88671875" style="205"/>
    <col min="16" max="16" width="3.88671875" style="205" customWidth="1"/>
    <col min="17" max="16384" width="8.88671875" style="205"/>
  </cols>
  <sheetData>
    <row r="1" spans="1:6" ht="18.75">
      <c r="A1" s="193" t="s">
        <v>383</v>
      </c>
    </row>
    <row r="2" spans="1:6">
      <c r="A2" s="226" t="s">
        <v>480</v>
      </c>
    </row>
    <row r="3" spans="1:6">
      <c r="A3" s="247"/>
    </row>
    <row r="5" spans="1:6">
      <c r="B5" s="207" t="s">
        <v>481</v>
      </c>
    </row>
    <row r="6" spans="1:6">
      <c r="C6" s="226" t="s">
        <v>480</v>
      </c>
      <c r="D6" s="198"/>
    </row>
    <row r="7" spans="1:6">
      <c r="C7" s="226" t="s">
        <v>710</v>
      </c>
      <c r="D7" s="198"/>
    </row>
    <row r="8" spans="1:6">
      <c r="C8" s="226"/>
      <c r="D8" s="198"/>
    </row>
    <row r="9" spans="1:6" ht="21" customHeight="1">
      <c r="C9" s="226" t="s">
        <v>451</v>
      </c>
      <c r="D9" s="229">
        <v>986.85148439395482</v>
      </c>
      <c r="E9" s="248"/>
      <c r="F9" s="214"/>
    </row>
    <row r="10" spans="1:6" ht="22.5">
      <c r="C10" s="226" t="s">
        <v>452</v>
      </c>
      <c r="D10" s="229">
        <v>981.93375855867362</v>
      </c>
      <c r="E10" s="248"/>
      <c r="F10" s="214"/>
    </row>
    <row r="11" spans="1:6" ht="22.5">
      <c r="C11" s="226" t="s">
        <v>453</v>
      </c>
      <c r="D11" s="229">
        <v>899.58581200552055</v>
      </c>
      <c r="E11" s="248"/>
      <c r="F11" s="214"/>
    </row>
    <row r="12" spans="1:6" ht="22.5">
      <c r="C12" s="226" t="s">
        <v>454</v>
      </c>
      <c r="D12" s="229">
        <v>839.11132069234407</v>
      </c>
      <c r="E12" s="248"/>
      <c r="F12" s="214"/>
    </row>
    <row r="13" spans="1:6" ht="22.5">
      <c r="C13" s="226" t="s">
        <v>455</v>
      </c>
      <c r="D13" s="229">
        <v>1101.8741743217613</v>
      </c>
      <c r="E13" s="248"/>
      <c r="F13" s="214"/>
    </row>
    <row r="14" spans="1:6" ht="22.5">
      <c r="C14" s="226" t="s">
        <v>456</v>
      </c>
      <c r="D14" s="229">
        <v>1223.2805417356544</v>
      </c>
      <c r="E14" s="248"/>
      <c r="F14" s="214"/>
    </row>
    <row r="15" spans="1:6" ht="22.5">
      <c r="C15" s="226" t="s">
        <v>457</v>
      </c>
      <c r="D15" s="229">
        <v>1240.8194177608916</v>
      </c>
      <c r="E15" s="248"/>
      <c r="F15" s="214"/>
    </row>
    <row r="16" spans="1:6" ht="22.5">
      <c r="C16" s="226" t="s">
        <v>458</v>
      </c>
      <c r="D16" s="229">
        <v>1283.6943832241668</v>
      </c>
      <c r="E16" s="248"/>
      <c r="F16" s="214"/>
    </row>
    <row r="17" spans="3:6" ht="22.5">
      <c r="C17" s="226" t="s">
        <v>459</v>
      </c>
      <c r="D17" s="229">
        <v>1179.2347661967406</v>
      </c>
      <c r="E17" s="248"/>
      <c r="F17" s="214"/>
    </row>
    <row r="18" spans="3:6" ht="22.5">
      <c r="C18" s="226" t="s">
        <v>460</v>
      </c>
      <c r="D18" s="229">
        <v>848.75626121728135</v>
      </c>
      <c r="E18" s="248"/>
      <c r="F18" s="214"/>
    </row>
    <row r="19" spans="3:6" ht="22.5">
      <c r="C19" s="226" t="s">
        <v>461</v>
      </c>
      <c r="D19" s="229">
        <v>908.40776539556202</v>
      </c>
      <c r="E19" s="248"/>
      <c r="F19" s="214"/>
    </row>
    <row r="20" spans="3:6" ht="22.5">
      <c r="C20" s="226" t="s">
        <v>462</v>
      </c>
      <c r="D20" s="233">
        <v>939.90791407012773</v>
      </c>
      <c r="E20" s="248"/>
      <c r="F20" s="214"/>
    </row>
    <row r="21" spans="3:6">
      <c r="C21" s="226"/>
      <c r="D21" s="229">
        <f>SUM(D9:D20)</f>
        <v>12433.457599572677</v>
      </c>
    </row>
    <row r="22" spans="3:6">
      <c r="C22" s="226" t="s">
        <v>482</v>
      </c>
      <c r="D22" s="232">
        <f>D21/12</f>
        <v>1036.1214666310564</v>
      </c>
    </row>
    <row r="23" spans="3:6" ht="18" thickBot="1">
      <c r="C23" s="226" t="s">
        <v>483</v>
      </c>
      <c r="D23" s="249">
        <f>D22*1000</f>
        <v>1036121.4666310564</v>
      </c>
    </row>
    <row r="24" spans="3:6" ht="19.5" thickTop="1">
      <c r="C24" s="250"/>
    </row>
    <row r="25" spans="3:6" ht="22.5">
      <c r="C25" s="251"/>
    </row>
    <row r="26" spans="3:6">
      <c r="D26" s="382"/>
    </row>
    <row r="27" spans="3:6">
      <c r="D27" s="382"/>
    </row>
    <row r="29" spans="3:6">
      <c r="D29" s="383"/>
    </row>
  </sheetData>
  <phoneticPr fontId="5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Summary</vt:lpstr>
      <vt:lpstr>O-GG</vt:lpstr>
      <vt:lpstr>SIGE</vt:lpstr>
      <vt:lpstr>Workpapers (Pages 1 to 4)</vt:lpstr>
      <vt:lpstr>Workpaper (Page 5)</vt:lpstr>
      <vt:lpstr>Workpapers (Pages 6 and 7)</vt:lpstr>
      <vt:lpstr>Workpapers (Page 8)</vt:lpstr>
      <vt:lpstr>Workpapers (Page 9)</vt:lpstr>
      <vt:lpstr>Workpapers (Page 10)</vt:lpstr>
      <vt:lpstr>Workpapers (Page 11)</vt:lpstr>
      <vt:lpstr>Workpapers (Page 12)</vt:lpstr>
      <vt:lpstr>Schedule 1</vt:lpstr>
      <vt:lpstr>'O-GG'!Print_Area</vt:lpstr>
      <vt:lpstr>SIGE!Print_Area</vt:lpstr>
      <vt:lpstr>'Workpaper (Page 5)'!Print_Area</vt:lpstr>
      <vt:lpstr>'Workpapers (Page 10)'!Print_Area</vt:lpstr>
      <vt:lpstr>'Workpapers (Page 11)'!Print_Area</vt:lpstr>
      <vt:lpstr>'Workpapers (Pages 6 and 7)'!Print_Area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Matt</dc:creator>
  <cp:lastModifiedBy>mmcdowell</cp:lastModifiedBy>
  <cp:lastPrinted>2016-08-22T22:30:19Z</cp:lastPrinted>
  <dcterms:created xsi:type="dcterms:W3CDTF">2008-08-26T13:54:56Z</dcterms:created>
  <dcterms:modified xsi:type="dcterms:W3CDTF">2016-10-12T15:19:33Z</dcterms:modified>
</cp:coreProperties>
</file>