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4515"/>
  </bookViews>
  <sheets>
    <sheet name="Sch 1 TU Adj" sheetId="2" r:id="rId1"/>
    <sheet name="Supporting Schedule" sheetId="3" r:id="rId2"/>
  </sheets>
  <externalReferences>
    <externalReference r:id="rId3"/>
  </externalReferences>
  <definedNames>
    <definedName name="_Order1" hidden="1">255</definedName>
    <definedName name="_Order2" hidden="1">255</definedName>
    <definedName name="ACwvu.DATABASE." localSheetId="0" hidden="1">[1]DATABASE!#REF!</definedName>
    <definedName name="ACwvu.DATABASE." hidden="1">[1]DATABASE!#REF!</definedName>
    <definedName name="AS2DocOpenMode" hidden="1">"AS2DocumentEdit"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q" hidden="1">{"MATALL",#N/A,FALSE,"Sheet4";"matclass",#N/A,FALSE,"Sheet4"}</definedName>
    <definedName name="Swvu.DATABASE." localSheetId="0" hidden="1">[1]DATABASE!#REF!</definedName>
    <definedName name="Swvu.DATABASE." hidden="1">[1]DATABASE!#REF!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45621"/>
</workbook>
</file>

<file path=xl/calcChain.xml><?xml version="1.0" encoding="utf-8"?>
<calcChain xmlns="http://schemas.openxmlformats.org/spreadsheetml/2006/main">
  <c r="I41" i="2" l="1"/>
  <c r="E15" i="2"/>
  <c r="B11" i="3" l="1"/>
  <c r="B6" i="3"/>
  <c r="I32" i="2" l="1"/>
  <c r="I31" i="2"/>
  <c r="I23" i="2"/>
  <c r="I19" i="2"/>
  <c r="G17" i="2"/>
  <c r="G21" i="2" s="1"/>
  <c r="G25" i="2" s="1"/>
  <c r="G29" i="2" s="1"/>
  <c r="I35" i="2" s="1"/>
  <c r="E17" i="2"/>
  <c r="E21" i="2" s="1"/>
  <c r="I16" i="2"/>
  <c r="I15" i="2"/>
  <c r="I14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I33" i="2" l="1"/>
  <c r="I37" i="2" s="1"/>
  <c r="A22" i="2"/>
  <c r="A23" i="2" s="1"/>
  <c r="A24" i="2" s="1"/>
  <c r="A25" i="2" s="1"/>
  <c r="I21" i="2"/>
  <c r="E25" i="2"/>
  <c r="I25" i="2" s="1"/>
  <c r="I17" i="2"/>
  <c r="I39" i="2" l="1"/>
  <c r="I45" i="2" s="1"/>
  <c r="I47" i="2" s="1"/>
  <c r="D25" i="2"/>
  <c r="A26" i="2"/>
  <c r="A27" i="2" s="1"/>
  <c r="A28" i="2" s="1"/>
  <c r="A29" i="2" s="1"/>
  <c r="A30" i="2" s="1"/>
  <c r="D35" i="2" l="1"/>
  <c r="A31" i="2"/>
  <c r="A32" i="2" s="1"/>
  <c r="D33" i="2" l="1"/>
  <c r="A33" i="2"/>
  <c r="A34" i="2" l="1"/>
  <c r="A35" i="2" s="1"/>
  <c r="A36" i="2" s="1"/>
  <c r="A37" i="2" s="1"/>
  <c r="D37" i="2" l="1"/>
  <c r="A38" i="2"/>
  <c r="A39" i="2" s="1"/>
  <c r="D39" i="2"/>
  <c r="A40" i="2" l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D47" i="2" l="1"/>
  <c r="D45" i="2"/>
</calcChain>
</file>

<file path=xl/sharedStrings.xml><?xml version="1.0" encoding="utf-8"?>
<sst xmlns="http://schemas.openxmlformats.org/spreadsheetml/2006/main" count="54" uniqueCount="54">
  <si>
    <t>Annual Cost ($/kW/Yr)</t>
  </si>
  <si>
    <t>Historic Year Actual Divisor</t>
  </si>
  <si>
    <t xml:space="preserve">Account 561.1    </t>
  </si>
  <si>
    <t xml:space="preserve">Account 561.2   </t>
  </si>
  <si>
    <t xml:space="preserve">     Subtotal         </t>
  </si>
  <si>
    <t>Schedule 1 Net Expenses</t>
  </si>
  <si>
    <t xml:space="preserve">Account 561.3    </t>
  </si>
  <si>
    <t>Note 2:  Scheduling, Control, and Dispatch Service--Balancing Authority.</t>
  </si>
  <si>
    <t>Note 3:  Scheduling, Control, and Dispatch Service--Transmission.</t>
  </si>
  <si>
    <t>Schedule 1 True-Up Adjustment</t>
  </si>
  <si>
    <t>Company:</t>
  </si>
  <si>
    <t>True-Up Year:</t>
  </si>
  <si>
    <t>Projected</t>
  </si>
  <si>
    <t>Historic Year Projected Divisor</t>
  </si>
  <si>
    <t>Difference in Divisor</t>
  </si>
  <si>
    <t>Historic Year Projected Annual Cost ($/kW/Yr)</t>
  </si>
  <si>
    <t>Number of Months</t>
  </si>
  <si>
    <t xml:space="preserve">Total True-Up Adjustment Principal &amp; Interest Under(Over) Recovery </t>
  </si>
  <si>
    <t>Historic Year Divisor True-up</t>
  </si>
  <si>
    <t>(a)</t>
  </si>
  <si>
    <t>(b)</t>
  </si>
  <si>
    <t>(d)</t>
  </si>
  <si>
    <t>(e)</t>
  </si>
  <si>
    <t>Actual-Projected</t>
  </si>
  <si>
    <t>Divisor kW (sum lines 8-14)</t>
  </si>
  <si>
    <t>(Line 8 + Line 9 + Line 10)</t>
  </si>
  <si>
    <t>(Line 11 - Line 13)</t>
  </si>
  <si>
    <t>(c)</t>
  </si>
  <si>
    <t>from the total Schedule 1 revenues, which results in the total revenue credit for Schedule 1.</t>
  </si>
  <si>
    <t>This revenue credit is derived from the MISO MR Settlements file by subtracting Schedule 1 revenues related to Schedule 9</t>
  </si>
  <si>
    <t>Note 4:  Revenue collected by the Transmission Owner or ITC under this Schedule 1 for firm transactions of less than 1 year,</t>
  </si>
  <si>
    <t>all non-firm transactions, and any other transactions whose loads are not included in the Attachment O Zonal Rate Divisor for the zone.</t>
  </si>
  <si>
    <t>True-Up Adjustment Principal Under(Over) Recovery</t>
  </si>
  <si>
    <t>Nineteen (19) Month Average Interest Rate (months may vary by TO)</t>
  </si>
  <si>
    <t>True-Up Adjustment Interest Under(Over) Recovery</t>
  </si>
  <si>
    <t>Note 1:  Form 1 or similar source document page references are for actual year for which there is a Form 1 or similar source documents. Inputs in whole dollars.</t>
  </si>
  <si>
    <t>Actual $s</t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</si>
  <si>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</si>
  <si>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</si>
  <si>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</si>
  <si>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t>VECTREN</t>
  </si>
  <si>
    <r>
      <t>Form 1, p 321, Line 85</t>
    </r>
    <r>
      <rPr>
        <vertAlign val="superscript"/>
        <sz val="11"/>
        <rFont val="Calibri"/>
        <family val="2"/>
        <scheme val="minor"/>
      </rPr>
      <t>1</t>
    </r>
  </si>
  <si>
    <t>Form 1, p 321, Line 86</t>
  </si>
  <si>
    <t>Form 1, p 321, Line 87</t>
  </si>
  <si>
    <t>Form 1, footnote to p 321, Lines 85, 86, &amp; 87</t>
  </si>
  <si>
    <r>
      <t>Form 1, page 330, footnote</t>
    </r>
    <r>
      <rPr>
        <vertAlign val="superscript"/>
        <sz val="11"/>
        <rFont val="Calibri"/>
        <family val="2"/>
        <scheme val="minor"/>
      </rPr>
      <t>4</t>
    </r>
  </si>
  <si>
    <t>Attachment O, pg 1, line 15</t>
  </si>
  <si>
    <t>Account 561.1 Balancing Authority Labor - Recovered through Schedule 24</t>
  </si>
  <si>
    <t xml:space="preserve">Account 561.1 Non Balancing Authority </t>
  </si>
  <si>
    <t>561.1 Load Dispatch - Reliability - FERC Form 1, Line 85, Column B</t>
  </si>
  <si>
    <t>Revenue included in Attachment O Zonal Rate Divisor</t>
  </si>
  <si>
    <t>Revenue Credits - not included in Attachment O Zonal Rate Divisor</t>
  </si>
  <si>
    <t>Total Schedule 1 Revenue - Footnote to FERC Form 1, Page 328, Line 1, Column M</t>
  </si>
  <si>
    <t>FERC Calculated Average 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</si>
</sst>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#,##0.00&quot; $&quot;;\-#,##0.00&quot; $&quot;"/>
    <numFmt numFmtId="167" formatCode="_-* #,##0.0_-;\-* #,##0.0_-;_-* &quot;-&quot;??_-;_-@_-"/>
    <numFmt numFmtId="168" formatCode="m\-d\-yy"/>
    <numFmt numFmtId="169" formatCode="_(* #,##0_);_(* \(#,##0\);_(* &quot;-&quot;??_);_(@_)"/>
    <numFmt numFmtId="170" formatCode="0.0000"/>
    <numFmt numFmtId="171" formatCode="#,##0.000"/>
    <numFmt numFmtId="172" formatCode="_(&quot;$&quot;* #,##0_);_(&quot;$&quot;* \(#,##0\);_(&quot;$&quot;* &quot;-&quot;??_);_(@_)"/>
    <numFmt numFmtId="173" formatCode="_(* #,##0.000_);_(* \(#,##0.000\);_(* &quot;-&quot;??_);_(@_)"/>
  </numFmts>
  <fonts count="41">
    <font>
      <sz val="12"/>
      <name val="Arial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Garamond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6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8" fontId="4" fillId="20" borderId="1">
      <alignment horizontal="center" vertical="center"/>
    </xf>
    <xf numFmtId="0" fontId="5" fillId="3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6" fontId="9" fillId="0" borderId="0">
      <protection locked="0"/>
    </xf>
    <xf numFmtId="0" fontId="10" fillId="0" borderId="0" applyNumberFormat="0" applyFill="0" applyBorder="0" applyAlignment="0" applyProtection="0"/>
    <xf numFmtId="167" fontId="11" fillId="0" borderId="0">
      <protection locked="0"/>
    </xf>
    <xf numFmtId="0" fontId="12" fillId="4" borderId="0" applyNumberFormat="0" applyBorder="0" applyAlignment="0" applyProtection="0"/>
    <xf numFmtId="38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6" fontId="11" fillId="0" borderId="0">
      <protection locked="0"/>
    </xf>
    <xf numFmtId="166" fontId="11" fillId="0" borderId="0">
      <protection locked="0"/>
    </xf>
    <xf numFmtId="0" fontId="18" fillId="0" borderId="7" applyNumberFormat="0" applyFill="0" applyAlignment="0" applyProtection="0"/>
    <xf numFmtId="0" fontId="19" fillId="7" borderId="2" applyNumberFormat="0" applyAlignment="0" applyProtection="0"/>
    <xf numFmtId="10" fontId="13" fillId="24" borderId="8" applyNumberFormat="0" applyBorder="0" applyAlignment="0" applyProtection="0"/>
    <xf numFmtId="0" fontId="20" fillId="0" borderId="9" applyNumberFormat="0" applyFill="0" applyAlignment="0" applyProtection="0"/>
    <xf numFmtId="0" fontId="21" fillId="25" borderId="0" applyNumberFormat="0" applyBorder="0" applyAlignment="0" applyProtection="0"/>
    <xf numFmtId="37" fontId="22" fillId="0" borderId="0"/>
    <xf numFmtId="165" fontId="23" fillId="0" borderId="0"/>
    <xf numFmtId="0" fontId="8" fillId="0" borderId="0"/>
    <xf numFmtId="0" fontId="24" fillId="0" borderId="0"/>
    <xf numFmtId="0" fontId="1" fillId="0" borderId="0"/>
    <xf numFmtId="38" fontId="25" fillId="0" borderId="0"/>
    <xf numFmtId="0" fontId="26" fillId="26" borderId="10" applyNumberFormat="0" applyFont="0" applyAlignment="0" applyProtection="0"/>
    <xf numFmtId="0" fontId="27" fillId="21" borderId="11" applyNumberFormat="0" applyAlignment="0" applyProtection="0"/>
    <xf numFmtId="1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0" fontId="29" fillId="0" borderId="12">
      <alignment horizontal="center"/>
    </xf>
    <xf numFmtId="0" fontId="30" fillId="0" borderId="13"/>
    <xf numFmtId="0" fontId="31" fillId="0" borderId="14"/>
    <xf numFmtId="0" fontId="11" fillId="0" borderId="0"/>
    <xf numFmtId="0" fontId="32" fillId="0" borderId="0" applyNumberFormat="0" applyFill="0" applyBorder="0" applyAlignment="0" applyProtection="0"/>
    <xf numFmtId="166" fontId="11" fillId="0" borderId="15">
      <protection locked="0"/>
    </xf>
    <xf numFmtId="37" fontId="13" fillId="27" borderId="0" applyNumberFormat="0" applyBorder="0" applyAlignment="0" applyProtection="0"/>
    <xf numFmtId="37" fontId="33" fillId="0" borderId="0"/>
    <xf numFmtId="3" fontId="34" fillId="0" borderId="7" applyProtection="0"/>
    <xf numFmtId="0" fontId="35" fillId="0" borderId="0" applyNumberFormat="0" applyFill="0" applyBorder="0" applyAlignment="0" applyProtection="0"/>
  </cellStyleXfs>
  <cellXfs count="53">
    <xf numFmtId="0" fontId="0" fillId="0" borderId="0" xfId="0"/>
    <xf numFmtId="0" fontId="36" fillId="0" borderId="0" xfId="0" applyFont="1" applyFill="1" applyAlignme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53" applyFont="1" applyAlignment="1">
      <alignment horizontal="left"/>
    </xf>
    <xf numFmtId="0" fontId="37" fillId="0" borderId="0" xfId="54" applyFont="1" applyAlignment="1">
      <alignment horizontal="left" vertical="center"/>
    </xf>
    <xf numFmtId="0" fontId="37" fillId="28" borderId="0" xfId="54" applyFont="1" applyFill="1" applyAlignment="1">
      <alignment horizontal="center" vertical="center"/>
    </xf>
    <xf numFmtId="164" fontId="37" fillId="0" borderId="0" xfId="55" applyNumberFormat="1" applyFont="1" applyAlignment="1" applyProtection="1">
      <alignment horizontal="right"/>
    </xf>
    <xf numFmtId="0" fontId="37" fillId="0" borderId="0" xfId="0" applyFont="1" applyFill="1" applyAlignment="1"/>
    <xf numFmtId="0" fontId="37" fillId="0" borderId="0" xfId="53" applyFont="1" applyFill="1" applyAlignment="1">
      <alignment horizontal="left"/>
    </xf>
    <xf numFmtId="0" fontId="37" fillId="28" borderId="0" xfId="53" applyFont="1" applyFill="1" applyAlignment="1">
      <alignment horizontal="center"/>
    </xf>
    <xf numFmtId="0" fontId="36" fillId="0" borderId="0" xfId="53" applyFont="1" applyFill="1" applyAlignment="1">
      <alignment horizontal="left"/>
    </xf>
    <xf numFmtId="0" fontId="36" fillId="0" borderId="0" xfId="53" applyFont="1" applyFill="1" applyBorder="1" applyAlignment="1">
      <alignment horizontal="center"/>
    </xf>
    <xf numFmtId="0" fontId="36" fillId="0" borderId="0" xfId="53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37" fillId="0" borderId="0" xfId="53" applyFont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6" fillId="28" borderId="0" xfId="0" applyFont="1" applyFill="1" applyAlignment="1"/>
    <xf numFmtId="42" fontId="36" fillId="28" borderId="0" xfId="29" applyNumberFormat="1" applyFont="1" applyFill="1" applyAlignment="1"/>
    <xf numFmtId="42" fontId="36" fillId="0" borderId="0" xfId="29" applyNumberFormat="1" applyFont="1" applyFill="1" applyAlignment="1"/>
    <xf numFmtId="42" fontId="36" fillId="0" borderId="0" xfId="29" applyNumberFormat="1" applyFont="1" applyFill="1" applyAlignment="1">
      <alignment horizontal="right"/>
    </xf>
    <xf numFmtId="169" fontId="36" fillId="28" borderId="0" xfId="29" applyNumberFormat="1" applyFont="1" applyFill="1" applyAlignment="1"/>
    <xf numFmtId="169" fontId="36" fillId="0" borderId="0" xfId="29" applyNumberFormat="1" applyFont="1" applyFill="1" applyAlignment="1"/>
    <xf numFmtId="169" fontId="36" fillId="0" borderId="0" xfId="29" applyNumberFormat="1" applyFont="1" applyFill="1" applyAlignment="1">
      <alignment horizontal="right"/>
    </xf>
    <xf numFmtId="0" fontId="36" fillId="28" borderId="0" xfId="0" applyFont="1" applyFill="1"/>
    <xf numFmtId="42" fontId="36" fillId="28" borderId="0" xfId="29" applyNumberFormat="1" applyFont="1" applyFill="1"/>
    <xf numFmtId="42" fontId="36" fillId="0" borderId="0" xfId="29" applyNumberFormat="1" applyFont="1"/>
    <xf numFmtId="169" fontId="36" fillId="0" borderId="0" xfId="29" applyNumberFormat="1" applyFont="1"/>
    <xf numFmtId="42" fontId="36" fillId="0" borderId="0" xfId="0" applyNumberFormat="1" applyFont="1"/>
    <xf numFmtId="42" fontId="36" fillId="0" borderId="0" xfId="0" applyNumberFormat="1" applyFont="1" applyFill="1" applyAlignment="1"/>
    <xf numFmtId="0" fontId="36" fillId="0" borderId="0" xfId="0" applyFont="1" applyFill="1" applyAlignment="1">
      <alignment horizontal="right"/>
    </xf>
    <xf numFmtId="0" fontId="36" fillId="0" borderId="0" xfId="0" applyNumberFormat="1" applyFont="1" applyFill="1" applyAlignment="1"/>
    <xf numFmtId="42" fontId="36" fillId="0" borderId="16" xfId="0" applyNumberFormat="1" applyFont="1" applyFill="1" applyBorder="1" applyAlignment="1">
      <alignment horizontal="right"/>
    </xf>
    <xf numFmtId="0" fontId="36" fillId="0" borderId="0" xfId="0" applyNumberFormat="1" applyFont="1" applyFill="1"/>
    <xf numFmtId="0" fontId="36" fillId="28" borderId="0" xfId="0" applyNumberFormat="1" applyFont="1" applyFill="1" applyAlignment="1"/>
    <xf numFmtId="3" fontId="36" fillId="28" borderId="18" xfId="0" applyNumberFormat="1" applyFont="1" applyFill="1" applyBorder="1"/>
    <xf numFmtId="169" fontId="36" fillId="0" borderId="0" xfId="29" applyNumberFormat="1" applyFont="1" applyFill="1" applyBorder="1"/>
    <xf numFmtId="171" fontId="36" fillId="0" borderId="0" xfId="0" applyNumberFormat="1" applyFont="1" applyFill="1"/>
    <xf numFmtId="173" fontId="36" fillId="0" borderId="0" xfId="29" applyNumberFormat="1" applyFont="1" applyFill="1" applyBorder="1"/>
    <xf numFmtId="3" fontId="36" fillId="0" borderId="0" xfId="0" applyNumberFormat="1" applyFont="1" applyFill="1" applyAlignment="1"/>
    <xf numFmtId="3" fontId="36" fillId="0" borderId="0" xfId="0" applyNumberFormat="1" applyFont="1" applyFill="1" applyBorder="1" applyAlignment="1"/>
    <xf numFmtId="169" fontId="36" fillId="0" borderId="17" xfId="29" applyNumberFormat="1" applyFont="1" applyFill="1" applyBorder="1"/>
    <xf numFmtId="172" fontId="36" fillId="0" borderId="16" xfId="31" applyNumberFormat="1" applyFont="1" applyFill="1" applyBorder="1" applyAlignment="1"/>
    <xf numFmtId="172" fontId="36" fillId="0" borderId="16" xfId="0" applyNumberFormat="1" applyFont="1" applyFill="1" applyBorder="1" applyAlignment="1"/>
    <xf numFmtId="170" fontId="36" fillId="28" borderId="0" xfId="0" applyNumberFormat="1" applyFont="1" applyFill="1" applyAlignment="1"/>
    <xf numFmtId="170" fontId="36" fillId="0" borderId="0" xfId="0" applyNumberFormat="1" applyFont="1" applyFill="1" applyAlignment="1"/>
    <xf numFmtId="1" fontId="36" fillId="0" borderId="0" xfId="0" applyNumberFormat="1" applyFont="1" applyFill="1" applyAlignment="1"/>
    <xf numFmtId="172" fontId="37" fillId="0" borderId="16" xfId="0" applyNumberFormat="1" applyFont="1" applyFill="1" applyBorder="1" applyAlignment="1"/>
    <xf numFmtId="0" fontId="40" fillId="0" borderId="0" xfId="0" applyFont="1" applyFill="1" applyAlignment="1"/>
    <xf numFmtId="172" fontId="0" fillId="0" borderId="0" xfId="31" applyNumberFormat="1" applyFont="1"/>
    <xf numFmtId="172" fontId="0" fillId="0" borderId="19" xfId="31" applyNumberFormat="1" applyFont="1" applyBorder="1"/>
  </cellXfs>
  <cellStyles count="7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ctual Date" xfId="25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/>
    <cellStyle name="Currency" xfId="31" builtinId="4"/>
    <cellStyle name="Currency 2" xfId="32"/>
    <cellStyle name="Date" xfId="33"/>
    <cellStyle name="Explanatory Text" xfId="34" builtinId="53" customBuiltin="1"/>
    <cellStyle name="Fixed" xfId="35"/>
    <cellStyle name="Good" xfId="36" builtinId="26" customBuiltin="1"/>
    <cellStyle name="Grey" xfId="37"/>
    <cellStyle name="HEADER" xfId="38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Heading1" xfId="43"/>
    <cellStyle name="Heading2" xfId="44"/>
    <cellStyle name="HIGHLIGHT" xfId="45"/>
    <cellStyle name="Input" xfId="46" builtinId="20" customBuiltin="1"/>
    <cellStyle name="Input [yellow]" xfId="47"/>
    <cellStyle name="Linked Cell" xfId="48" builtinId="24" customBuiltin="1"/>
    <cellStyle name="Neutral" xfId="49" builtinId="28" customBuiltin="1"/>
    <cellStyle name="no dec" xfId="50"/>
    <cellStyle name="Normal" xfId="0" builtinId="0"/>
    <cellStyle name="Normal - Style1" xfId="51"/>
    <cellStyle name="Normal 2" xfId="52"/>
    <cellStyle name="Normal_0112 No Link Exp" xfId="53"/>
    <cellStyle name="Normal_Book2_12-31-2004 SPS BK Revised Revenue Credit" xfId="54"/>
    <cellStyle name="Normal_Book4_1" xfId="55"/>
    <cellStyle name="Note" xfId="56" builtinId="10" customBuiltin="1"/>
    <cellStyle name="Output" xfId="57" builtinId="21" customBuiltin="1"/>
    <cellStyle name="Percent [2]" xfId="58"/>
    <cellStyle name="Percent 2" xfId="59"/>
    <cellStyle name="PSChar" xfId="60"/>
    <cellStyle name="PSDate" xfId="61"/>
    <cellStyle name="PSHeading" xfId="62"/>
    <cellStyle name="RangeBelow" xfId="63"/>
    <cellStyle name="SubRoutine" xfId="64"/>
    <cellStyle name="þ(Î'_x000c_ïþ÷_x000c_âþÖ_x0006__x0002_Þ”_x0013__x0007__x0001__x0001_" xfId="65"/>
    <cellStyle name="Title" xfId="66" builtinId="15" customBuiltin="1"/>
    <cellStyle name="Total" xfId="67" builtinId="25" customBuiltin="1"/>
    <cellStyle name="Unprot" xfId="68"/>
    <cellStyle name="Unprot$" xfId="69"/>
    <cellStyle name="Unprotect" xfId="70"/>
    <cellStyle name="Warning Text" xfId="71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/>
        <xdr:cNvSpPr txBox="1"/>
      </xdr:nvSpPr>
      <xdr:spPr>
        <a:xfrm>
          <a:off x="5316855" y="249555"/>
          <a:ext cx="3697605" cy="8858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3"/>
  <sheetViews>
    <sheetView showGridLines="0" tabSelected="1" zoomScale="80" zoomScaleNormal="80" workbookViewId="0">
      <selection activeCell="I41" sqref="I41"/>
    </sheetView>
  </sheetViews>
  <sheetFormatPr defaultColWidth="8.88671875" defaultRowHeight="15"/>
  <cols>
    <col min="1" max="1" width="4.5546875" style="1" customWidth="1"/>
    <col min="2" max="2" width="17" style="1" customWidth="1"/>
    <col min="3" max="3" width="37.109375" style="1" customWidth="1"/>
    <col min="4" max="4" width="54.88671875" style="1" customWidth="1"/>
    <col min="5" max="5" width="12.88671875" style="1" bestFit="1" customWidth="1"/>
    <col min="6" max="6" width="1.88671875" style="1" customWidth="1"/>
    <col min="7" max="7" width="11.77734375" style="1" bestFit="1" customWidth="1"/>
    <col min="8" max="8" width="1.88671875" style="1" customWidth="1"/>
    <col min="9" max="9" width="11.33203125" style="1" bestFit="1" customWidth="1"/>
    <col min="10" max="10" width="3.44140625" style="1" customWidth="1"/>
    <col min="11" max="16384" width="8.88671875" style="1"/>
  </cols>
  <sheetData>
    <row r="3" spans="1:10">
      <c r="E3" s="2"/>
    </row>
    <row r="4" spans="1:10" ht="12" customHeight="1">
      <c r="B4" s="3"/>
      <c r="C4" s="3"/>
    </row>
    <row r="5" spans="1:10" s="50" customFormat="1" ht="21">
      <c r="B5" s="4" t="s">
        <v>9</v>
      </c>
      <c r="C5" s="4"/>
    </row>
    <row r="7" spans="1:10">
      <c r="A7" s="5">
        <v>1</v>
      </c>
      <c r="B7" s="6" t="s">
        <v>10</v>
      </c>
      <c r="C7" s="7" t="s">
        <v>40</v>
      </c>
      <c r="J7" s="8"/>
    </row>
    <row r="8" spans="1:10">
      <c r="A8" s="5">
        <f>1+A7</f>
        <v>2</v>
      </c>
      <c r="B8" s="9"/>
      <c r="C8" s="9"/>
    </row>
    <row r="9" spans="1:10">
      <c r="A9" s="5">
        <f t="shared" ref="A9:A58" si="0">1+A8</f>
        <v>3</v>
      </c>
      <c r="B9" s="10" t="s">
        <v>11</v>
      </c>
      <c r="C9" s="11">
        <v>2016</v>
      </c>
    </row>
    <row r="10" spans="1:10">
      <c r="A10" s="5">
        <f t="shared" si="0"/>
        <v>4</v>
      </c>
      <c r="B10" s="10"/>
      <c r="C10" s="12"/>
    </row>
    <row r="11" spans="1:10">
      <c r="A11" s="5">
        <f t="shared" si="0"/>
        <v>5</v>
      </c>
      <c r="B11" s="13" t="s">
        <v>19</v>
      </c>
      <c r="C11" s="14"/>
      <c r="D11" s="15" t="s">
        <v>20</v>
      </c>
      <c r="E11" s="15" t="s">
        <v>27</v>
      </c>
      <c r="F11" s="16"/>
      <c r="G11" s="15" t="s">
        <v>21</v>
      </c>
      <c r="H11" s="16"/>
      <c r="I11" s="15" t="s">
        <v>22</v>
      </c>
      <c r="J11" s="16"/>
    </row>
    <row r="12" spans="1:10">
      <c r="A12" s="5">
        <f t="shared" si="0"/>
        <v>6</v>
      </c>
      <c r="B12" s="17"/>
      <c r="C12" s="17"/>
      <c r="D12" s="16"/>
      <c r="E12" s="18" t="s">
        <v>36</v>
      </c>
      <c r="F12" s="18"/>
      <c r="G12" s="18" t="s">
        <v>12</v>
      </c>
      <c r="H12" s="18"/>
      <c r="I12" s="18" t="s">
        <v>23</v>
      </c>
      <c r="J12" s="16"/>
    </row>
    <row r="13" spans="1:10">
      <c r="A13" s="5">
        <f t="shared" si="0"/>
        <v>7</v>
      </c>
      <c r="B13" s="17"/>
      <c r="C13" s="17"/>
      <c r="E13" s="9"/>
      <c r="F13" s="9"/>
      <c r="G13" s="9"/>
      <c r="H13" s="9"/>
      <c r="I13" s="9"/>
    </row>
    <row r="14" spans="1:10" ht="17.25">
      <c r="A14" s="5">
        <f t="shared" si="0"/>
        <v>8</v>
      </c>
      <c r="B14" s="1" t="s">
        <v>2</v>
      </c>
      <c r="D14" s="19" t="s">
        <v>41</v>
      </c>
      <c r="E14" s="20">
        <v>1161069</v>
      </c>
      <c r="F14" s="21"/>
      <c r="G14" s="20">
        <v>893179.33000000007</v>
      </c>
      <c r="H14" s="21"/>
      <c r="I14" s="22">
        <f>+E14-G14</f>
        <v>267889.66999999993</v>
      </c>
    </row>
    <row r="15" spans="1:10">
      <c r="A15" s="5">
        <f t="shared" si="0"/>
        <v>9</v>
      </c>
      <c r="B15" s="1" t="s">
        <v>3</v>
      </c>
      <c r="D15" s="19" t="s">
        <v>42</v>
      </c>
      <c r="E15" s="23">
        <f>1705217-475023</f>
        <v>1230194</v>
      </c>
      <c r="F15" s="24"/>
      <c r="G15" s="23">
        <v>1411859.21</v>
      </c>
      <c r="H15" s="24"/>
      <c r="I15" s="25">
        <f t="shared" ref="I15:I21" si="1">+E15-G15</f>
        <v>-181665.20999999996</v>
      </c>
    </row>
    <row r="16" spans="1:10">
      <c r="A16" s="5">
        <f t="shared" si="0"/>
        <v>10</v>
      </c>
      <c r="B16" s="1" t="s">
        <v>6</v>
      </c>
      <c r="D16" s="19" t="s">
        <v>43</v>
      </c>
      <c r="E16" s="23">
        <v>154172</v>
      </c>
      <c r="F16" s="24"/>
      <c r="G16" s="23">
        <v>393576.42</v>
      </c>
      <c r="H16" s="24"/>
      <c r="I16" s="25">
        <f t="shared" si="1"/>
        <v>-239404.41999999998</v>
      </c>
    </row>
    <row r="17" spans="1:9">
      <c r="A17" s="5">
        <f t="shared" si="0"/>
        <v>11</v>
      </c>
      <c r="B17" s="1" t="s">
        <v>4</v>
      </c>
      <c r="D17" s="1" t="s">
        <v>25</v>
      </c>
      <c r="E17" s="21">
        <f>+E14+E15+E16</f>
        <v>2545435</v>
      </c>
      <c r="F17" s="21"/>
      <c r="G17" s="21">
        <f>+G14+G15+G16</f>
        <v>2698614.96</v>
      </c>
      <c r="H17" s="21"/>
      <c r="I17" s="22">
        <f t="shared" si="1"/>
        <v>-153179.95999999996</v>
      </c>
    </row>
    <row r="18" spans="1:9">
      <c r="A18" s="5">
        <f t="shared" si="0"/>
        <v>12</v>
      </c>
      <c r="E18" s="24"/>
      <c r="F18" s="24"/>
      <c r="G18" s="24"/>
      <c r="H18" s="24"/>
      <c r="I18" s="25"/>
    </row>
    <row r="19" spans="1:9" ht="17.25">
      <c r="A19" s="5">
        <f t="shared" si="0"/>
        <v>13</v>
      </c>
      <c r="B19" s="2" t="s">
        <v>37</v>
      </c>
      <c r="C19" s="2"/>
      <c r="D19" s="26" t="s">
        <v>44</v>
      </c>
      <c r="E19" s="27">
        <v>710503.56</v>
      </c>
      <c r="F19" s="28"/>
      <c r="G19" s="27">
        <v>715271</v>
      </c>
      <c r="H19" s="21"/>
      <c r="I19" s="22">
        <f t="shared" si="1"/>
        <v>-4767.4399999999441</v>
      </c>
    </row>
    <row r="20" spans="1:9">
      <c r="A20" s="5">
        <f t="shared" si="0"/>
        <v>14</v>
      </c>
      <c r="B20" s="2"/>
      <c r="C20" s="2"/>
      <c r="D20" s="2"/>
      <c r="E20" s="29"/>
      <c r="F20" s="29"/>
      <c r="G20" s="24"/>
      <c r="H20" s="24"/>
      <c r="I20" s="25"/>
    </row>
    <row r="21" spans="1:9" ht="17.25">
      <c r="A21" s="5">
        <f t="shared" si="0"/>
        <v>15</v>
      </c>
      <c r="B21" s="2" t="s">
        <v>38</v>
      </c>
      <c r="C21" s="2"/>
      <c r="D21" s="2" t="s">
        <v>26</v>
      </c>
      <c r="E21" s="30">
        <f>+E17-E19</f>
        <v>1834931.44</v>
      </c>
      <c r="F21" s="30"/>
      <c r="G21" s="30">
        <f>+G17-G19</f>
        <v>1983343.96</v>
      </c>
      <c r="H21" s="31"/>
      <c r="I21" s="22">
        <f t="shared" si="1"/>
        <v>-148412.52000000002</v>
      </c>
    </row>
    <row r="22" spans="1:9">
      <c r="A22" s="5">
        <f t="shared" si="0"/>
        <v>16</v>
      </c>
      <c r="B22" s="2"/>
      <c r="C22" s="2"/>
      <c r="D22" s="2"/>
      <c r="E22" s="2"/>
      <c r="F22" s="2"/>
      <c r="I22" s="32"/>
    </row>
    <row r="23" spans="1:9" ht="17.25">
      <c r="A23" s="5">
        <f t="shared" si="0"/>
        <v>17</v>
      </c>
      <c r="B23" s="3" t="s">
        <v>39</v>
      </c>
      <c r="C23" s="2"/>
      <c r="D23" s="26" t="s">
        <v>45</v>
      </c>
      <c r="E23" s="27">
        <v>84309.64</v>
      </c>
      <c r="F23" s="28"/>
      <c r="G23" s="27">
        <v>103000</v>
      </c>
      <c r="H23" s="31"/>
      <c r="I23" s="22">
        <f>+E23-G23</f>
        <v>-18690.36</v>
      </c>
    </row>
    <row r="24" spans="1:9">
      <c r="A24" s="5">
        <f t="shared" si="0"/>
        <v>18</v>
      </c>
      <c r="E24" s="24"/>
      <c r="F24" s="24"/>
      <c r="G24" s="24"/>
      <c r="I24" s="32"/>
    </row>
    <row r="25" spans="1:9" ht="15.75" thickBot="1">
      <c r="A25" s="5">
        <f t="shared" si="0"/>
        <v>19</v>
      </c>
      <c r="B25" s="33" t="s">
        <v>5</v>
      </c>
      <c r="C25" s="33"/>
      <c r="D25" s="33" t="str">
        <f>"(Line "&amp;A21&amp;" - Line "&amp;A23&amp;")"</f>
        <v>(Line 15 - Line 17)</v>
      </c>
      <c r="E25" s="34">
        <f>E21-E23</f>
        <v>1750621.8</v>
      </c>
      <c r="F25" s="35"/>
      <c r="G25" s="34">
        <f>G21-G23</f>
        <v>1880343.96</v>
      </c>
      <c r="H25" s="35"/>
      <c r="I25" s="34">
        <f>E25-G25</f>
        <v>-129722.15999999992</v>
      </c>
    </row>
    <row r="26" spans="1:9" ht="15.75" thickTop="1">
      <c r="A26" s="5">
        <f t="shared" si="0"/>
        <v>20</v>
      </c>
    </row>
    <row r="27" spans="1:9">
      <c r="A27" s="5">
        <f t="shared" si="0"/>
        <v>21</v>
      </c>
      <c r="B27" s="33" t="s">
        <v>24</v>
      </c>
      <c r="C27" s="33"/>
      <c r="D27" s="36" t="s">
        <v>46</v>
      </c>
      <c r="E27" s="37">
        <v>1012333.3333333334</v>
      </c>
      <c r="F27" s="35"/>
      <c r="G27" s="37">
        <v>1016210.3650795489</v>
      </c>
      <c r="H27" s="35"/>
      <c r="I27" s="38"/>
    </row>
    <row r="28" spans="1:9">
      <c r="A28" s="5">
        <f t="shared" si="0"/>
        <v>22</v>
      </c>
    </row>
    <row r="29" spans="1:9">
      <c r="A29" s="5">
        <f t="shared" si="0"/>
        <v>23</v>
      </c>
      <c r="B29" s="33" t="s">
        <v>0</v>
      </c>
      <c r="C29" s="33"/>
      <c r="D29" s="33"/>
      <c r="E29" s="39"/>
      <c r="G29" s="35">
        <f>ROUND(G25/G27,8)</f>
        <v>1.8503491299999999</v>
      </c>
      <c r="I29" s="40"/>
    </row>
    <row r="30" spans="1:9">
      <c r="A30" s="5">
        <f t="shared" si="0"/>
        <v>24</v>
      </c>
    </row>
    <row r="31" spans="1:9">
      <c r="A31" s="5">
        <f t="shared" si="0"/>
        <v>25</v>
      </c>
      <c r="B31" s="33" t="s">
        <v>1</v>
      </c>
      <c r="C31" s="33"/>
      <c r="D31" s="33"/>
      <c r="I31" s="41">
        <f>E27</f>
        <v>1012333.3333333334</v>
      </c>
    </row>
    <row r="32" spans="1:9">
      <c r="A32" s="5">
        <f t="shared" si="0"/>
        <v>26</v>
      </c>
      <c r="B32" s="33" t="s">
        <v>13</v>
      </c>
      <c r="C32" s="33"/>
      <c r="D32" s="33"/>
      <c r="I32" s="42">
        <f>G27</f>
        <v>1016210.3650795489</v>
      </c>
    </row>
    <row r="33" spans="1:9">
      <c r="A33" s="5">
        <f t="shared" si="0"/>
        <v>27</v>
      </c>
      <c r="B33" s="33" t="s">
        <v>14</v>
      </c>
      <c r="C33" s="33"/>
      <c r="D33" s="33" t="str">
        <f>"(Line "&amp;A32&amp;" - Line "&amp;A31&amp;")"</f>
        <v>(Line 26 - Line 25)</v>
      </c>
      <c r="I33" s="43">
        <f>I32-I31</f>
        <v>3877.0317462155363</v>
      </c>
    </row>
    <row r="34" spans="1:9">
      <c r="A34" s="5">
        <f t="shared" si="0"/>
        <v>28</v>
      </c>
    </row>
    <row r="35" spans="1:9">
      <c r="A35" s="5">
        <f t="shared" si="0"/>
        <v>29</v>
      </c>
      <c r="B35" s="1" t="s">
        <v>15</v>
      </c>
      <c r="D35" s="1" t="str">
        <f>"(Line "&amp;A29&amp;")"</f>
        <v>(Line 23)</v>
      </c>
      <c r="I35" s="33">
        <f>G29</f>
        <v>1.8503491299999999</v>
      </c>
    </row>
    <row r="36" spans="1:9">
      <c r="A36" s="5">
        <f t="shared" si="0"/>
        <v>30</v>
      </c>
    </row>
    <row r="37" spans="1:9" ht="15.75" thickBot="1">
      <c r="A37" s="5">
        <f t="shared" si="0"/>
        <v>31</v>
      </c>
      <c r="B37" s="33" t="s">
        <v>18</v>
      </c>
      <c r="C37" s="33"/>
      <c r="D37" s="33" t="str">
        <f>"(Line "&amp;A33&amp;" x Line "&amp;A35&amp;")"</f>
        <v>(Line 27 x Line 29)</v>
      </c>
      <c r="I37" s="44">
        <f>I33*I35</f>
        <v>7173.8623185922979</v>
      </c>
    </row>
    <row r="38" spans="1:9" ht="15.75" thickTop="1">
      <c r="A38" s="5">
        <f t="shared" si="0"/>
        <v>32</v>
      </c>
    </row>
    <row r="39" spans="1:9" ht="15.75" thickBot="1">
      <c r="A39" s="5">
        <f t="shared" si="0"/>
        <v>33</v>
      </c>
      <c r="B39" s="9" t="s">
        <v>32</v>
      </c>
      <c r="D39" s="1" t="str">
        <f>"(Line "&amp;A25&amp;" + Line "&amp;A37&amp;")"</f>
        <v>(Line 19 + Line 31)</v>
      </c>
      <c r="I39" s="45">
        <f>I37+I25</f>
        <v>-122548.29768140762</v>
      </c>
    </row>
    <row r="40" spans="1:9" ht="15.75" thickTop="1">
      <c r="A40" s="5">
        <f t="shared" si="0"/>
        <v>34</v>
      </c>
    </row>
    <row r="41" spans="1:9">
      <c r="A41" s="5">
        <f t="shared" si="0"/>
        <v>35</v>
      </c>
      <c r="B41" s="1" t="s">
        <v>33</v>
      </c>
      <c r="D41" s="36" t="s">
        <v>53</v>
      </c>
      <c r="I41" s="46">
        <f>0.0363125/12</f>
        <v>3.0260416666666665E-3</v>
      </c>
    </row>
    <row r="42" spans="1:9">
      <c r="A42" s="5">
        <f t="shared" si="0"/>
        <v>36</v>
      </c>
      <c r="I42" s="47"/>
    </row>
    <row r="43" spans="1:9" ht="14.25" customHeight="1">
      <c r="A43" s="5">
        <f t="shared" si="0"/>
        <v>37</v>
      </c>
      <c r="B43" s="1" t="s">
        <v>16</v>
      </c>
      <c r="G43" s="32"/>
      <c r="I43" s="48">
        <v>24</v>
      </c>
    </row>
    <row r="44" spans="1:9">
      <c r="A44" s="5">
        <f t="shared" si="0"/>
        <v>38</v>
      </c>
      <c r="G44" s="32"/>
    </row>
    <row r="45" spans="1:9">
      <c r="A45" s="5">
        <f t="shared" si="0"/>
        <v>39</v>
      </c>
      <c r="B45" s="1" t="s">
        <v>34</v>
      </c>
      <c r="D45" s="1" t="str">
        <f>"(Line "&amp;A39&amp;" x Line "&amp;A41&amp;" x Line "&amp;A43&amp;")"</f>
        <v>(Line 33 x Line 35 x Line 37)</v>
      </c>
      <c r="G45" s="32"/>
      <c r="I45" s="31">
        <f>ROUND(I39*I41*I43,0)</f>
        <v>-8900</v>
      </c>
    </row>
    <row r="46" spans="1:9">
      <c r="A46" s="5">
        <f t="shared" si="0"/>
        <v>40</v>
      </c>
    </row>
    <row r="47" spans="1:9" ht="15.75" thickBot="1">
      <c r="A47" s="5">
        <f t="shared" si="0"/>
        <v>41</v>
      </c>
      <c r="B47" s="9" t="s">
        <v>17</v>
      </c>
      <c r="C47" s="2"/>
      <c r="D47" s="1" t="str">
        <f>"(Line "&amp;A39&amp;" + Line "&amp;A45&amp;")"</f>
        <v>(Line 33 + Line 39)</v>
      </c>
      <c r="I47" s="49">
        <f>I39+I45</f>
        <v>-131448.29768140762</v>
      </c>
    </row>
    <row r="48" spans="1:9" ht="15.75" thickTop="1">
      <c r="A48" s="5">
        <f t="shared" si="0"/>
        <v>42</v>
      </c>
      <c r="C48" s="2"/>
    </row>
    <row r="49" spans="1:2">
      <c r="A49" s="5">
        <f t="shared" si="0"/>
        <v>43</v>
      </c>
      <c r="B49" s="2" t="s">
        <v>35</v>
      </c>
    </row>
    <row r="50" spans="1:2">
      <c r="A50" s="5">
        <f t="shared" si="0"/>
        <v>44</v>
      </c>
    </row>
    <row r="51" spans="1:2">
      <c r="A51" s="5">
        <f t="shared" si="0"/>
        <v>45</v>
      </c>
      <c r="B51" s="2" t="s">
        <v>7</v>
      </c>
    </row>
    <row r="52" spans="1:2">
      <c r="A52" s="5">
        <f t="shared" si="0"/>
        <v>46</v>
      </c>
    </row>
    <row r="53" spans="1:2">
      <c r="A53" s="5">
        <f t="shared" si="0"/>
        <v>47</v>
      </c>
      <c r="B53" s="2" t="s">
        <v>8</v>
      </c>
    </row>
    <row r="54" spans="1:2">
      <c r="A54" s="5">
        <f t="shared" si="0"/>
        <v>48</v>
      </c>
    </row>
    <row r="55" spans="1:2">
      <c r="A55" s="5">
        <f t="shared" si="0"/>
        <v>49</v>
      </c>
      <c r="B55" s="2" t="s">
        <v>30</v>
      </c>
    </row>
    <row r="56" spans="1:2">
      <c r="A56" s="5">
        <f t="shared" si="0"/>
        <v>50</v>
      </c>
      <c r="B56" s="2" t="s">
        <v>31</v>
      </c>
    </row>
    <row r="57" spans="1:2">
      <c r="A57" s="5">
        <f t="shared" si="0"/>
        <v>51</v>
      </c>
      <c r="B57" s="2" t="s">
        <v>29</v>
      </c>
    </row>
    <row r="58" spans="1:2">
      <c r="A58" s="5">
        <f t="shared" si="0"/>
        <v>52</v>
      </c>
      <c r="B58" s="2" t="s">
        <v>28</v>
      </c>
    </row>
    <row r="59" spans="1:2">
      <c r="A59" s="5"/>
    </row>
    <row r="60" spans="1:2">
      <c r="A60" s="5"/>
      <c r="B60" s="2"/>
    </row>
    <row r="61" spans="1:2">
      <c r="B61" s="2"/>
    </row>
    <row r="62" spans="1:2">
      <c r="B62" s="2"/>
    </row>
    <row r="63" spans="1:2">
      <c r="B63" s="2"/>
    </row>
  </sheetData>
  <pageMargins left="0.5" right="0.25" top="0.41" bottom="0.25" header="0.24" footer="0.5"/>
  <pageSetup scale="64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C11"/>
  <sheetViews>
    <sheetView workbookViewId="0">
      <selection activeCell="B10" sqref="B10"/>
    </sheetView>
  </sheetViews>
  <sheetFormatPr defaultRowHeight="15"/>
  <cols>
    <col min="2" max="2" width="13.5546875" bestFit="1" customWidth="1"/>
  </cols>
  <sheetData>
    <row r="4" spans="2:3">
      <c r="B4" s="51">
        <v>710503.56</v>
      </c>
      <c r="C4" t="s">
        <v>47</v>
      </c>
    </row>
    <row r="5" spans="2:3">
      <c r="B5" s="52">
        <v>450565.14</v>
      </c>
      <c r="C5" t="s">
        <v>48</v>
      </c>
    </row>
    <row r="6" spans="2:3">
      <c r="B6" s="51">
        <f>SUM(B4:B5)</f>
        <v>1161068.7000000002</v>
      </c>
      <c r="C6" t="s">
        <v>49</v>
      </c>
    </row>
    <row r="9" spans="2:3">
      <c r="B9" s="51">
        <v>505584.72</v>
      </c>
      <c r="C9" t="s">
        <v>50</v>
      </c>
    </row>
    <row r="10" spans="2:3">
      <c r="B10" s="52">
        <v>84309.64</v>
      </c>
      <c r="C10" t="s">
        <v>51</v>
      </c>
    </row>
    <row r="11" spans="2:3">
      <c r="B11" s="51">
        <f>SUM(B9:B10)</f>
        <v>589894.36</v>
      </c>
      <c r="C11" t="s">
        <v>52</v>
      </c>
    </row>
  </sheetData>
  <pageMargins left="0.5" right="0.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 1 TU Adj</vt:lpstr>
      <vt:lpstr>Supporting Schedule</vt:lpstr>
    </vt:vector>
  </TitlesOfParts>
  <Company>Xcel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Wetterlin</dc:creator>
  <cp:lastModifiedBy>mmcdowell</cp:lastModifiedBy>
  <cp:lastPrinted>2017-05-16T18:27:59Z</cp:lastPrinted>
  <dcterms:created xsi:type="dcterms:W3CDTF">2014-01-09T16:01:56Z</dcterms:created>
  <dcterms:modified xsi:type="dcterms:W3CDTF">2017-05-16T19:21:14Z</dcterms:modified>
</cp:coreProperties>
</file>