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515"/>
  </bookViews>
  <sheets>
    <sheet name="Sch 1 TU Adj" sheetId="2" r:id="rId1"/>
    <sheet name="Supporting Schedule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q" hidden="1">{"MATALL",#N/A,FALSE,"Sheet4";"matclass",#N/A,FALSE,"Sheet4"}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45621"/>
</workbook>
</file>

<file path=xl/calcChain.xml><?xml version="1.0" encoding="utf-8"?>
<calcChain xmlns="http://schemas.openxmlformats.org/spreadsheetml/2006/main">
  <c r="I41" i="2" l="1"/>
  <c r="B9" i="3" l="1"/>
  <c r="B11" i="3" l="1"/>
  <c r="B6" i="3"/>
  <c r="I32" i="2" l="1"/>
  <c r="I31" i="2"/>
  <c r="I23" i="2"/>
  <c r="I19" i="2"/>
  <c r="G17" i="2"/>
  <c r="G21" i="2" s="1"/>
  <c r="G25" i="2" s="1"/>
  <c r="G29" i="2" s="1"/>
  <c r="I3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I33" i="2" l="1"/>
  <c r="I37" i="2" s="1"/>
  <c r="A22" i="2"/>
  <c r="A23" i="2" s="1"/>
  <c r="A24" i="2" s="1"/>
  <c r="A25" i="2" s="1"/>
  <c r="I21" i="2"/>
  <c r="E25" i="2"/>
  <c r="I25" i="2" s="1"/>
  <c r="I17" i="2"/>
  <c r="I39" i="2" l="1"/>
  <c r="I45" i="2" s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<sst xmlns="http://schemas.openxmlformats.org/spreadsheetml/2006/main" count="54" uniqueCount="54">
  <si>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</si>
  <si>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</si>
  <si>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</si>
  <si>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</si>
  <si>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</si>
  <si>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</si>
  <si>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</si>
  <si>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</si>
  <si>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</si>
  <si>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</si>
  <si>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</si>
  <si>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</si>
  <si>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</si>
  <si>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</si>
  <si>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</si>
  <si>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</si>
  <si>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</si>
  <si>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</si>
  <si>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</si>
  <si>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</si>
  <si>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</si>
  <si>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</si>
  <si>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</si>
  <si>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</si>
  <si>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</si>
  <si>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</si>
  <si>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</si>
  <si>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</si>
  <si>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</si>
  <si>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</si>
  <si>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</si>
  <si>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</si>
  <si>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</si>
  <si>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</si>
  <si>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</si>
  <si>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</si>
  <si>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</si>
  <si>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</si>
  <si>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</si>
  <si>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</si>
  <si>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VECTREN</t>
  </si>
  <si>
    <r>
      <t>Form 1, p 321, Line 85</t>
    </r>
    <r>
      <rPr>
        <vertAlign val="superscript"/>
        <sz val="11"/>
        <rFont val="Calibri"/>
        <family val="2"/>
        <scheme val="minor"/>
      </rPr>
      <t>1</t>
    </r>
  </si>
  <si>
    <t>Form 1, p 321, Line 86</t>
  </si>
  <si>
    <t>Form 1, p 321, Line 87</t>
  </si>
  <si>
    <t>Form 1, footnote to p 321, Lines 85, 86, &amp; 87</t>
  </si>
  <si>
    <r>
      <t>Form 1, page 330, footnote</t>
    </r>
    <r>
      <rPr>
        <vertAlign val="superscript"/>
        <sz val="11"/>
        <rFont val="Calibri"/>
        <family val="2"/>
        <scheme val="minor"/>
      </rPr>
      <t>4</t>
    </r>
  </si>
  <si>
    <t>Attachment O, pg 1, line 15</t>
  </si>
  <si>
    <t>Account 561.1 Balancing Authority Labor - Recovered through Schedule 24</t>
  </si>
  <si>
    <t xml:space="preserve">Account 561.1 Non Balancing Authority </t>
  </si>
  <si>
    <t>561.1 Load Dispatch - Reliability - FERC Form 1, Line 85, Column B</t>
  </si>
  <si>
    <t>Revenue included in Attachment O Zonal Rate Divisor</t>
  </si>
  <si>
    <t>Revenue Credits - not included in Attachment O Zonal Rate Divisor</t>
  </si>
  <si>
    <t>Total Schedule 1 Revenue - Footnote to FERC Form 1, Page 328, Line 1, Column M</t>
  </si>
  <si>
    <t>FERC Calculated Average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</si>
</sst>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</numFmts>
  <fonts count="41">
    <font>
      <sz val="12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8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9" fillId="0" borderId="0">
      <protection locked="0"/>
    </xf>
    <xf numFmtId="0" fontId="10" fillId="0" borderId="0" applyNumberFormat="0" applyFill="0" applyBorder="0" applyAlignment="0" applyProtection="0"/>
    <xf numFmtId="167" fontId="11" fillId="0" borderId="0">
      <protection locked="0"/>
    </xf>
    <xf numFmtId="0" fontId="12" fillId="4" borderId="0" applyNumberFormat="0" applyBorder="0" applyAlignment="0" applyProtection="0"/>
    <xf numFmtId="38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0" fontId="18" fillId="0" borderId="7" applyNumberFormat="0" applyFill="0" applyAlignment="0" applyProtection="0"/>
    <xf numFmtId="0" fontId="19" fillId="7" borderId="2" applyNumberFormat="0" applyAlignment="0" applyProtection="0"/>
    <xf numFmtId="10" fontId="13" fillId="24" borderId="8" applyNumberFormat="0" applyBorder="0" applyAlignment="0" applyProtection="0"/>
    <xf numFmtId="0" fontId="20" fillId="0" borderId="9" applyNumberFormat="0" applyFill="0" applyAlignment="0" applyProtection="0"/>
    <xf numFmtId="0" fontId="21" fillId="25" borderId="0" applyNumberFormat="0" applyBorder="0" applyAlignment="0" applyProtection="0"/>
    <xf numFmtId="37" fontId="22" fillId="0" borderId="0"/>
    <xf numFmtId="165" fontId="23" fillId="0" borderId="0"/>
    <xf numFmtId="0" fontId="8" fillId="0" borderId="0"/>
    <xf numFmtId="0" fontId="24" fillId="0" borderId="0"/>
    <xf numFmtId="0" fontId="1" fillId="0" borderId="0"/>
    <xf numFmtId="38" fontId="25" fillId="0" borderId="0"/>
    <xf numFmtId="0" fontId="26" fillId="26" borderId="10" applyNumberFormat="0" applyFont="0" applyAlignment="0" applyProtection="0"/>
    <xf numFmtId="0" fontId="27" fillId="21" borderId="11" applyNumberFormat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0" fontId="29" fillId="0" borderId="12">
      <alignment horizontal="center"/>
    </xf>
    <xf numFmtId="0" fontId="30" fillId="0" borderId="13"/>
    <xf numFmtId="0" fontId="31" fillId="0" borderId="14"/>
    <xf numFmtId="0" fontId="11" fillId="0" borderId="0"/>
    <xf numFmtId="0" fontId="32" fillId="0" borderId="0" applyNumberFormat="0" applyFill="0" applyBorder="0" applyAlignment="0" applyProtection="0"/>
    <xf numFmtId="166" fontId="11" fillId="0" borderId="15">
      <protection locked="0"/>
    </xf>
    <xf numFmtId="37" fontId="13" fillId="27" borderId="0" applyNumberFormat="0" applyBorder="0" applyAlignment="0" applyProtection="0"/>
    <xf numFmtId="37" fontId="33" fillId="0" borderId="0"/>
    <xf numFmtId="3" fontId="34" fillId="0" borderId="7" applyProtection="0"/>
    <xf numFmtId="0" fontId="35" fillId="0" borderId="0" applyNumberFormat="0" applyFill="0" applyBorder="0" applyAlignment="0" applyProtection="0"/>
  </cellStyleXfs>
  <cellXfs count="53">
    <xf numFmtId="0" fontId="0" fillId="0" borderId="0" xfId="0"/>
    <xf numFmtId="0" fontId="36" fillId="0" borderId="0" xfId="0" applyFont="1" applyFill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53" applyFont="1" applyAlignment="1">
      <alignment horizontal="left"/>
    </xf>
    <xf numFmtId="0" fontId="37" fillId="0" borderId="0" xfId="54" applyFont="1" applyAlignment="1">
      <alignment horizontal="left" vertical="center"/>
    </xf>
    <xf numFmtId="0" fontId="37" fillId="28" borderId="0" xfId="54" applyFont="1" applyFill="1" applyAlignment="1">
      <alignment horizontal="center" vertical="center"/>
    </xf>
    <xf numFmtId="164" fontId="37" fillId="0" borderId="0" xfId="55" applyNumberFormat="1" applyFont="1" applyAlignment="1" applyProtection="1">
      <alignment horizontal="right"/>
    </xf>
    <xf numFmtId="0" fontId="37" fillId="0" borderId="0" xfId="0" applyFont="1" applyFill="1" applyAlignment="1"/>
    <xf numFmtId="0" fontId="37" fillId="0" borderId="0" xfId="53" applyFont="1" applyFill="1" applyAlignment="1">
      <alignment horizontal="left"/>
    </xf>
    <xf numFmtId="0" fontId="37" fillId="28" borderId="0" xfId="53" applyFont="1" applyFill="1" applyAlignment="1">
      <alignment horizontal="center"/>
    </xf>
    <xf numFmtId="0" fontId="36" fillId="0" borderId="0" xfId="53" applyFont="1" applyFill="1" applyAlignment="1">
      <alignment horizontal="left"/>
    </xf>
    <xf numFmtId="0" fontId="36" fillId="0" borderId="0" xfId="53" applyFont="1" applyFill="1" applyBorder="1" applyAlignment="1">
      <alignment horizontal="center"/>
    </xf>
    <xf numFmtId="0" fontId="36" fillId="0" borderId="0" xfId="53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53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6" fillId="28" borderId="0" xfId="0" applyFont="1" applyFill="1" applyAlignment="1"/>
    <xf numFmtId="42" fontId="36" fillId="28" borderId="0" xfId="29" applyNumberFormat="1" applyFont="1" applyFill="1" applyAlignment="1"/>
    <xf numFmtId="42" fontId="36" fillId="0" borderId="0" xfId="29" applyNumberFormat="1" applyFont="1" applyFill="1" applyAlignment="1"/>
    <xf numFmtId="42" fontId="36" fillId="0" borderId="0" xfId="29" applyNumberFormat="1" applyFont="1" applyFill="1" applyAlignment="1">
      <alignment horizontal="right"/>
    </xf>
    <xf numFmtId="169" fontId="36" fillId="28" borderId="0" xfId="29" applyNumberFormat="1" applyFont="1" applyFill="1" applyAlignment="1"/>
    <xf numFmtId="169" fontId="36" fillId="0" borderId="0" xfId="29" applyNumberFormat="1" applyFont="1" applyFill="1" applyAlignment="1"/>
    <xf numFmtId="169" fontId="36" fillId="0" borderId="0" xfId="29" applyNumberFormat="1" applyFont="1" applyFill="1" applyAlignment="1">
      <alignment horizontal="right"/>
    </xf>
    <xf numFmtId="0" fontId="36" fillId="28" borderId="0" xfId="0" applyFont="1" applyFill="1"/>
    <xf numFmtId="42" fontId="36" fillId="28" borderId="0" xfId="29" applyNumberFormat="1" applyFont="1" applyFill="1"/>
    <xf numFmtId="42" fontId="36" fillId="0" borderId="0" xfId="29" applyNumberFormat="1" applyFont="1"/>
    <xf numFmtId="169" fontId="36" fillId="0" borderId="0" xfId="29" applyNumberFormat="1" applyFont="1"/>
    <xf numFmtId="42" fontId="36" fillId="0" borderId="0" xfId="0" applyNumberFormat="1" applyFont="1"/>
    <xf numFmtId="42" fontId="36" fillId="0" borderId="0" xfId="0" applyNumberFormat="1" applyFont="1" applyFill="1" applyAlignment="1"/>
    <xf numFmtId="0" fontId="36" fillId="0" borderId="0" xfId="0" applyFont="1" applyFill="1" applyAlignment="1">
      <alignment horizontal="right"/>
    </xf>
    <xf numFmtId="0" fontId="36" fillId="0" borderId="0" xfId="0" applyNumberFormat="1" applyFont="1" applyFill="1" applyAlignment="1"/>
    <xf numFmtId="42" fontId="36" fillId="0" borderId="16" xfId="0" applyNumberFormat="1" applyFont="1" applyFill="1" applyBorder="1" applyAlignment="1">
      <alignment horizontal="right"/>
    </xf>
    <xf numFmtId="0" fontId="36" fillId="0" borderId="0" xfId="0" applyNumberFormat="1" applyFont="1" applyFill="1"/>
    <xf numFmtId="0" fontId="36" fillId="28" borderId="0" xfId="0" applyNumberFormat="1" applyFont="1" applyFill="1" applyAlignment="1"/>
    <xf numFmtId="3" fontId="36" fillId="28" borderId="18" xfId="0" applyNumberFormat="1" applyFont="1" applyFill="1" applyBorder="1"/>
    <xf numFmtId="169" fontId="36" fillId="0" borderId="0" xfId="29" applyNumberFormat="1" applyFont="1" applyFill="1" applyBorder="1"/>
    <xf numFmtId="171" fontId="36" fillId="0" borderId="0" xfId="0" applyNumberFormat="1" applyFont="1" applyFill="1"/>
    <xf numFmtId="173" fontId="36" fillId="0" borderId="0" xfId="29" applyNumberFormat="1" applyFont="1" applyFill="1" applyBorder="1"/>
    <xf numFmtId="3" fontId="36" fillId="0" borderId="0" xfId="0" applyNumberFormat="1" applyFont="1" applyFill="1" applyAlignment="1"/>
    <xf numFmtId="3" fontId="36" fillId="0" borderId="0" xfId="0" applyNumberFormat="1" applyFont="1" applyFill="1" applyBorder="1" applyAlignment="1"/>
    <xf numFmtId="169" fontId="36" fillId="0" borderId="17" xfId="29" applyNumberFormat="1" applyFont="1" applyFill="1" applyBorder="1"/>
    <xf numFmtId="172" fontId="36" fillId="0" borderId="16" xfId="31" applyNumberFormat="1" applyFont="1" applyFill="1" applyBorder="1" applyAlignment="1"/>
    <xf numFmtId="172" fontId="36" fillId="0" borderId="16" xfId="0" applyNumberFormat="1" applyFont="1" applyFill="1" applyBorder="1" applyAlignment="1"/>
    <xf numFmtId="170" fontId="36" fillId="28" borderId="0" xfId="0" applyNumberFormat="1" applyFont="1" applyFill="1" applyAlignment="1"/>
    <xf numFmtId="170" fontId="36" fillId="0" borderId="0" xfId="0" applyNumberFormat="1" applyFont="1" applyFill="1" applyAlignment="1"/>
    <xf numFmtId="1" fontId="36" fillId="0" borderId="0" xfId="0" applyNumberFormat="1" applyFont="1" applyFill="1" applyAlignment="1"/>
    <xf numFmtId="172" fontId="37" fillId="0" borderId="16" xfId="0" applyNumberFormat="1" applyFont="1" applyFill="1" applyBorder="1" applyAlignment="1"/>
    <xf numFmtId="0" fontId="40" fillId="0" borderId="0" xfId="0" applyFont="1" applyFill="1" applyAlignment="1"/>
    <xf numFmtId="172" fontId="0" fillId="0" borderId="0" xfId="31" applyNumberFormat="1" applyFont="1"/>
    <xf numFmtId="172" fontId="0" fillId="0" borderId="19" xfId="31" applyNumberFormat="1" applyFont="1" applyBorder="1"/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/>
    <cellStyle name="Currency" xfId="31" builtinId="4"/>
    <cellStyle name="Currency 2" xfId="32"/>
    <cellStyle name="Date" xfId="33"/>
    <cellStyle name="Explanatory Text" xfId="34" builtinId="53" customBuiltin="1"/>
    <cellStyle name="Fixed" xfId="35"/>
    <cellStyle name="Good" xfId="36" builtinId="26" customBuiltin="1"/>
    <cellStyle name="Grey" xfId="37"/>
    <cellStyle name="HEADER" xfId="38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/>
    <cellStyle name="Heading2" xfId="44"/>
    <cellStyle name="HIGHLIGHT" xfId="45"/>
    <cellStyle name="Input" xfId="46" builtinId="20" customBuiltin="1"/>
    <cellStyle name="Input [yellow]" xfId="47"/>
    <cellStyle name="Linked Cell" xfId="48" builtinId="24" customBuiltin="1"/>
    <cellStyle name="Neutral" xfId="49" builtinId="28" customBuiltin="1"/>
    <cellStyle name="no dec" xfId="50"/>
    <cellStyle name="Normal" xfId="0" builtinId="0"/>
    <cellStyle name="Normal - Style1" xfId="51"/>
    <cellStyle name="Normal 2" xfId="52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Output" xfId="57" builtinId="21" customBuiltin="1"/>
    <cellStyle name="Percent [2]" xfId="58"/>
    <cellStyle name="Percent 2" xfId="59"/>
    <cellStyle name="PSChar" xfId="60"/>
    <cellStyle name="PSDate" xfId="61"/>
    <cellStyle name="PSHeading" xfId="62"/>
    <cellStyle name="RangeBelow" xfId="63"/>
    <cellStyle name="SubRoutine" xfId="64"/>
    <cellStyle name="þ(Î'_x000c_ïþ÷_x000c_âþÖ_x0006__x0002_Þ”_x0013__x0007__x0001__x0001_" xfId="65"/>
    <cellStyle name="Title" xfId="66" builtinId="15" customBuiltin="1"/>
    <cellStyle name="Total" xfId="67" builtinId="25" customBuiltin="1"/>
    <cellStyle name="Unprot" xfId="68"/>
    <cellStyle name="Unprot$" xfId="69"/>
    <cellStyle name="Unprotect" xfId="70"/>
    <cellStyle name="Warning Text" xfId="7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zoomScale="80" zoomScaleNormal="80" workbookViewId="0"/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2.88671875" style="1" bestFit="1" customWidth="1"/>
    <col min="6" max="6" width="1.88671875" style="1" customWidth="1"/>
    <col min="7" max="7" width="11.77734375" style="1" bestFit="1" customWidth="1"/>
    <col min="8" max="8" width="1.88671875" style="1" customWidth="1"/>
    <col min="9" max="9" width="11.33203125" style="1" bestFit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50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40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2015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41</v>
      </c>
      <c r="E14" s="20">
        <v>999372.53</v>
      </c>
      <c r="F14" s="21"/>
      <c r="G14" s="20">
        <v>877031.94</v>
      </c>
      <c r="H14" s="21"/>
      <c r="I14" s="22">
        <f>+E14-G14</f>
        <v>122340.59000000008</v>
      </c>
    </row>
    <row r="15" spans="1:10">
      <c r="A15" s="5">
        <f t="shared" si="0"/>
        <v>9</v>
      </c>
      <c r="B15" s="1" t="s">
        <v>3</v>
      </c>
      <c r="D15" s="19" t="s">
        <v>42</v>
      </c>
      <c r="E15" s="23">
        <v>1186492</v>
      </c>
      <c r="F15" s="24"/>
      <c r="G15" s="23">
        <v>1281612.1499999999</v>
      </c>
      <c r="H15" s="24"/>
      <c r="I15" s="25">
        <f t="shared" ref="I15:I21" si="1">+E15-G15</f>
        <v>-95120.149999999907</v>
      </c>
    </row>
    <row r="16" spans="1:10">
      <c r="A16" s="5">
        <f t="shared" si="0"/>
        <v>10</v>
      </c>
      <c r="B16" s="1" t="s">
        <v>6</v>
      </c>
      <c r="D16" s="19" t="s">
        <v>43</v>
      </c>
      <c r="E16" s="23">
        <v>147135</v>
      </c>
      <c r="F16" s="24"/>
      <c r="G16" s="23">
        <v>384261.92</v>
      </c>
      <c r="H16" s="24"/>
      <c r="I16" s="25">
        <f t="shared" si="1"/>
        <v>-237126.91999999998</v>
      </c>
    </row>
    <row r="17" spans="1:9">
      <c r="A17" s="5">
        <f t="shared" si="0"/>
        <v>11</v>
      </c>
      <c r="B17" s="1" t="s">
        <v>4</v>
      </c>
      <c r="D17" s="1" t="s">
        <v>25</v>
      </c>
      <c r="E17" s="21">
        <f>+E14+E15+E16</f>
        <v>2332999.5300000003</v>
      </c>
      <c r="F17" s="21"/>
      <c r="G17" s="21">
        <f>+G14+G15+G16</f>
        <v>2542906.0099999998</v>
      </c>
      <c r="H17" s="21"/>
      <c r="I17" s="22">
        <f t="shared" si="1"/>
        <v>-209906.47999999952</v>
      </c>
    </row>
    <row r="18" spans="1:9">
      <c r="A18" s="5">
        <f t="shared" si="0"/>
        <v>12</v>
      </c>
      <c r="E18" s="24"/>
      <c r="F18" s="24"/>
      <c r="G18" s="24"/>
      <c r="H18" s="24"/>
      <c r="I18" s="25"/>
    </row>
    <row r="19" spans="1:9" ht="17.25">
      <c r="A19" s="5">
        <f t="shared" si="0"/>
        <v>13</v>
      </c>
      <c r="B19" s="2" t="s">
        <v>37</v>
      </c>
      <c r="C19" s="2"/>
      <c r="D19" s="26" t="s">
        <v>44</v>
      </c>
      <c r="E19" s="27">
        <v>650541.46</v>
      </c>
      <c r="F19" s="28"/>
      <c r="G19" s="27">
        <v>690765</v>
      </c>
      <c r="H19" s="21"/>
      <c r="I19" s="22">
        <f t="shared" si="1"/>
        <v>-40223.540000000037</v>
      </c>
    </row>
    <row r="20" spans="1:9">
      <c r="A20" s="5">
        <f t="shared" si="0"/>
        <v>14</v>
      </c>
      <c r="B20" s="2"/>
      <c r="C20" s="2"/>
      <c r="D20" s="2"/>
      <c r="E20" s="29"/>
      <c r="F20" s="29"/>
      <c r="G20" s="24"/>
      <c r="H20" s="24"/>
      <c r="I20" s="25"/>
    </row>
    <row r="21" spans="1:9" ht="17.25">
      <c r="A21" s="5">
        <f t="shared" si="0"/>
        <v>15</v>
      </c>
      <c r="B21" s="2" t="s">
        <v>38</v>
      </c>
      <c r="C21" s="2"/>
      <c r="D21" s="2" t="s">
        <v>26</v>
      </c>
      <c r="E21" s="30">
        <f>+E17-E19</f>
        <v>1682458.0700000003</v>
      </c>
      <c r="F21" s="30"/>
      <c r="G21" s="30">
        <f>+G17-G19</f>
        <v>1852141.0099999998</v>
      </c>
      <c r="H21" s="31"/>
      <c r="I21" s="22">
        <f t="shared" si="1"/>
        <v>-169682.93999999948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2"/>
    </row>
    <row r="23" spans="1:9" ht="17.25">
      <c r="A23" s="5">
        <f t="shared" si="0"/>
        <v>17</v>
      </c>
      <c r="B23" s="3" t="s">
        <v>39</v>
      </c>
      <c r="C23" s="2"/>
      <c r="D23" s="26" t="s">
        <v>45</v>
      </c>
      <c r="E23" s="27">
        <v>81483.69</v>
      </c>
      <c r="F23" s="28"/>
      <c r="G23" s="27">
        <v>98804</v>
      </c>
      <c r="H23" s="31"/>
      <c r="I23" s="22">
        <f>+E23-G23</f>
        <v>-17320.309999999998</v>
      </c>
    </row>
    <row r="24" spans="1:9">
      <c r="A24" s="5">
        <f t="shared" si="0"/>
        <v>18</v>
      </c>
      <c r="E24" s="24"/>
      <c r="F24" s="24"/>
      <c r="G24" s="24"/>
      <c r="I24" s="32"/>
    </row>
    <row r="25" spans="1:9" ht="15.75" thickBot="1">
      <c r="A25" s="5">
        <f t="shared" si="0"/>
        <v>19</v>
      </c>
      <c r="B25" s="33" t="s">
        <v>5</v>
      </c>
      <c r="C25" s="33"/>
      <c r="D25" s="33" t="str">
        <f>"(Line "&amp;A21&amp;" - Line "&amp;A23&amp;")"</f>
        <v>(Line 15 - Line 17)</v>
      </c>
      <c r="E25" s="34">
        <f>E21-E23</f>
        <v>1600974.3800000004</v>
      </c>
      <c r="F25" s="35"/>
      <c r="G25" s="34">
        <f>G21-G23</f>
        <v>1753337.0099999998</v>
      </c>
      <c r="H25" s="35"/>
      <c r="I25" s="34">
        <f>E25-G25</f>
        <v>-152362.62999999942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3" t="s">
        <v>24</v>
      </c>
      <c r="C27" s="33"/>
      <c r="D27" s="36" t="s">
        <v>46</v>
      </c>
      <c r="E27" s="37">
        <v>987683.33333333326</v>
      </c>
      <c r="F27" s="35"/>
      <c r="G27" s="37">
        <v>1002434</v>
      </c>
      <c r="H27" s="35"/>
      <c r="I27" s="38"/>
    </row>
    <row r="28" spans="1:9">
      <c r="A28" s="5">
        <f t="shared" si="0"/>
        <v>22</v>
      </c>
    </row>
    <row r="29" spans="1:9">
      <c r="A29" s="5">
        <f t="shared" si="0"/>
        <v>23</v>
      </c>
      <c r="B29" s="33" t="s">
        <v>0</v>
      </c>
      <c r="C29" s="33"/>
      <c r="D29" s="33"/>
      <c r="E29" s="39"/>
      <c r="G29" s="35">
        <f>ROUND(G25/G27,8)</f>
        <v>1.7490797499999999</v>
      </c>
      <c r="I29" s="40"/>
    </row>
    <row r="30" spans="1:9">
      <c r="A30" s="5">
        <f t="shared" si="0"/>
        <v>24</v>
      </c>
    </row>
    <row r="31" spans="1:9">
      <c r="A31" s="5">
        <f t="shared" si="0"/>
        <v>25</v>
      </c>
      <c r="B31" s="33" t="s">
        <v>1</v>
      </c>
      <c r="C31" s="33"/>
      <c r="D31" s="33"/>
      <c r="I31" s="41">
        <f>E27</f>
        <v>987683.33333333326</v>
      </c>
    </row>
    <row r="32" spans="1:9">
      <c r="A32" s="5">
        <f t="shared" si="0"/>
        <v>26</v>
      </c>
      <c r="B32" s="33" t="s">
        <v>13</v>
      </c>
      <c r="C32" s="33"/>
      <c r="D32" s="33"/>
      <c r="I32" s="42">
        <f>G27</f>
        <v>1002434</v>
      </c>
    </row>
    <row r="33" spans="1:9">
      <c r="A33" s="5">
        <f t="shared" si="0"/>
        <v>27</v>
      </c>
      <c r="B33" s="33" t="s">
        <v>14</v>
      </c>
      <c r="C33" s="33"/>
      <c r="D33" s="33" t="str">
        <f>"(Line "&amp;A32&amp;" - Line "&amp;A31&amp;")"</f>
        <v>(Line 26 - Line 25)</v>
      </c>
      <c r="I33" s="43">
        <f>I32-I31</f>
        <v>14750.666666666744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3">
        <f>G29</f>
        <v>1.7490797499999999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3" t="s">
        <v>18</v>
      </c>
      <c r="C37" s="33"/>
      <c r="D37" s="33" t="str">
        <f>"(Line "&amp;A33&amp;" x Line "&amp;A35&amp;")"</f>
        <v>(Line 27 x Line 29)</v>
      </c>
      <c r="I37" s="44">
        <f>I33*I35</f>
        <v>25800.092365666802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5">
        <f>I37+I25</f>
        <v>-126562.53763433262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6" t="s">
        <v>53</v>
      </c>
      <c r="I41" s="46">
        <f>0.0338/12</f>
        <v>2.8166666666666665E-3</v>
      </c>
    </row>
    <row r="42" spans="1:9">
      <c r="A42" s="5">
        <f t="shared" si="0"/>
        <v>36</v>
      </c>
      <c r="I42" s="47"/>
    </row>
    <row r="43" spans="1:9" ht="14.25" customHeight="1">
      <c r="A43" s="5">
        <f t="shared" si="0"/>
        <v>37</v>
      </c>
      <c r="B43" s="1" t="s">
        <v>16</v>
      </c>
      <c r="G43" s="32"/>
      <c r="I43" s="48">
        <v>24</v>
      </c>
    </row>
    <row r="44" spans="1:9">
      <c r="A44" s="5">
        <f t="shared" si="0"/>
        <v>38</v>
      </c>
      <c r="G44" s="32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2"/>
      <c r="I45" s="31">
        <f>ROUND(I39*I41*I43,0)</f>
        <v>-8556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9">
        <f>I39+I45</f>
        <v>-135118.53763433261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11"/>
  <sheetViews>
    <sheetView workbookViewId="0"/>
  </sheetViews>
  <sheetFormatPr defaultRowHeight="15"/>
  <cols>
    <col min="2" max="2" width="13.5546875" bestFit="1" customWidth="1"/>
  </cols>
  <sheetData>
    <row r="4" spans="2:3">
      <c r="B4" s="51">
        <v>650541.46</v>
      </c>
      <c r="C4" t="s">
        <v>47</v>
      </c>
    </row>
    <row r="5" spans="2:3">
      <c r="B5" s="52">
        <v>348831.07</v>
      </c>
      <c r="C5" t="s">
        <v>48</v>
      </c>
    </row>
    <row r="6" spans="2:3">
      <c r="B6" s="51">
        <f>SUM(B4:B5)</f>
        <v>999372.53</v>
      </c>
      <c r="C6" t="s">
        <v>49</v>
      </c>
    </row>
    <row r="9" spans="2:3">
      <c r="B9" s="51">
        <f>204390.44+10176.07-298975</f>
        <v>-84408.489999999991</v>
      </c>
      <c r="C9" t="s">
        <v>50</v>
      </c>
    </row>
    <row r="10" spans="2:3">
      <c r="B10" s="52">
        <v>81483.69</v>
      </c>
      <c r="C10" t="s">
        <v>51</v>
      </c>
    </row>
    <row r="11" spans="2:3">
      <c r="B11" s="51">
        <f>SUM(B9:B10)</f>
        <v>-2924.7999999999884</v>
      </c>
      <c r="C11" t="s">
        <v>52</v>
      </c>
    </row>
  </sheetData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 TU Adj</vt:lpstr>
      <vt:lpstr>Supporting Schedule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mmcdowell</cp:lastModifiedBy>
  <cp:lastPrinted>2016-05-20T14:50:52Z</cp:lastPrinted>
  <dcterms:created xsi:type="dcterms:W3CDTF">2014-01-09T16:01:56Z</dcterms:created>
  <dcterms:modified xsi:type="dcterms:W3CDTF">2016-05-31T14:18:17Z</dcterms:modified>
</cp:coreProperties>
</file>