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9570" windowHeight="8055" tabRatio="937"/>
  </bookViews>
  <sheets>
    <sheet name="O-GG" sheetId="75" r:id="rId1"/>
    <sheet name="Support for 2011 Correction" sheetId="77" r:id="rId2"/>
    <sheet name="SIGE" sheetId="65" r:id="rId3"/>
    <sheet name="Workpapers (Pages 1 to 5)" sheetId="66" r:id="rId4"/>
    <sheet name="Workpapers (Pages 6 and 7)" sheetId="67" r:id="rId5"/>
    <sheet name="Workpapers (Page 8)" sheetId="68" r:id="rId6"/>
    <sheet name="Workpapers (Page 9)" sheetId="69" r:id="rId7"/>
    <sheet name="Workpapers (Page 10)" sheetId="70" r:id="rId8"/>
    <sheet name="Workpapers (Page 11)" sheetId="71" r:id="rId9"/>
  </sheets>
  <externalReferences>
    <externalReference r:id="rId10"/>
    <externalReference r:id="rId11"/>
    <externalReference r:id="rId12"/>
  </externalReferences>
  <definedNames>
    <definedName name="CUSTAR" localSheetId="1">#REF!</definedName>
    <definedName name="CUSTAR">#REF!</definedName>
    <definedName name="CUYAHOGA_FALLS" localSheetId="1">#REF!</definedName>
    <definedName name="CUYAHOGA_FALLS">#REF!</definedName>
    <definedName name="EDGERTON">#REF!</definedName>
    <definedName name="Ellwood_City">#REF!</definedName>
    <definedName name="ELMORE">#REF!</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UBBARD">#REF!</definedName>
    <definedName name="LODI">#REF!</definedName>
    <definedName name="LUCAS">#REF!</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MBERVILLE">#REF!</definedName>
    <definedName name="PIONEER">#REF!</definedName>
    <definedName name="_xlnm.Print_Area" localSheetId="2">SIGE!$A$1:$L$393</definedName>
    <definedName name="_xlnm.Print_Area" localSheetId="1">#REF!</definedName>
    <definedName name="_xlnm.Print_Area" localSheetId="8">'Workpapers (Page 11)'!$A$1:$C$28</definedName>
    <definedName name="_xlnm.Print_Area" localSheetId="5">'Workpapers (Page 8)'!$A$1:$E$17</definedName>
    <definedName name="_xlnm.Print_Area" localSheetId="4">'Workpapers (Pages 6 and 7)'!$A$1:$G$73</definedName>
    <definedName name="_xlnm.Print_Area">#REF!</definedName>
    <definedName name="PROSPECT" localSheetId="1">#REF!</definedName>
    <definedName name="PROSPECT">#REF!</definedName>
    <definedName name="revreq" localSheetId="1">#REF!</definedName>
    <definedName name="revreq">#REF!</definedName>
    <definedName name="SEVILLE">#REF!</definedName>
    <definedName name="SOUTH_VIENNA">#REF!</definedName>
    <definedName name="TOTAL_COLUMBIANA">#REF!</definedName>
    <definedName name="Total_Grove_City">#REF!</definedName>
    <definedName name="TOTAL_HUDSON">#REF!</definedName>
    <definedName name="TOTAL_MONTPELIER">#REF!</definedName>
    <definedName name="TOTAL_WOODVILLE">#REF!</definedName>
    <definedName name="WADSWORTH">#REF!</definedName>
  </definedNames>
  <calcPr calcId="145621"/>
</workbook>
</file>

<file path=xl/calcChain.xml><?xml version="1.0" encoding="utf-8"?>
<calcChain xmlns="http://schemas.openxmlformats.org/spreadsheetml/2006/main">
  <c r="E218" i="65" l="1"/>
  <c r="C40" i="77" l="1"/>
  <c r="C41" i="77"/>
  <c r="D41" i="77" s="1"/>
  <c r="C42" i="77"/>
  <c r="C43" i="77"/>
  <c r="C39" i="77"/>
  <c r="D39" i="77" s="1"/>
  <c r="D43" i="77"/>
  <c r="D42" i="77"/>
  <c r="D40" i="77"/>
  <c r="B42" i="77"/>
  <c r="B40" i="77"/>
  <c r="B39" i="77"/>
  <c r="F43" i="77" l="1"/>
  <c r="D44" i="77"/>
  <c r="E43" i="77"/>
  <c r="E41" i="77"/>
  <c r="D16" i="77"/>
  <c r="B16" i="77"/>
  <c r="C15" i="77" s="1"/>
  <c r="D15" i="77" s="1"/>
  <c r="E15" i="77"/>
  <c r="E14" i="77"/>
  <c r="E42" i="77" s="1"/>
  <c r="E13" i="77"/>
  <c r="E12" i="77"/>
  <c r="E40" i="77" s="1"/>
  <c r="F40" i="77" s="1"/>
  <c r="E11" i="77"/>
  <c r="E39" i="77" s="1"/>
  <c r="F39" i="77" s="1"/>
  <c r="B44" i="77" l="1"/>
  <c r="F42" i="77"/>
  <c r="F15" i="77"/>
  <c r="E44" i="77"/>
  <c r="F41" i="77"/>
  <c r="E16" i="77"/>
  <c r="C14" i="77"/>
  <c r="D14" i="77" s="1"/>
  <c r="F14" i="77" s="1"/>
  <c r="C12" i="77"/>
  <c r="D12" i="77" s="1"/>
  <c r="F12" i="77" s="1"/>
  <c r="C11" i="77"/>
  <c r="D11" i="77" s="1"/>
  <c r="F11" i="77" s="1"/>
  <c r="C13" i="77"/>
  <c r="D13" i="77" s="1"/>
  <c r="F13" i="77" s="1"/>
  <c r="F16" i="77" l="1"/>
  <c r="F44" i="77"/>
  <c r="F46" i="77" l="1"/>
  <c r="F18" i="77"/>
  <c r="E46" i="77" l="1"/>
  <c r="E47" i="77" s="1"/>
  <c r="G42" i="77"/>
  <c r="H42" i="77" s="1"/>
  <c r="G41" i="77"/>
  <c r="G40" i="77"/>
  <c r="G39" i="77"/>
  <c r="G43" i="77"/>
  <c r="H40" i="77"/>
  <c r="H50" i="77" s="1"/>
  <c r="H42" i="75" s="1"/>
  <c r="H43" i="77"/>
  <c r="H41" i="77"/>
  <c r="H51" i="77" s="1"/>
  <c r="H43" i="75" s="1"/>
  <c r="F47" i="77"/>
  <c r="E18" i="77"/>
  <c r="E19" i="77" s="1"/>
  <c r="G13" i="77"/>
  <c r="H13" i="77" s="1"/>
  <c r="G11" i="77"/>
  <c r="G12" i="77"/>
  <c r="H12" i="77" s="1"/>
  <c r="F19" i="77"/>
  <c r="G14" i="77"/>
  <c r="H14" i="77" s="1"/>
  <c r="G15" i="77"/>
  <c r="H15" i="77" s="1"/>
  <c r="H53" i="77" l="1"/>
  <c r="H52" i="77"/>
  <c r="H44" i="75" s="1"/>
  <c r="G44" i="77"/>
  <c r="H39" i="77"/>
  <c r="G16" i="77"/>
  <c r="H11" i="77"/>
  <c r="H16" i="77" s="1"/>
  <c r="H44" i="77" l="1"/>
  <c r="H54" i="77" s="1"/>
  <c r="H49" i="77"/>
  <c r="H41" i="75" s="1"/>
  <c r="H46" i="75" l="1"/>
  <c r="F48" i="75" s="1"/>
  <c r="E48" i="75" s="1"/>
  <c r="B44" i="75" l="1"/>
  <c r="F68" i="67" l="1"/>
  <c r="F69" i="67" s="1"/>
  <c r="E67" i="67"/>
  <c r="E66" i="67"/>
  <c r="E69" i="67" s="1"/>
  <c r="G113" i="66" l="1"/>
  <c r="G115" i="66"/>
  <c r="F115" i="66"/>
  <c r="E115" i="66"/>
  <c r="F101" i="66"/>
  <c r="G101" i="66" s="1"/>
  <c r="F88" i="66" l="1"/>
  <c r="E50" i="75" l="1"/>
  <c r="C12" i="71" l="1"/>
  <c r="F71" i="67" l="1"/>
  <c r="F11" i="66" l="1"/>
  <c r="C11" i="66"/>
  <c r="F32" i="66"/>
  <c r="C32" i="66"/>
  <c r="F35" i="66"/>
  <c r="C35" i="66"/>
  <c r="F14" i="66"/>
  <c r="C14" i="66"/>
  <c r="C38" i="66"/>
  <c r="F38" i="66"/>
  <c r="F17" i="66"/>
  <c r="C17" i="66"/>
  <c r="B11" i="75" l="1"/>
  <c r="C23" i="71" l="1"/>
  <c r="B46" i="75"/>
  <c r="C45" i="75" s="1"/>
  <c r="D45" i="75" s="1"/>
  <c r="C27" i="75"/>
  <c r="C13" i="75"/>
  <c r="C41" i="75" l="1"/>
  <c r="D41" i="75" s="1"/>
  <c r="C42" i="75"/>
  <c r="D42" i="75" s="1"/>
  <c r="C43" i="75"/>
  <c r="D43" i="75" s="1"/>
  <c r="C44" i="75"/>
  <c r="D44" i="75" s="1"/>
  <c r="E8" i="69" l="1"/>
  <c r="G21" i="69" s="1"/>
  <c r="E16" i="69"/>
  <c r="E23" i="69" s="1"/>
  <c r="E21" i="69"/>
  <c r="H22" i="69"/>
  <c r="E24" i="69" l="1"/>
  <c r="F21" i="69" s="1"/>
  <c r="H21" i="69" s="1"/>
  <c r="F23" i="69" l="1"/>
  <c r="H23" i="69" l="1"/>
  <c r="H24" i="69" s="1"/>
  <c r="F24" i="69"/>
  <c r="E290" i="65" l="1"/>
  <c r="J279" i="65"/>
  <c r="J284" i="65"/>
  <c r="J256" i="65"/>
  <c r="E170" i="65"/>
  <c r="J170" i="65" s="1"/>
  <c r="E265" i="65"/>
  <c r="H265" i="65" s="1"/>
  <c r="E266" i="65"/>
  <c r="E267" i="65"/>
  <c r="H267" i="65" s="1"/>
  <c r="E268" i="65"/>
  <c r="H268" i="65" s="1"/>
  <c r="E174" i="65"/>
  <c r="E273" i="65"/>
  <c r="E274" i="65"/>
  <c r="E205" i="65"/>
  <c r="D43" i="66"/>
  <c r="E100" i="65" s="1"/>
  <c r="C53" i="66"/>
  <c r="C54" i="66" s="1"/>
  <c r="D22" i="66"/>
  <c r="G381" i="65"/>
  <c r="G383" i="65" s="1"/>
  <c r="C21" i="71"/>
  <c r="C22" i="71"/>
  <c r="C24" i="71"/>
  <c r="D21" i="70"/>
  <c r="D22" i="70" s="1"/>
  <c r="D23" i="70" s="1"/>
  <c r="E17" i="68"/>
  <c r="E71" i="67"/>
  <c r="E192" i="65" s="1"/>
  <c r="E184" i="65"/>
  <c r="E183" i="65"/>
  <c r="E181" i="65"/>
  <c r="E54" i="67"/>
  <c r="E172" i="65" s="1"/>
  <c r="E26" i="67"/>
  <c r="E16" i="67"/>
  <c r="C174" i="66"/>
  <c r="E132" i="65" s="1"/>
  <c r="C142" i="66"/>
  <c r="D142" i="66"/>
  <c r="C113" i="66"/>
  <c r="C115" i="66" s="1"/>
  <c r="E127" i="65" s="1"/>
  <c r="G90" i="66"/>
  <c r="F90" i="66"/>
  <c r="E122" i="65" s="1"/>
  <c r="E90" i="66"/>
  <c r="E121" i="65" s="1"/>
  <c r="D90" i="66"/>
  <c r="E120" i="65" s="1"/>
  <c r="C90" i="66"/>
  <c r="D66" i="66"/>
  <c r="G43" i="66"/>
  <c r="E103" i="65" s="1"/>
  <c r="F43" i="66"/>
  <c r="E102" i="65" s="1"/>
  <c r="E43" i="66"/>
  <c r="E101" i="65" s="1"/>
  <c r="C43" i="66"/>
  <c r="E99" i="65" s="1"/>
  <c r="G22" i="66"/>
  <c r="F22" i="66"/>
  <c r="E22" i="66"/>
  <c r="C22" i="66"/>
  <c r="J222" i="65"/>
  <c r="J285" i="65"/>
  <c r="J287" i="65" s="1"/>
  <c r="E292" i="65" s="1"/>
  <c r="H291" i="65"/>
  <c r="J177" i="65"/>
  <c r="J124" i="65"/>
  <c r="E200" i="65"/>
  <c r="E204" i="65" s="1"/>
  <c r="E208" i="65" s="1"/>
  <c r="J182" i="65"/>
  <c r="E14" i="65"/>
  <c r="E318" i="65"/>
  <c r="J315" i="65"/>
  <c r="J301" i="65"/>
  <c r="N258" i="65"/>
  <c r="N263" i="65"/>
  <c r="J272" i="65"/>
  <c r="E241" i="65"/>
  <c r="J238" i="65"/>
  <c r="G194" i="65"/>
  <c r="D194" i="65"/>
  <c r="G99" i="65"/>
  <c r="G119" i="65" s="1"/>
  <c r="G193" i="65" s="1"/>
  <c r="G190" i="65"/>
  <c r="D190" i="65"/>
  <c r="C184" i="65"/>
  <c r="C181" i="65"/>
  <c r="D176" i="65"/>
  <c r="G175" i="65"/>
  <c r="G173" i="65"/>
  <c r="G174" i="65" s="1"/>
  <c r="E162" i="65"/>
  <c r="J159" i="65"/>
  <c r="G100" i="65"/>
  <c r="G127" i="65" s="1"/>
  <c r="G122" i="65"/>
  <c r="C103" i="65"/>
  <c r="C111" i="65" s="1"/>
  <c r="C102" i="65"/>
  <c r="C110" i="65"/>
  <c r="C101" i="65"/>
  <c r="C109" i="65" s="1"/>
  <c r="C100" i="65"/>
  <c r="C108" i="65"/>
  <c r="C99" i="65"/>
  <c r="C107" i="65" s="1"/>
  <c r="G103" i="65"/>
  <c r="G102" i="65"/>
  <c r="H101" i="65"/>
  <c r="G101" i="65"/>
  <c r="H99" i="65"/>
  <c r="E84" i="65"/>
  <c r="J81" i="65"/>
  <c r="J50" i="65"/>
  <c r="J49" i="65"/>
  <c r="G15" i="65"/>
  <c r="G16" i="65"/>
  <c r="G17" i="65" s="1"/>
  <c r="N264" i="65" l="1"/>
  <c r="E276" i="65"/>
  <c r="H274" i="65" s="1"/>
  <c r="E293" i="65"/>
  <c r="F290" i="65" s="1"/>
  <c r="J30" i="65"/>
  <c r="J37" i="65" s="1"/>
  <c r="C17" i="75"/>
  <c r="E93" i="65"/>
  <c r="E109" i="65" s="1"/>
  <c r="E95" i="65"/>
  <c r="E111" i="65" s="1"/>
  <c r="E91" i="65"/>
  <c r="E107" i="65" s="1"/>
  <c r="E94" i="65"/>
  <c r="E92" i="65"/>
  <c r="E108" i="65" s="1"/>
  <c r="E185" i="65"/>
  <c r="E269" i="65"/>
  <c r="E142" i="66"/>
  <c r="E131" i="65" s="1"/>
  <c r="H290" i="65"/>
  <c r="E28" i="67"/>
  <c r="C55" i="66"/>
  <c r="C56" i="66" s="1"/>
  <c r="C57" i="66" s="1"/>
  <c r="C58" i="66" s="1"/>
  <c r="C59" i="66" s="1"/>
  <c r="C60" i="66" s="1"/>
  <c r="C61" i="66" s="1"/>
  <c r="E104" i="65"/>
  <c r="E110" i="65"/>
  <c r="J307" i="65"/>
  <c r="E125" i="65"/>
  <c r="F292" i="65"/>
  <c r="J292" i="65" s="1"/>
  <c r="F291" i="65"/>
  <c r="J291" i="65" s="1"/>
  <c r="J246" i="65" l="1"/>
  <c r="J249" i="65" s="1"/>
  <c r="J251" i="65" s="1"/>
  <c r="J260" i="65" s="1"/>
  <c r="E96" i="65"/>
  <c r="C19" i="75"/>
  <c r="C21" i="75" s="1"/>
  <c r="J290" i="65"/>
  <c r="J293" i="65" s="1"/>
  <c r="E169" i="65"/>
  <c r="J255" i="65" s="1"/>
  <c r="J257" i="65" s="1"/>
  <c r="J259" i="65" s="1"/>
  <c r="E112" i="65"/>
  <c r="C66" i="66"/>
  <c r="E114" i="65" s="1"/>
  <c r="J261" i="65" l="1"/>
  <c r="H131" i="65" s="1"/>
  <c r="J131" i="65" s="1"/>
  <c r="H14" i="65"/>
  <c r="H15" i="65" s="1"/>
  <c r="H16" i="65" s="1"/>
  <c r="H92" i="65"/>
  <c r="F266" i="65"/>
  <c r="H266" i="65" s="1"/>
  <c r="H269" i="65" s="1"/>
  <c r="J269" i="65" s="1"/>
  <c r="H94" i="65" s="1"/>
  <c r="E178" i="65"/>
  <c r="E130" i="65" s="1"/>
  <c r="E133" i="65" s="1"/>
  <c r="E135" i="65" s="1"/>
  <c r="E211" i="65" s="1"/>
  <c r="H169" i="65"/>
  <c r="E201" i="65"/>
  <c r="J14" i="65" l="1"/>
  <c r="H100" i="65"/>
  <c r="J92" i="65"/>
  <c r="J274" i="65"/>
  <c r="L274" i="65" s="1"/>
  <c r="H95" i="65" s="1"/>
  <c r="H103" i="65" s="1"/>
  <c r="H176" i="65" s="1"/>
  <c r="J94" i="65"/>
  <c r="H102" i="65"/>
  <c r="H172" i="65" s="1"/>
  <c r="H175" i="65"/>
  <c r="J175" i="65" s="1"/>
  <c r="J169" i="65"/>
  <c r="H171" i="65"/>
  <c r="J171" i="65" s="1"/>
  <c r="J16" i="65"/>
  <c r="H17" i="65"/>
  <c r="J17" i="65" s="1"/>
  <c r="E207" i="65"/>
  <c r="E209" i="65" s="1"/>
  <c r="H127" i="65" l="1"/>
  <c r="J100" i="65"/>
  <c r="J108" i="65" s="1"/>
  <c r="J103" i="65"/>
  <c r="J102" i="65"/>
  <c r="J110" i="65" s="1"/>
  <c r="J95" i="65"/>
  <c r="J96" i="65" s="1"/>
  <c r="H96" i="65" s="1"/>
  <c r="H132" i="65" s="1"/>
  <c r="J132" i="65" s="1"/>
  <c r="H184" i="65"/>
  <c r="J184" i="65" s="1"/>
  <c r="J176" i="65"/>
  <c r="H173" i="65"/>
  <c r="J172" i="65"/>
  <c r="H183" i="65"/>
  <c r="H114" i="65" l="1"/>
  <c r="J114" i="65" s="1"/>
  <c r="H181" i="65"/>
  <c r="J181" i="65" s="1"/>
  <c r="J127" i="65"/>
  <c r="J104" i="65"/>
  <c r="J111" i="65"/>
  <c r="J112" i="65" s="1"/>
  <c r="H112" i="65" s="1"/>
  <c r="H208" i="65" s="1"/>
  <c r="J208" i="65" s="1"/>
  <c r="H192" i="65"/>
  <c r="H189" i="65"/>
  <c r="J183" i="65"/>
  <c r="H174" i="65"/>
  <c r="J174" i="65" s="1"/>
  <c r="J173" i="65"/>
  <c r="H120" i="65" l="1"/>
  <c r="J120" i="65" s="1"/>
  <c r="H195" i="65"/>
  <c r="J195" i="65" s="1"/>
  <c r="J192" i="65"/>
  <c r="H194" i="65"/>
  <c r="J194" i="65" s="1"/>
  <c r="J178" i="65"/>
  <c r="J185" i="65"/>
  <c r="J189" i="65"/>
  <c r="H190" i="65"/>
  <c r="J190" i="65" s="1"/>
  <c r="H121" i="65" l="1"/>
  <c r="H122" i="65" s="1"/>
  <c r="J122" i="65" s="1"/>
  <c r="J130" i="65"/>
  <c r="J133" i="65" s="1"/>
  <c r="J196" i="65"/>
  <c r="H123" i="65" l="1"/>
  <c r="J123" i="65" s="1"/>
  <c r="J121" i="65"/>
  <c r="J125" i="65" l="1"/>
  <c r="J135" i="65" l="1"/>
  <c r="J211" i="65" s="1"/>
  <c r="J207" i="65" l="1"/>
  <c r="J209" i="65" s="1"/>
  <c r="E44" i="75" l="1"/>
  <c r="F44" i="75" s="1"/>
  <c r="E45" i="75"/>
  <c r="J214" i="65"/>
  <c r="E43" i="75" l="1"/>
  <c r="F43" i="75" s="1"/>
  <c r="F45" i="75" l="1"/>
  <c r="E42" i="75"/>
  <c r="F42" i="75" s="1"/>
  <c r="E41" i="75" l="1"/>
  <c r="F41" i="75" s="1"/>
  <c r="E46" i="75" l="1"/>
  <c r="F46" i="75" l="1"/>
  <c r="I45" i="75" l="1"/>
  <c r="I43" i="75"/>
  <c r="I41" i="75"/>
  <c r="I44" i="75"/>
  <c r="I42" i="75"/>
  <c r="F49" i="75"/>
  <c r="F51" i="75" s="1"/>
  <c r="J218" i="65"/>
  <c r="B8" i="75" s="1"/>
  <c r="G44" i="75" l="1"/>
  <c r="J44" i="75" s="1"/>
  <c r="G43" i="75"/>
  <c r="J43" i="75" s="1"/>
  <c r="E49" i="75"/>
  <c r="E51" i="75" s="1"/>
  <c r="G41" i="75"/>
  <c r="J41" i="75" s="1"/>
  <c r="G42" i="75"/>
  <c r="J42" i="75" s="1"/>
  <c r="G45" i="75"/>
  <c r="J45" i="75" s="1"/>
  <c r="J223" i="65"/>
  <c r="J10" i="65" s="1"/>
  <c r="G46" i="75" l="1"/>
  <c r="I46" i="75"/>
  <c r="J46" i="75"/>
  <c r="C26" i="71"/>
  <c r="J308" i="65" s="1"/>
  <c r="J306" i="65" l="1"/>
  <c r="J310" i="65" s="1"/>
  <c r="C19" i="71"/>
  <c r="C28" i="71" s="1"/>
  <c r="E15" i="65" l="1"/>
  <c r="J15" i="65" s="1"/>
  <c r="J18" i="65" l="1"/>
  <c r="J26" i="65" s="1"/>
  <c r="E39" i="65" l="1"/>
  <c r="E44" i="65" s="1"/>
  <c r="E45" i="65" s="1"/>
  <c r="E46" i="65" s="1"/>
  <c r="B7" i="75"/>
  <c r="C9" i="75" s="1"/>
  <c r="E40" i="65" l="1"/>
  <c r="J44" i="65"/>
  <c r="J45" i="65" s="1"/>
  <c r="J46" i="65" s="1"/>
  <c r="C15" i="75"/>
  <c r="C23" i="75" s="1"/>
  <c r="C28" i="75" l="1"/>
  <c r="C30" i="75" s="1"/>
  <c r="C34" i="75" l="1"/>
  <c r="E193" i="65"/>
  <c r="E196" i="65"/>
  <c r="E214" i="65" s="1"/>
  <c r="E223" i="65" s="1"/>
</calcChain>
</file>

<file path=xl/sharedStrings.xml><?xml version="1.0" encoding="utf-8"?>
<sst xmlns="http://schemas.openxmlformats.org/spreadsheetml/2006/main" count="854" uniqueCount="616">
  <si>
    <t xml:space="preserve">  Revenues from service provided by the ISO at a discount</t>
  </si>
  <si>
    <t>216.b</t>
  </si>
  <si>
    <t xml:space="preserve">                           References to data from FERC Form 1 are indicated as:   #.y.x  (page, line, column)</t>
  </si>
  <si>
    <t>Long Term Interest (117, sum of 62.c through 67.c)</t>
  </si>
  <si>
    <t>Less Account 216.1 (112.12.c)  (enter negative)</t>
  </si>
  <si>
    <t>(3)</t>
  </si>
  <si>
    <t>(4)</t>
  </si>
  <si>
    <t>(5)</t>
  </si>
  <si>
    <t>Transmission</t>
  </si>
  <si>
    <t>Page, Line, Col.</t>
  </si>
  <si>
    <t>Company Total</t>
  </si>
  <si>
    <t xml:space="preserve">                  Allocator</t>
  </si>
  <si>
    <t>(Col 3 times Col 4)</t>
  </si>
  <si>
    <t xml:space="preserve">  Transmission</t>
  </si>
  <si>
    <t>TP</t>
  </si>
  <si>
    <t>TRANSMISSION PLANT INCLUDED IN ISO RATES</t>
  </si>
  <si>
    <t>TP=</t>
  </si>
  <si>
    <t xml:space="preserve">TRANSMISSION EXPENSES </t>
  </si>
  <si>
    <t>Note</t>
  </si>
  <si>
    <t>Letter</t>
  </si>
  <si>
    <t>A</t>
  </si>
  <si>
    <t>B</t>
  </si>
  <si>
    <t xml:space="preserve">  Plus Contract Demand of firm P-T-P over one year</t>
  </si>
  <si>
    <t>Identified in Form 1 as being only transmission related.</t>
  </si>
  <si>
    <t>Line 5 - EPRI Annual Membership Dues listed in Form 1 at 353.f, all Regulatory Commission Expenses itemized at 351.h, and non-safety</t>
  </si>
  <si>
    <t>U</t>
  </si>
  <si>
    <t>TOTAL ADJUSTMENTS  (sum lines 19- 23a)</t>
  </si>
  <si>
    <t>%</t>
  </si>
  <si>
    <t>263.i</t>
  </si>
  <si>
    <t>18a</t>
  </si>
  <si>
    <t xml:space="preserve">                                          Development of Common Stock:</t>
  </si>
  <si>
    <t xml:space="preserve">Less Preferred Stock (line 28) </t>
  </si>
  <si>
    <t>Common Stock</t>
  </si>
  <si>
    <t>(sum lines 23-25)</t>
  </si>
  <si>
    <t xml:space="preserve">  Common Stock  (line 26)</t>
  </si>
  <si>
    <t>Total  (sum lines 27-29)</t>
  </si>
  <si>
    <t>(310-311)</t>
  </si>
  <si>
    <t xml:space="preserve">  a. Bundled Non-RQ Sales for Resale (311.x.h)</t>
  </si>
  <si>
    <t>205.5.g &amp; 207.99.g</t>
  </si>
  <si>
    <t>321.112.b</t>
  </si>
  <si>
    <t>321.96.b</t>
  </si>
  <si>
    <t>323.197.b</t>
  </si>
  <si>
    <t>C</t>
  </si>
  <si>
    <t>D</t>
  </si>
  <si>
    <t>E</t>
  </si>
  <si>
    <t>Proprietary Capital (112.16.c)</t>
  </si>
  <si>
    <t xml:space="preserve">  Prepayments are the electric related prepayments booked to Account No. 165 and reported on Page 111 line 57 in the Form 1.</t>
  </si>
  <si>
    <t>Removes transmission plant determined by Commission order to be state-jurisdictional according to the seven-factor test (until Form 1</t>
  </si>
  <si>
    <t>Acct 561.1 - 561.3, 561.BA included in Line 7</t>
  </si>
  <si>
    <t>Acct 561.1 - 561.3 available for Schedule 1</t>
  </si>
  <si>
    <t>Revenue Credits for Sched 1 Acct 561.1 - 561.3</t>
  </si>
  <si>
    <t>Net Schedule 1 Expenses (Acct 561.1-561.3 minus Credits)</t>
  </si>
  <si>
    <t xml:space="preserve">                SUPPORTING CALCULATIONS AND NOTES</t>
  </si>
  <si>
    <t>Includes only FICA, unemployment, highway, property, gross receipts, and other assessments charged in the current year.</t>
  </si>
  <si>
    <t>I</t>
  </si>
  <si>
    <t>J</t>
  </si>
  <si>
    <t xml:space="preserve">  chose to utilize amortization of tax credits against taxable income as discussed in Note K.  Account 281 is not allocated.</t>
  </si>
  <si>
    <t>TOTAL REVENUE CREDITS  (sum lines 2-5)</t>
  </si>
  <si>
    <t xml:space="preserve">     Less EPRI &amp; Reg. Comm. Exp. &amp; Non-safety  Ad. (Note I)</t>
  </si>
  <si>
    <t xml:space="preserve">     Plus Transmission Related Reg. Comm.  Exp. (Note I)</t>
  </si>
  <si>
    <t>336.7.b</t>
  </si>
  <si>
    <t xml:space="preserve">  [ Rate Base (page 2, line 30) * Rate of Return (page 4, line 30)]</t>
  </si>
  <si>
    <t>REV. REQUIREMENT  (sum lines 8, 12, 20, 27, 28)</t>
  </si>
  <si>
    <t>page 4 of 5</t>
  </si>
  <si>
    <t>Included transmission expenses (line 6 less line 7)</t>
  </si>
  <si>
    <t>Form 1 Reference</t>
  </si>
  <si>
    <t>354.20.b</t>
  </si>
  <si>
    <t xml:space="preserve">  Total  (sum lines 12-15)</t>
  </si>
  <si>
    <t>WS</t>
  </si>
  <si>
    <t>200.3.c</t>
  </si>
  <si>
    <t>(line 16 / 12)</t>
  </si>
  <si>
    <t>TOTAL ACCUM. DEPRECIATION (sum lines 7-11)</t>
  </si>
  <si>
    <t xml:space="preserve"> (line 1- line 7)</t>
  </si>
  <si>
    <t xml:space="preserve"> (line 2- line 8)</t>
  </si>
  <si>
    <t xml:space="preserve"> (line 3 - line 9)</t>
  </si>
  <si>
    <t xml:space="preserve"> (line 4 - line 10)</t>
  </si>
  <si>
    <t xml:space="preserve"> (line 5 - line 11)</t>
  </si>
  <si>
    <t>TOTAL NET PLANT (sum lines 13-17)</t>
  </si>
  <si>
    <t>NP=</t>
  </si>
  <si>
    <t xml:space="preserve">  Account No. 282 (enter negative)</t>
  </si>
  <si>
    <t>NP</t>
  </si>
  <si>
    <t xml:space="preserve">  Account No. 283 (enter negative)</t>
  </si>
  <si>
    <t xml:space="preserve">  Account No. 255 (enter negative)</t>
  </si>
  <si>
    <t>TOTAL WORKING CAPITAL (sum lines 26 - 28)</t>
  </si>
  <si>
    <t>DEPRECIATION EXPENSE</t>
  </si>
  <si>
    <t>TOTAL DEPRECIATION (Sum lines 9 - 11)</t>
  </si>
  <si>
    <t xml:space="preserve">  balances are adjusted to reflect application of seven-factor test).</t>
  </si>
  <si>
    <t>K</t>
  </si>
  <si>
    <t>L</t>
  </si>
  <si>
    <t>M</t>
  </si>
  <si>
    <t>N</t>
  </si>
  <si>
    <t>Line 33 must equal zero since all short-term power sales must be unbundled and the transmission component reflected in Account</t>
  </si>
  <si>
    <t>O</t>
  </si>
  <si>
    <t>Cash Working Capital assigned to transmission is one-eighth of O&amp;M allocated to transmission at page 3, line 8, column 5.</t>
  </si>
  <si>
    <t>WAGES &amp; SALARY ALLOCATOR   (W&amp;S)</t>
  </si>
  <si>
    <t>COMMON PLANT ALLOCATOR  (CE)   (Note O)</t>
  </si>
  <si>
    <t>(line 17 / line 20)</t>
  </si>
  <si>
    <t>(line 16)</t>
  </si>
  <si>
    <t>RETURN (R)</t>
  </si>
  <si>
    <t>Cost</t>
  </si>
  <si>
    <t>(Note P)</t>
  </si>
  <si>
    <t>Weighted</t>
  </si>
  <si>
    <t>=WCLTD</t>
  </si>
  <si>
    <t>=R</t>
  </si>
  <si>
    <t>ACCOUNT 454 (RENT FROM ELECTRIC PROPERTY)    (Note R)</t>
  </si>
  <si>
    <t xml:space="preserve">  elected to utilize amortization of tax credits against taxable income, rather than book tax credits to Account No. 255 and reduce </t>
  </si>
  <si>
    <t xml:space="preserve">  multiplied by (1/1-T) (page 3, line 26).</t>
  </si>
  <si>
    <t xml:space="preserve">         Inputs Required:</t>
  </si>
  <si>
    <t>FIT =</t>
  </si>
  <si>
    <t>SIT=</t>
  </si>
  <si>
    <t>transactions &lt;1 yr</t>
  </si>
  <si>
    <t>Percentage of transmission expenses after adjustment (line 8 divided by line 6)</t>
  </si>
  <si>
    <t>non-firm</t>
  </si>
  <si>
    <t>Percentage of transmission plant included in ISO Rates (line 5)</t>
  </si>
  <si>
    <t>transactions w/ load not in divisor</t>
  </si>
  <si>
    <t>Percentage of transmission expenses included in ISO Rates (line 9 times line 10)</t>
  </si>
  <si>
    <t>total Revenue Credits</t>
  </si>
  <si>
    <t>Total transmission expenses    (page 3, line 1, column 3)</t>
  </si>
  <si>
    <t>Less transmission expenses included in OATT Ancillary Services   (Note L)</t>
  </si>
  <si>
    <t>267.8.h</t>
  </si>
  <si>
    <t>23a</t>
  </si>
  <si>
    <t xml:space="preserve">       and FIT, SIT &amp; p are as given in footnote K.</t>
  </si>
  <si>
    <t xml:space="preserve">      1 / (1 - T)  = (from line 21)</t>
  </si>
  <si>
    <t>Amortized Investment Tax Credit (266.8f) (enter negative)</t>
  </si>
  <si>
    <t>Income Tax Calculation = line 22 * line 28</t>
  </si>
  <si>
    <t>ITC adjustment (line 23 * line 24)</t>
  </si>
  <si>
    <t xml:space="preserve">  step-up facilities, which are deemed to included in OATT ancillary services.  For these purposes, generation step-up</t>
  </si>
  <si>
    <t xml:space="preserve">  Other</t>
  </si>
  <si>
    <t>($ / Allocation)</t>
  </si>
  <si>
    <t>=</t>
  </si>
  <si>
    <t>% Electric</t>
  </si>
  <si>
    <t xml:space="preserve">  Electric</t>
  </si>
  <si>
    <t xml:space="preserve">  Gas</t>
  </si>
  <si>
    <t>*</t>
  </si>
  <si>
    <t xml:space="preserve">  Water</t>
  </si>
  <si>
    <t>REVENUE CREDITS</t>
  </si>
  <si>
    <t>Load</t>
  </si>
  <si>
    <t>ACCOUNT 447 (SALES FOR RESALE)</t>
  </si>
  <si>
    <t xml:space="preserve">  Total of (a)-(b)</t>
  </si>
  <si>
    <t xml:space="preserve">  a. Transmission charges for all transmission transactions </t>
  </si>
  <si>
    <t xml:space="preserve">     Less LSE Expenses included in Transmission O&amp;M Accounts (Note V)</t>
  </si>
  <si>
    <t xml:space="preserve">  Average of 12 coincident system peaks for requirements (RQ) service       </t>
  </si>
  <si>
    <t>(Note A)</t>
  </si>
  <si>
    <t>(Note B)</t>
  </si>
  <si>
    <t>(Note C)</t>
  </si>
  <si>
    <t xml:space="preserve">  Less 12 CP of firm P-T-P over one year (enter negative)</t>
  </si>
  <si>
    <t>(Note D)</t>
  </si>
  <si>
    <t>201.3.d</t>
  </si>
  <si>
    <t>201.3.e</t>
  </si>
  <si>
    <t>Annual Cost ($/kW/Yr)</t>
  </si>
  <si>
    <t xml:space="preserve">Network &amp; P-to-P Rate ($/kW/Mo) </t>
  </si>
  <si>
    <t>Peak Rate</t>
  </si>
  <si>
    <t>Off-Peak Rate</t>
  </si>
  <si>
    <t>Point-To-Point Rate ($/kW/Wk)</t>
  </si>
  <si>
    <t>Point-To-Point Rate ($/kW/Day)</t>
  </si>
  <si>
    <t>Capped at weekly rate</t>
  </si>
  <si>
    <t>Point-To-Point Rate ($/MWh)</t>
  </si>
  <si>
    <t>Capped at weekly</t>
  </si>
  <si>
    <t xml:space="preserve"> times 1,000)</t>
  </si>
  <si>
    <t>and daily rates</t>
  </si>
  <si>
    <t>(1)</t>
  </si>
  <si>
    <t>(2)</t>
  </si>
  <si>
    <t>TAXES OTHER THAN INCOME TAXES  (Note J)</t>
  </si>
  <si>
    <t xml:space="preserve">  </t>
  </si>
  <si>
    <t xml:space="preserve">  Preferred Stock  ( 112.3.c)</t>
  </si>
  <si>
    <t>Line 34 should be supported by notes in Form 1 or detailed Schedule</t>
  </si>
  <si>
    <t>Line 35 should be supported by notes in Form 1 or detailed Schedule</t>
  </si>
  <si>
    <t>Line 36 should be supported by notes in Form 1 or detailed Schedule</t>
  </si>
  <si>
    <t>If amts reflected on Line 4 they should be supported by schedules.</t>
  </si>
  <si>
    <t>If amts reflected on Line 5 they should be supported by schedules.</t>
  </si>
  <si>
    <t>Please fill out info requested in the box below</t>
  </si>
  <si>
    <t>Provide SIT work papers if required</t>
  </si>
  <si>
    <t>Total Income Taxes</t>
  </si>
  <si>
    <t>(line 25 plus line 26)</t>
  </si>
  <si>
    <t xml:space="preserve">RETURN </t>
  </si>
  <si>
    <t>Total transmission plant    (page 2, line 2, column 3)</t>
  </si>
  <si>
    <t>Less transmission plant excluded from ISO rates       (Note M)</t>
  </si>
  <si>
    <t>V</t>
  </si>
  <si>
    <t xml:space="preserve">  Plus 12 CP of Network Load not in line 8</t>
  </si>
  <si>
    <t>Divisor (sum lines 8-14)</t>
  </si>
  <si>
    <t>FERC Annual Charge($/MWh)</t>
  </si>
  <si>
    <t xml:space="preserve">          (Note E)</t>
  </si>
  <si>
    <t>Short Term</t>
  </si>
  <si>
    <t>Long Term</t>
  </si>
  <si>
    <t xml:space="preserve">  Transmission </t>
  </si>
  <si>
    <t>TE</t>
  </si>
  <si>
    <t xml:space="preserve">     Less Account 565</t>
  </si>
  <si>
    <t xml:space="preserve">  A&amp;G</t>
  </si>
  <si>
    <t>W/S</t>
  </si>
  <si>
    <t xml:space="preserve">     Less FERC Annual Fees</t>
  </si>
  <si>
    <t>5a</t>
  </si>
  <si>
    <t xml:space="preserve">  Common</t>
  </si>
  <si>
    <t>CE</t>
  </si>
  <si>
    <t xml:space="preserve">  Transmission Lease Payments</t>
  </si>
  <si>
    <t>GP</t>
  </si>
  <si>
    <t xml:space="preserve">  LABOR RELATED</t>
  </si>
  <si>
    <t xml:space="preserve">          Payroll</t>
  </si>
  <si>
    <t>General Note:  References to pages in this formulary rate are indicated as:  (page#, line#, col.#)</t>
  </si>
  <si>
    <t>214.x.d  (Note G)</t>
  </si>
  <si>
    <t>WORKING CAPITAL  (Note H)</t>
  </si>
  <si>
    <t xml:space="preserve">  CWC  </t>
  </si>
  <si>
    <t>calculated</t>
  </si>
  <si>
    <t>page 3 of 5</t>
  </si>
  <si>
    <t>207.58.g</t>
  </si>
  <si>
    <t>207.75.g</t>
  </si>
  <si>
    <t>Acct 561.BA for Schedule 24</t>
  </si>
  <si>
    <t>Less transmission plant included in OATT Ancillary Services    (Note N )</t>
  </si>
  <si>
    <t>Transmission plant included in ISO rates  (line 1 less lines 2 &amp; 3)</t>
  </si>
  <si>
    <t>Percentage of transmission plant included in ISO Rates (line 4 divided by line 1)</t>
  </si>
  <si>
    <t xml:space="preserve">Formula Rate - Non-Levelized </t>
  </si>
  <si>
    <t>(Note T)</t>
  </si>
  <si>
    <t>RATE BASE:</t>
  </si>
  <si>
    <t>Debt cost rate = long-term interest (line 21) / long term debt (line 27).  Preferred cost rate = preferred dividends (line 22) /</t>
  </si>
  <si>
    <t xml:space="preserve">  preferred outstanding (line 28).   ROE will be supported in the original filing and no change in ROE may be made absent</t>
  </si>
  <si>
    <t xml:space="preserve">  a filing with FERC.</t>
  </si>
  <si>
    <t>page 2 of 5</t>
  </si>
  <si>
    <t>Form No. 1</t>
  </si>
  <si>
    <t>356.1</t>
  </si>
  <si>
    <t xml:space="preserve">  Account No. 281 (enter negative)</t>
  </si>
  <si>
    <t>275.2.k</t>
  </si>
  <si>
    <t>277.9.k</t>
  </si>
  <si>
    <t xml:space="preserve">  Account No. 190 </t>
  </si>
  <si>
    <t>234.8.c</t>
  </si>
  <si>
    <t>Allocated</t>
  </si>
  <si>
    <t xml:space="preserve">REVENUE CREDITS </t>
  </si>
  <si>
    <t>(Note Q)</t>
  </si>
  <si>
    <t>Total</t>
  </si>
  <si>
    <t>Allocator</t>
  </si>
  <si>
    <t xml:space="preserve">  Account No. 454</t>
  </si>
  <si>
    <t xml:space="preserve">  Revenues from Grandfathered Interzonal Transactions</t>
  </si>
  <si>
    <t xml:space="preserve">  Plus 12 CP of firm bundled sales over one year not in line 8</t>
  </si>
  <si>
    <t>pancaking - the revenues are not included in line 4, page 1 nor are the loads included in line 13, page 1.</t>
  </si>
  <si>
    <t>T</t>
  </si>
  <si>
    <t>page 1 of 5</t>
  </si>
  <si>
    <t xml:space="preserve"> Utilizing FERC Form 1 Data</t>
  </si>
  <si>
    <r>
      <t xml:space="preserve">and the loads are included in line 13, page 1.  Grandfathered agreements whose rates have </t>
    </r>
    <r>
      <rPr>
        <u/>
        <sz val="12"/>
        <rFont val="Times New Roman"/>
        <family val="1"/>
      </rPr>
      <t>not</t>
    </r>
    <r>
      <rPr>
        <sz val="12"/>
        <rFont val="Times New Roman"/>
        <family val="1"/>
      </rPr>
      <t xml:space="preserve"> been changed to eliminate or mitigate </t>
    </r>
  </si>
  <si>
    <t>Account 456.1 entry shall be the annual total of the quarterly values reported at Form 1, 330.x.n.</t>
  </si>
  <si>
    <t>Includes income related only to transmission facilities, such as pole attachments, rentals and special use.</t>
  </si>
  <si>
    <t>P</t>
  </si>
  <si>
    <t>Grandfathered agreements whose rates have been changed to eliminate or mitigate pancaking - the revenues are included in line 4 page 1</t>
  </si>
  <si>
    <t>Q</t>
  </si>
  <si>
    <t>The revenues credited on page 1 lines 2-5 shall include only the amounts received directly (in the case of grandfathered agreements)</t>
  </si>
  <si>
    <t xml:space="preserve">  or from the ISO (for service under this tariff) reflecting the Transmission Owner's integrated transmission facilities.  They do not include</t>
  </si>
  <si>
    <t>219.20-24.c</t>
  </si>
  <si>
    <t xml:space="preserve">  No. 456.1 and all other uses are to be included in the divisor.</t>
  </si>
  <si>
    <t>Schedule 1 Recoverable Expenses</t>
  </si>
  <si>
    <t xml:space="preserve">  Less Contract Demands from service over one year provided by ISO at a discount (enter negative)</t>
  </si>
  <si>
    <t xml:space="preserve">The balances in Accounts 190, 281, 282 and 283, as adjusted by any amounts in contra accounts identified as regulatory assets </t>
  </si>
  <si>
    <t xml:space="preserve">  or liabilities related to FASB 106 or 109.  Balance of Account 255 is reduced by prior flow throughs and excluded if the utility </t>
  </si>
  <si>
    <t>111.57.c</t>
  </si>
  <si>
    <t>Preferred Dividends (118.29c) (positive number)</t>
  </si>
  <si>
    <t>205.46.g</t>
  </si>
  <si>
    <t>227.8.c &amp; .16.c</t>
  </si>
  <si>
    <t>336.11.b</t>
  </si>
  <si>
    <t xml:space="preserve">  Taxes related to income are excluded.  Gross receipts taxes are not included in transmission revenue requirement in the Rate Formula Template, </t>
  </si>
  <si>
    <t xml:space="preserve">   since they are recovered elsewhere.</t>
  </si>
  <si>
    <t xml:space="preserve">The FERC's annual charges for the year assessed the Transmission Owner for service under this tariff. </t>
  </si>
  <si>
    <t xml:space="preserve">  (State Income Tax Rate or Composite SIT)</t>
  </si>
  <si>
    <t>p =</t>
  </si>
  <si>
    <t xml:space="preserve">  (percent of federal income tax deductible for state purposes)</t>
  </si>
  <si>
    <t>Enter dollar amounts</t>
  </si>
  <si>
    <t>R</t>
  </si>
  <si>
    <t>S</t>
  </si>
  <si>
    <t xml:space="preserve">  revenues associated with FERC annual charges, gross receipts taxes, ancillary services, facilities not included in this template (e.g., direct</t>
  </si>
  <si>
    <t xml:space="preserve">  assignment facilities and GSUs) which are not recovered under this Rate Formula Template.</t>
  </si>
  <si>
    <t xml:space="preserve">          Highway and vehicle</t>
  </si>
  <si>
    <t xml:space="preserve">  PLANT RELATED</t>
  </si>
  <si>
    <t xml:space="preserve">  Production</t>
  </si>
  <si>
    <t>NA</t>
  </si>
  <si>
    <t xml:space="preserve">  Distribution</t>
  </si>
  <si>
    <t xml:space="preserve">  General &amp; Intangible</t>
  </si>
  <si>
    <t>TOTAL GROSS PLANT (sum lines 1-5)</t>
  </si>
  <si>
    <t>GP=</t>
  </si>
  <si>
    <t>TE=</t>
  </si>
  <si>
    <t>$</t>
  </si>
  <si>
    <t>Allocation</t>
  </si>
  <si>
    <t>W&amp;S Allocator</t>
  </si>
  <si>
    <t>(line 7 / line 15)</t>
  </si>
  <si>
    <t xml:space="preserve">     Rate Formula Template</t>
  </si>
  <si>
    <t xml:space="preserve"> </t>
  </si>
  <si>
    <t>Line</t>
  </si>
  <si>
    <t>No.</t>
  </si>
  <si>
    <t>Amount</t>
  </si>
  <si>
    <t>NET REVENUE REQUIREMENT</t>
  </si>
  <si>
    <t xml:space="preserve">DIVISOR </t>
  </si>
  <si>
    <t>VECTREN</t>
  </si>
  <si>
    <t xml:space="preserve">  Account No. 456.1</t>
  </si>
  <si>
    <t>354.21.b</t>
  </si>
  <si>
    <t>354.23.b</t>
  </si>
  <si>
    <t>354.24,25,26.b</t>
  </si>
  <si>
    <t xml:space="preserve">  Long Term Debt (112, sum of  18.c through 21.c)</t>
  </si>
  <si>
    <t>ACCOUNT 456.1 (OTHER ELECTRIC REVENUES) (Note U)</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</si>
  <si>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</si>
  <si>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219.25.c</t>
  </si>
  <si>
    <t>219.26.c</t>
  </si>
  <si>
    <t xml:space="preserve">INCOME TAXES          </t>
  </si>
  <si>
    <t xml:space="preserve"> (Note K)</t>
  </si>
  <si>
    <t xml:space="preserve">     T=1 - {[(1 - SIT) * (1 - FIT)] / (1 - SIT * FIT * p)} =</t>
  </si>
  <si>
    <t xml:space="preserve">     CIT=(T/1-T) * (1-(WCLTD/R)) =</t>
  </si>
  <si>
    <t xml:space="preserve">         Property</t>
  </si>
  <si>
    <t xml:space="preserve">         Gross Receipts</t>
  </si>
  <si>
    <t>zero</t>
  </si>
  <si>
    <t xml:space="preserve">         Other</t>
  </si>
  <si>
    <t xml:space="preserve">         Payments in lieu of taxes</t>
  </si>
  <si>
    <t>TOTAL OTHER TAXES  (sum lines 13 - 19)</t>
  </si>
  <si>
    <t>F</t>
  </si>
  <si>
    <t>G</t>
  </si>
  <si>
    <t>Removes dollar amount of transmission plant included in the development of OATT ancillary services rates and generation</t>
  </si>
  <si>
    <t>revenue requirements.</t>
  </si>
  <si>
    <t>(page 4, line 34)</t>
  </si>
  <si>
    <t>(page 4, line 37)</t>
  </si>
  <si>
    <t xml:space="preserve">  Less Contract Demand from Grandfathered Interzonal Transactions over one year (enter negative) (Note S)</t>
  </si>
  <si>
    <t xml:space="preserve">  facilities are those facilities at a generator substation on which there is no through-flow when the generator is shut down.</t>
  </si>
  <si>
    <t>H</t>
  </si>
  <si>
    <t xml:space="preserve">  b. Bundled Sales for Resale  included in Divisor on page 1</t>
  </si>
  <si>
    <t>(330.x.n)</t>
  </si>
  <si>
    <t xml:space="preserve">  b. Transmission charges for all transmission transactions included in Divisor on Page 1</t>
  </si>
  <si>
    <t>page 5 of 5</t>
  </si>
  <si>
    <t>1a</t>
  </si>
  <si>
    <t xml:space="preserve">  Total  (sum lines 17 - 19)</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</si>
  <si>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</si>
  <si>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</si>
  <si>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</si>
  <si>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RATE BASE  (sum lines 18, 18a, 24, 25, &amp; 29)</t>
  </si>
  <si>
    <t>9a</t>
  </si>
  <si>
    <t>W</t>
  </si>
  <si>
    <t xml:space="preserve">   related advertising included in Account 930.1.  Line 5a - Regulatory Commission Expenses directly related to transmission service,  </t>
  </si>
  <si>
    <t xml:space="preserve">   ISO filings, or transmission siting itemized at 351.h. </t>
  </si>
  <si>
    <t xml:space="preserve">  rate base, must reduce its income tax expense by the amount of the Amortized Investment Tax Credit (Form 1, 266.8.f)</t>
  </si>
  <si>
    <t>100% CWIP Recovery for Commission accepted</t>
  </si>
  <si>
    <t>or Approved Order No. 679 Transmission</t>
  </si>
  <si>
    <t xml:space="preserve">  Unamortized Balance of Cancelled or Abandoned Plant (Note W)</t>
  </si>
  <si>
    <t xml:space="preserve">  Abandoned or Cancelled Plant Amortization (Note W)</t>
  </si>
  <si>
    <t>include in the formula rate placeholders for cancelled or abandoned plant for the Project.  Page 2 line 23a includes any unamortized balances related to the recovery of abandoned</t>
  </si>
  <si>
    <t>or cancelled plant costs accepted or approved by FERC. Page 3 line 9a includes the unamortization expense of abandoned or cancelled plant costs accepted or approved by FERC.</t>
  </si>
  <si>
    <t>Vectren would need to make a separate Section 205 filing and obtain Commission acceptance or approval for the specific amounts that Vectren would propose to</t>
  </si>
  <si>
    <t>6a</t>
  </si>
  <si>
    <t>Historic Year Actual ATRR</t>
  </si>
  <si>
    <t>6b</t>
  </si>
  <si>
    <t>6c</t>
  </si>
  <si>
    <t>6d</t>
  </si>
  <si>
    <t>6e</t>
  </si>
  <si>
    <t>Projected ATRR from Historic Year</t>
  </si>
  <si>
    <t>Historic Year ATRR True-Up</t>
  </si>
  <si>
    <t>Historic Year Divisor True-Up</t>
  </si>
  <si>
    <t>Interest on Historic Year True-Up</t>
  </si>
  <si>
    <t>Input from Historic Year</t>
  </si>
  <si>
    <t>(line 6a - line 6b)</t>
  </si>
  <si>
    <t>(Note Z)</t>
  </si>
  <si>
    <t>Incentive Project  (Note X)</t>
  </si>
  <si>
    <t>X</t>
  </si>
  <si>
    <t>Y</t>
  </si>
  <si>
    <t>Z</t>
  </si>
  <si>
    <t>Calculate using 13 month average balance, reconciling to FERC Form No. 1 by page, line and column as shown in Column 2.</t>
  </si>
  <si>
    <t>Calculate using average of beginning of year and end of year balance reconciling to FERC Form 1 by page, line and column as shown in Column 2.</t>
  </si>
  <si>
    <t>Calculation of Historic year Divisor True-Up:</t>
  </si>
  <si>
    <t xml:space="preserve">     Historic Year Actual Divisor</t>
  </si>
  <si>
    <t xml:space="preserve">     Projected Historic Year Divisor</t>
  </si>
  <si>
    <t xml:space="preserve">     Difference between Actual and Projected Historic Year Divisor</t>
  </si>
  <si>
    <t xml:space="preserve">     Historic Year Projected Annual Cost ($ per kw per yr.)</t>
  </si>
  <si>
    <t xml:space="preserve">     Historic Year Divisor True-up (Difference * Historic Year Projected Annual Cost)</t>
  </si>
  <si>
    <t>Pg 1, Line 15</t>
  </si>
  <si>
    <t>Pg 1, Line 16</t>
  </si>
  <si>
    <t>(line 1 minus line 6 + ln 6c through 6e)</t>
  </si>
  <si>
    <t>ADJUSTMENTS TO RATE BASE       (Note F, Note X)</t>
  </si>
  <si>
    <t>NET PLANT IN SERVICE (Note X)</t>
  </si>
  <si>
    <t>LAND HELD FOR FUTURE USE (Note Y)</t>
  </si>
  <si>
    <t xml:space="preserve">  Materials &amp; Supplies  (Note G, Note Y)</t>
  </si>
  <si>
    <t xml:space="preserve">  Prepayments (Account 165, Note Y)</t>
  </si>
  <si>
    <t>TOTAL O&amp;M   (sum lines 1, 3, 5a, 6, 7 less lines 1a, 2, 4, 5)</t>
  </si>
  <si>
    <t>(line 16 / 52; line 16 / 52)</t>
  </si>
  <si>
    <t>[Revenue Requirement for facilities included on page 2, line 2 and also</t>
  </si>
  <si>
    <t>included in Attachment GG]</t>
  </si>
  <si>
    <t>REV. REQUIREMENT TO BE COLLECTED UNDER ATTACHMENT O</t>
  </si>
  <si>
    <t>36a</t>
  </si>
  <si>
    <t>AA</t>
  </si>
  <si>
    <t xml:space="preserve">Pursuant to Attachment GG of the Midwest ISO Tariff, removes dollar amount of revenue requirement calculated pursuant to Attachment GG and recovered under </t>
  </si>
  <si>
    <t>Schedule 26 of the Midwest ISO Tariff.</t>
  </si>
  <si>
    <t>BB</t>
  </si>
  <si>
    <t>requirements have already been reduced by the Attachment GG revenue requirement.</t>
  </si>
  <si>
    <t>(line 16 / 260; line 16 / 365)</t>
  </si>
  <si>
    <t>(line 16 / 4,160; line 16 / 8,760)</t>
  </si>
  <si>
    <t>GROSS REVENUE REQUIREMENT    (page 3, line 31)</t>
  </si>
  <si>
    <t>LESS ATTACHMENT GG ADJUSTMENT [Attachment GG, page 2, line 3, column 10] (Note AA)</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</si>
  <si>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</si>
  <si>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</si>
  <si>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</si>
  <si>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30a</t>
  </si>
  <si>
    <t>LESS ATTACHMENT MM ADJUSTMENT [Attachment MM, page 2, line 3, column 10] (Note CC)</t>
  </si>
  <si>
    <t>included in Attachment MM]</t>
  </si>
  <si>
    <t>(line 29 - line 30 - line 30a)</t>
  </si>
  <si>
    <t>36b</t>
  </si>
  <si>
    <t xml:space="preserve">  d.  Transmission charges associated with Schedule 26-A (Note DD)</t>
  </si>
  <si>
    <t xml:space="preserve">  Total of (a)-(b)-(c)-(d)</t>
  </si>
  <si>
    <t>CC</t>
  </si>
  <si>
    <t>DD</t>
  </si>
  <si>
    <t xml:space="preserve">Pursuant to Attachment MM of the Midwest ISO Tariff, removes dollar amount of revenue requirement calculated pursuant to Attachment MM and recovered under </t>
  </si>
  <si>
    <t>Schedule 26-A of the Midwest ISO Tariff.</t>
  </si>
  <si>
    <t xml:space="preserve">Removes from revenue credits revenues that are distributed pursuant to Schedule 26-A of the Midwest ISO Tariff, since the Transmission Owner's Attachment O revenue </t>
  </si>
  <si>
    <t>requirements have already been reduced by the Attachment MM revenue requirement.</t>
  </si>
  <si>
    <t>Vectren</t>
  </si>
  <si>
    <t>Gross Plant in Service</t>
  </si>
  <si>
    <t>Production</t>
  </si>
  <si>
    <t>Distribution</t>
  </si>
  <si>
    <t>General &amp;Intangible</t>
  </si>
  <si>
    <t>Common</t>
  </si>
  <si>
    <t>13 month Average</t>
  </si>
  <si>
    <t>Accumulated Depreciation &amp; Amortization</t>
  </si>
  <si>
    <t>Average of Beginning and End of Year Balance</t>
  </si>
  <si>
    <t>BOY/EOY Average</t>
  </si>
  <si>
    <t>Land Held for Future Use  (Balances at beginning of year and end of year)</t>
  </si>
  <si>
    <t>Account 105*</t>
  </si>
  <si>
    <t>* Only Land Held for Future Use that is Transmission Related</t>
  </si>
  <si>
    <t>Working Capital</t>
  </si>
  <si>
    <t>Source: Footnote to FERC Form 1, 227.8.c &amp; .16.c</t>
  </si>
  <si>
    <t>FERC 154</t>
  </si>
  <si>
    <t>FERC 163</t>
  </si>
  <si>
    <t>Prepayments</t>
  </si>
  <si>
    <t>Working Capital  (Balances at beginning of year and end of year)</t>
  </si>
  <si>
    <t>Source: Footnote to FERC Form 1, 111.57.c</t>
  </si>
  <si>
    <t>Transmission Expenses (Dollars in 000's)</t>
  </si>
  <si>
    <t>Account Number</t>
  </si>
  <si>
    <t>OPERATION</t>
  </si>
  <si>
    <t>Supervision and Engineering</t>
  </si>
  <si>
    <t>Load Dispatching - Reliability</t>
  </si>
  <si>
    <t>Load Dispatching -Monitor &amp; Operate Transmission System</t>
  </si>
  <si>
    <t>Load Dispatching- Transmission Service &amp; Scheduling</t>
  </si>
  <si>
    <t>Scheduling, System Control &amp; Dispatch Service</t>
  </si>
  <si>
    <t>Station Expense</t>
  </si>
  <si>
    <t>Overhead Line Expense</t>
  </si>
  <si>
    <t>Miscellaneous Transmission Expenses</t>
  </si>
  <si>
    <t>Rents</t>
  </si>
  <si>
    <t>Total Operation</t>
  </si>
  <si>
    <t>MAINTENANCE</t>
  </si>
  <si>
    <t>Structures</t>
  </si>
  <si>
    <t>Computer Hardware</t>
  </si>
  <si>
    <t>Computer Software</t>
  </si>
  <si>
    <t>Communication Equipment</t>
  </si>
  <si>
    <t>Station Equipment</t>
  </si>
  <si>
    <t>Overhead Lines</t>
  </si>
  <si>
    <t>Total Maintenance</t>
  </si>
  <si>
    <t>Total Operations and Maintenance</t>
  </si>
  <si>
    <t>REGULATORY COMMISSION EXPENSES</t>
  </si>
  <si>
    <t>As listed in Form 1 on page 351 column h</t>
  </si>
  <si>
    <t>Administrative and General Expenses (dollars in 000's)</t>
  </si>
  <si>
    <t>Depreciation Expenses / Taxes Other than Income</t>
  </si>
  <si>
    <t xml:space="preserve">ADMINISTRATIVE AND GENERAL EXPENSES </t>
  </si>
  <si>
    <t>Administrative and General Salaries</t>
  </si>
  <si>
    <t>Office Supplies and Expenses</t>
  </si>
  <si>
    <t>Less</t>
  </si>
  <si>
    <t>Administrative Expenses Transferred- Credit</t>
  </si>
  <si>
    <t>Outside Services Employed</t>
  </si>
  <si>
    <t>Property Insurance</t>
  </si>
  <si>
    <t>Injuries and Damages</t>
  </si>
  <si>
    <t>Employees Pensions and Benefits</t>
  </si>
  <si>
    <t xml:space="preserve">Regulatory Commission Expenses </t>
  </si>
  <si>
    <t>Miscellaneous General Expenses</t>
  </si>
  <si>
    <t>Maintenances of General Plant</t>
  </si>
  <si>
    <t>Total Administrative and General</t>
  </si>
  <si>
    <t>General</t>
  </si>
  <si>
    <t>TAXES OTHER THAN INCOME TAXES</t>
  </si>
  <si>
    <t>Property</t>
  </si>
  <si>
    <t>January</t>
  </si>
  <si>
    <t>February</t>
  </si>
  <si>
    <t>March</t>
  </si>
  <si>
    <t>April</t>
  </si>
  <si>
    <t>May</t>
  </si>
  <si>
    <t>June</t>
  </si>
  <si>
    <t>July</t>
  </si>
  <si>
    <t>August</t>
  </si>
  <si>
    <t>September</t>
  </si>
  <si>
    <t>October</t>
  </si>
  <si>
    <t>November</t>
  </si>
  <si>
    <t>December</t>
  </si>
  <si>
    <t>Amortized Investment Tax Credit</t>
  </si>
  <si>
    <t>Wages and Salary / Common Plant Allocator</t>
  </si>
  <si>
    <t>$ in Thousands</t>
  </si>
  <si>
    <t xml:space="preserve">COMMON PLANT ALLOCATOR </t>
  </si>
  <si>
    <t>$ in Hundred Thousands</t>
  </si>
  <si>
    <t>Capital Structure</t>
  </si>
  <si>
    <t>Long-Term Debt</t>
  </si>
  <si>
    <t>Long-Term Debt Balance</t>
  </si>
  <si>
    <t>Annualized Long-Term Debt Interest</t>
  </si>
  <si>
    <t>Cost of Long Term Debt</t>
  </si>
  <si>
    <t>Common Equity</t>
  </si>
  <si>
    <t>Less: Preferred Stock</t>
  </si>
  <si>
    <t>Less: Account 216.1</t>
  </si>
  <si>
    <t>Balance</t>
  </si>
  <si>
    <t>Percentage</t>
  </si>
  <si>
    <t>Preferred Stock</t>
  </si>
  <si>
    <t>TOTAL</t>
  </si>
  <si>
    <t>Monthly Peaks and Output in (Mw)</t>
  </si>
  <si>
    <t>DIVISOR</t>
  </si>
  <si>
    <t>Average (Mw)</t>
  </si>
  <si>
    <t>Average (kWh)</t>
  </si>
  <si>
    <t>Account 456.1 (Other Electric Revenues)</t>
  </si>
  <si>
    <t>Transmission of Electricity for Others (Account 456.1)</t>
  </si>
  <si>
    <t>Transmission Charges for Transmission Transactions</t>
  </si>
  <si>
    <t>Other Account 456.1 Charges</t>
  </si>
  <si>
    <t>Total Account 456.1 Charges</t>
  </si>
  <si>
    <t>Less: Schedule 1</t>
  </si>
  <si>
    <t>Less: Schedule 2</t>
  </si>
  <si>
    <t>Less: Schedule 9</t>
  </si>
  <si>
    <t>Less: Schedule 24</t>
  </si>
  <si>
    <t>Less: Schedule 26</t>
  </si>
  <si>
    <t>Total Revenue Credit</t>
  </si>
  <si>
    <t>EE</t>
  </si>
  <si>
    <t>Plant in Service, Accumulated Depreciation, and Depreciation Expense amounts exclude Asset Retirement Obligation amounts unless authorized by FERC.</t>
  </si>
  <si>
    <t>FF</t>
  </si>
  <si>
    <t>Schedule 10-FERC charges should not be included in O&amp;M recovered under this Attachment O.</t>
  </si>
  <si>
    <t xml:space="preserve">  c.  Transmission charges associated with Schedules 26 and 37 (Note BB)</t>
  </si>
  <si>
    <t xml:space="preserve">       where WCLTD=(page 4, line 27) and R= (page 4, line 30)</t>
  </si>
  <si>
    <t>336.10.f &amp; 336.1.f</t>
  </si>
  <si>
    <t>O&amp;M  (Note FF)</t>
  </si>
  <si>
    <t>DEPRECIATION AND AMORTIZATION EXPENSE (Note EE)</t>
  </si>
  <si>
    <t>ACCUMULATED DEPRECIATION (Note X, Note EE)</t>
  </si>
  <si>
    <t>219.28.c &amp; 200.21.c</t>
  </si>
  <si>
    <t>GROSS PLANT IN SERVICE (Note X, Note EE)</t>
  </si>
  <si>
    <t>Budgeted for the period ending December 31, 2013</t>
  </si>
  <si>
    <t>For the 12 months ended 12/31/13</t>
  </si>
  <si>
    <t>Allocation based on projected December 31, 2013 balances</t>
  </si>
  <si>
    <t>Pro Forma 12/31/13 ($ in 000s)</t>
  </si>
  <si>
    <t>Year ended December 31, 2013</t>
  </si>
  <si>
    <t>Interest</t>
  </si>
  <si>
    <t>Vectren Corporation</t>
  </si>
  <si>
    <t>Estimated Network Revenue Requirement True-Up</t>
  </si>
  <si>
    <t>Attachment - O</t>
  </si>
  <si>
    <t>Actual Network Revenue Requirement per Attachment - O</t>
  </si>
  <si>
    <t>Less  Actual Attachment GG Revenue Requirement</t>
  </si>
  <si>
    <t>Projected Network Revenue Requirement per Attachment - O</t>
  </si>
  <si>
    <t>Less Projected Attachment GG Revenue Requirement</t>
  </si>
  <si>
    <t>Over Recovery of the Revenue Requirement</t>
  </si>
  <si>
    <t>Actual Load</t>
  </si>
  <si>
    <t>Projected Load</t>
  </si>
  <si>
    <t>Volume Excess</t>
  </si>
  <si>
    <t>Projected Zonal Rate</t>
  </si>
  <si>
    <t>Under Recovery due to Volume</t>
  </si>
  <si>
    <t>True up to be refunded</t>
  </si>
  <si>
    <t>24 month average monthly rate</t>
  </si>
  <si>
    <t>Per Month</t>
  </si>
  <si>
    <t>x 24 months</t>
  </si>
  <si>
    <t>True up to be refunded including interest</t>
  </si>
  <si>
    <t xml:space="preserve">Column 12 of </t>
  </si>
  <si>
    <t>Attachment GG</t>
  </si>
  <si>
    <t xml:space="preserve">Attachment GG </t>
  </si>
  <si>
    <t>Projected</t>
  </si>
  <si>
    <t>Proportion</t>
  </si>
  <si>
    <t>Actual</t>
  </si>
  <si>
    <t>True Up</t>
  </si>
  <si>
    <t>Revenue</t>
  </si>
  <si>
    <t xml:space="preserve">of Revenues </t>
  </si>
  <si>
    <t xml:space="preserve">Interest allocated </t>
  </si>
  <si>
    <t>Project</t>
  </si>
  <si>
    <t>Requirement</t>
  </si>
  <si>
    <t>% of total</t>
  </si>
  <si>
    <t>Distributed</t>
  </si>
  <si>
    <t>to projects</t>
  </si>
  <si>
    <t>345/138 kV Substation at Francisco</t>
  </si>
  <si>
    <t>Transmission line Dubois to Newtonville</t>
  </si>
  <si>
    <t>Interest (24 months at FERC short term debt cost)</t>
  </si>
  <si>
    <t>Net Under Recovery,  including interest</t>
  </si>
  <si>
    <t>For the Year Ended December 31, 2013</t>
  </si>
  <si>
    <t>Interest =24 month (simple interest from January '13 - December '14)</t>
  </si>
  <si>
    <t>Upgrade Breed-Wheatland-Petersburg 345kV</t>
  </si>
  <si>
    <t>FERC Audit True Up (including interest)</t>
  </si>
  <si>
    <t>Net of Interest</t>
  </si>
  <si>
    <t>/ FERC Audit</t>
  </si>
  <si>
    <t>345kV Transformer at AB Brown</t>
  </si>
  <si>
    <t>Gibson to AB Brown to Reid 345kV</t>
  </si>
  <si>
    <t>Account Nos. 561.4 and 561.8 consist of RTO expenses billed to load-serving entities and are not included in Transmission Owner</t>
  </si>
  <si>
    <t xml:space="preserve">Removes from revenue credits revenues that are distributed pursuant to Schedules 26 and 37 of the Midwest ISO Tariff, since the Transmission Owner's Attachment O revenue </t>
  </si>
  <si>
    <t>for the period ending December 31, 2013</t>
  </si>
  <si>
    <t>for the period ending December 31,2013</t>
  </si>
  <si>
    <t>Plant in Service Actual Monthly Balances</t>
  </si>
  <si>
    <t>CWIP Actual Monthly Balances</t>
  </si>
  <si>
    <t>Non-transmission</t>
  </si>
  <si>
    <t>214.4.d</t>
  </si>
  <si>
    <t>Land Held for Future Use (Balances at beginning of year and end of year)</t>
  </si>
  <si>
    <t>IN Real Estate &amp; Personal Property Tax, Pg 263, Ln 9, Col (i)</t>
  </si>
  <si>
    <t>KY Real Estate &amp; Personal Property Tax, Pg 263, Ln 15, Col (i)</t>
  </si>
  <si>
    <t>Gross</t>
  </si>
  <si>
    <t>Receipts</t>
  </si>
  <si>
    <t>Utility Receipts Tax, Pg 263, Ln 2, Col (i)</t>
  </si>
  <si>
    <t>Midwest ISO (Schedule 7&amp;8) *</t>
  </si>
  <si>
    <t>Midwest ISO (Schedule 9) *</t>
  </si>
  <si>
    <t>Midwest ISO (Schedule 26) *</t>
  </si>
  <si>
    <t>ALCOA **</t>
  </si>
  <si>
    <t>Interest on Late Payments *</t>
  </si>
  <si>
    <t>Midwest ISO (Schedule 1) *</t>
  </si>
  <si>
    <t>Midwest ISO (Schedule 2) *</t>
  </si>
  <si>
    <t>Midwest ISO (Schedule 24) *</t>
  </si>
  <si>
    <t>** Amount is from the FERC Form 1 Pg 330, Ln 2, Col (n)</t>
  </si>
  <si>
    <t>FERC Audit **</t>
  </si>
  <si>
    <t>FERC Audit True Up (including interest) **</t>
  </si>
  <si>
    <t>True Up Correction</t>
  </si>
  <si>
    <t>2009 RECB *</t>
  </si>
  <si>
    <t>2009 RECB True Up Correction</t>
  </si>
  <si>
    <t>Adjustments to Rate Base Actual Monthly Balances</t>
  </si>
  <si>
    <t xml:space="preserve">   ** Refunds are the result of the FERC Audit completed in Docket No. PA13-2-000 and the refund analysis submitted to FERC on February 7, 2014.</t>
  </si>
  <si>
    <t xml:space="preserve">Accumulated Deferred Income Taxes </t>
  </si>
  <si>
    <t>Note: See footnotes to the respective references in FERC Form 1 for FERC 283 and FERC 190.</t>
  </si>
  <si>
    <t>* Amounts are from the FERC Form 1 Pg 330, Ln 1, Col (m), footnote</t>
  </si>
  <si>
    <t xml:space="preserve">Net of </t>
  </si>
  <si>
    <t>New 345/138 kV Substation at Francisco</t>
  </si>
  <si>
    <t>New transmission line Dubois to Newtonville</t>
  </si>
  <si>
    <t>New 345kV transformer at AB Brown</t>
  </si>
  <si>
    <t>New Line Gibson to AB Brown and 345 /138 kV substation at AB Brown</t>
  </si>
  <si>
    <t>CWIP - New transmission line AB Brown to Reid (BREC)</t>
  </si>
  <si>
    <t>Gibson-Brown-Reid 345 kV Project</t>
  </si>
  <si>
    <t>Interest (12 months at internal short term debt cost)</t>
  </si>
  <si>
    <t>2011 Attachment GG True-Up Calculation (as filed 6-1-2012)</t>
  </si>
  <si>
    <t>2009 Attachment GG True-Up Calculation  (as filed 12-3-2010)</t>
  </si>
  <si>
    <t>Attachment GG True-Up Calculation (Corrected Projected Revenue Requirement)</t>
  </si>
  <si>
    <t>Excess refund provided in 2011 rates</t>
  </si>
  <si>
    <t xml:space="preserve">   *   The 2009 RECB True Up Correction is the result of a calculation error from the 2009 true up as filed in the final 2011 Attachment O/GG.  See supporting "Support for 2011 Correction" tab.</t>
  </si>
  <si>
    <r>
      <rPr>
        <b/>
        <sz val="14"/>
        <rFont val="Arial MT"/>
      </rPr>
      <t>Summary</t>
    </r>
    <r>
      <rPr>
        <sz val="14"/>
        <rFont val="Arial MT"/>
      </rPr>
      <t>:  In our 2011  Attachment GG true-up calculation, we incorrectly compared "Proportion of Revenues Distributed" to our "Actual Revenue Requirement" excluding our 2009 true-up adjustment.   As the rate in place in 2011 included the 2009 true-up, the "Actual Revenue Requirement" must also in order to determine the true over or under recovery.  Vectren consulted with MISO, and came to an agreement to include this correction within our 2013 true-up.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</si>
</sst>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409]mmmm\-yy;@"/>
    <numFmt numFmtId="176" formatCode="0.0000%"/>
    <numFmt numFmtId="177" formatCode="_(* #,##0_);_(* \(#,##0\);_(* &quot;-&quot;??_);_(@_)"/>
    <numFmt numFmtId="178" formatCode="_(* #,##0.0_);_(* \(#,##0.0\);_(* &quot;-&quot;??_);_(@_)"/>
    <numFmt numFmtId="179" formatCode="0.00000%"/>
    <numFmt numFmtId="180" formatCode="_(* #,##0.0000_);_(* \(#,##0.0000\);_(* &quot;-&quot;??_);_(@_)"/>
    <numFmt numFmtId="181" formatCode="0.0%"/>
    <numFmt numFmtId="182" formatCode="_(* #,##0.000_);_(* \(#,##0.000\);_(* &quot;-&quot;??_);_(@_)"/>
    <numFmt numFmtId="183" formatCode="0.00000000%"/>
  </numFmts>
  <fonts count="66">
    <font>
      <sz val="12"/>
      <name val="Arial MT"/>
    </font>
    <font>
      <sz val="11"/>
      <color theme="1"/>
      <name val="Calibri"/>
      <family val="2"/>
      <scheme val="minor"/>
    </font>
    <font>
      <sz val="10"/>
      <name val="Arial"/>
      <family val="2"/>
    </font>
    <font>
      <sz val="12"/>
      <name val="Arial MT"/>
    </font>
    <font>
      <sz val="12"/>
      <name val="Arial"/>
      <family val="2"/>
    </font>
    <font>
      <sz val="12"/>
      <color indexed="17"/>
      <name val="Arial"/>
      <family val="2"/>
    </font>
    <font>
      <sz val="12"/>
      <color indexed="17"/>
      <name val="Arial MT"/>
    </font>
    <font>
      <b/>
      <sz val="12"/>
      <name val="Arial"/>
      <family val="2"/>
    </font>
    <font>
      <sz val="11"/>
      <name val="Arial"/>
      <family val="2"/>
    </font>
    <font>
      <sz val="12"/>
      <name val="Times New Roman"/>
      <family val="1"/>
    </font>
    <font>
      <sz val="10"/>
      <name val="Arial"/>
      <family val="2"/>
    </font>
    <font>
      <b/>
      <sz val="10"/>
      <name val="Arial"/>
      <family val="2"/>
    </font>
    <font>
      <u/>
      <sz val="12"/>
      <color indexed="17"/>
      <name val="Arial MT"/>
    </font>
    <font>
      <sz val="8"/>
      <name val="Arial"/>
      <family val="2"/>
    </font>
    <font>
      <b/>
      <sz val="18"/>
      <name val="Arial"/>
      <family val="2"/>
    </font>
    <font>
      <b/>
      <sz val="12"/>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trike/>
      <sz val="12"/>
      <color indexed="53"/>
      <name val="Arial MT"/>
    </font>
    <font>
      <b/>
      <sz val="12"/>
      <name val="Times New Roman"/>
      <family val="1"/>
    </font>
    <font>
      <b/>
      <u/>
      <sz val="12"/>
      <name val="Times New Roman"/>
      <family val="1"/>
    </font>
    <font>
      <strike/>
      <sz val="12"/>
      <name val="Times New Roman"/>
      <family val="1"/>
    </font>
    <font>
      <sz val="12"/>
      <color indexed="10"/>
      <name val="Times New Roman"/>
      <family val="1"/>
    </font>
    <font>
      <u/>
      <sz val="12"/>
      <name val="Times New Roman"/>
      <family val="1"/>
    </font>
    <font>
      <b/>
      <sz val="12"/>
      <color indexed="48"/>
      <name val="Times New Roman"/>
      <family val="1"/>
    </font>
    <font>
      <u/>
      <sz val="12"/>
      <color indexed="10"/>
      <name val="Times New Roman"/>
      <family val="1"/>
    </font>
    <font>
      <u val="double"/>
      <sz val="12"/>
      <color indexed="10"/>
      <name val="Times New Roman"/>
      <family val="1"/>
    </font>
    <font>
      <sz val="12"/>
      <color indexed="10"/>
      <name val="Arial"/>
      <family val="2"/>
    </font>
    <font>
      <b/>
      <sz val="14"/>
      <name val="Century Gothic"/>
      <family val="2"/>
    </font>
    <font>
      <sz val="12"/>
      <name val="Century Gothic"/>
      <family val="2"/>
    </font>
    <font>
      <b/>
      <sz val="12"/>
      <name val="Century Gothic"/>
      <family val="2"/>
    </font>
    <font>
      <i/>
      <sz val="12"/>
      <name val="Century Gothic"/>
      <family val="2"/>
    </font>
    <font>
      <sz val="8"/>
      <name val="Arial MT"/>
    </font>
    <font>
      <b/>
      <sz val="18"/>
      <color indexed="10"/>
      <name val="Century Gothic"/>
      <family val="2"/>
    </font>
    <font>
      <b/>
      <sz val="14"/>
      <color indexed="10"/>
      <name val="Century Gothic"/>
      <family val="2"/>
    </font>
    <font>
      <b/>
      <sz val="18"/>
      <name val="Century Gothic"/>
      <family val="2"/>
    </font>
    <font>
      <b/>
      <sz val="12"/>
      <color indexed="10"/>
      <name val="Century Gothic"/>
      <family val="2"/>
    </font>
    <font>
      <sz val="10"/>
      <name val="Century Gothic"/>
      <family val="2"/>
    </font>
    <font>
      <b/>
      <sz val="12"/>
      <name val="Arial MT"/>
    </font>
    <font>
      <i/>
      <sz val="12"/>
      <name val="Arial MT"/>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4"/>
      <name val="Arial MT"/>
    </font>
    <font>
      <b/>
      <sz val="14"/>
      <name val="Arial MT"/>
    </font>
  </fonts>
  <fills count="8">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indexed="22"/>
      </patternFill>
    </fill>
    <fill>
      <patternFill patternType="solid">
        <fgColor indexed="9"/>
        <bgColor indexed="64"/>
      </patternFill>
    </fill>
    <fill>
      <patternFill patternType="solid">
        <fgColor rgb="FFFFC000"/>
        <bgColor indexed="64"/>
      </patternFill>
    </fill>
  </fills>
  <borders count="25">
    <border>
      <left/>
      <right/>
      <top/>
      <bottom/>
      <diagonal/>
    </border>
    <border>
      <left/>
      <right/>
      <top style="double">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97">
    <xf numFmtId="173" fontId="0" fillId="0" borderId="0" applyProtection="0"/>
    <xf numFmtId="173" fontId="13" fillId="0" borderId="0" applyFill="0"/>
    <xf numFmtId="173" fontId="13" fillId="0" borderId="0">
      <alignment horizontal="center"/>
    </xf>
    <xf numFmtId="0" fontId="13" fillId="0" borderId="0" applyFill="0">
      <alignment horizontal="center"/>
    </xf>
    <xf numFmtId="173" fontId="16" fillId="0" borderId="1" applyFill="0"/>
    <xf numFmtId="0" fontId="2" fillId="0" borderId="0" applyFont="0" applyAlignment="0"/>
    <xf numFmtId="0" fontId="17" fillId="0" borderId="0" applyFill="0">
      <alignment vertical="top"/>
    </xf>
    <xf numFmtId="0" fontId="16" fillId="0" borderId="0" applyFill="0">
      <alignment horizontal="left" vertical="top"/>
    </xf>
    <xf numFmtId="173" fontId="7" fillId="0" borderId="2" applyFill="0"/>
    <xf numFmtId="0" fontId="2" fillId="0" borderId="0" applyNumberFormat="0" applyFont="0" applyAlignment="0"/>
    <xf numFmtId="0" fontId="17" fillId="0" borderId="0" applyFill="0">
      <alignment wrapText="1"/>
    </xf>
    <xf numFmtId="0" fontId="16" fillId="0" borderId="0" applyFill="0">
      <alignment horizontal="left" vertical="top" wrapText="1"/>
    </xf>
    <xf numFmtId="173" fontId="18" fillId="0" borderId="0" applyFill="0"/>
    <xf numFmtId="0" fontId="19" fillId="0" borderId="0" applyNumberFormat="0" applyFont="0" applyAlignment="0">
      <alignment horizontal="center"/>
    </xf>
    <xf numFmtId="0" fontId="20" fillId="0" borderId="0" applyFill="0">
      <alignment vertical="top" wrapText="1"/>
    </xf>
    <xf numFmtId="0" fontId="7" fillId="0" borderId="0" applyFill="0">
      <alignment horizontal="left" vertical="top" wrapText="1"/>
    </xf>
    <xf numFmtId="173" fontId="2" fillId="0" borderId="0" applyFill="0"/>
    <xf numFmtId="0" fontId="19" fillId="0" borderId="0" applyNumberFormat="0" applyFont="0" applyAlignment="0">
      <alignment horizontal="center"/>
    </xf>
    <xf numFmtId="0" fontId="21" fillId="0" borderId="0" applyFill="0">
      <alignment vertical="center" wrapText="1"/>
    </xf>
    <xf numFmtId="0" fontId="4" fillId="0" borderId="0">
      <alignment horizontal="left" vertical="center" wrapText="1"/>
    </xf>
    <xf numFmtId="173" fontId="22" fillId="0" borderId="0" applyFill="0"/>
    <xf numFmtId="0" fontId="19" fillId="0" borderId="0" applyNumberFormat="0" applyFont="0" applyAlignment="0">
      <alignment horizontal="center"/>
    </xf>
    <xf numFmtId="0" fontId="23" fillId="0" borderId="0" applyFill="0">
      <alignment horizontal="center" vertical="center" wrapText="1"/>
    </xf>
    <xf numFmtId="0" fontId="10" fillId="0" borderId="0" applyFill="0">
      <alignment horizontal="center" vertical="center" wrapText="1"/>
    </xf>
    <xf numFmtId="173" fontId="24" fillId="0" borderId="0" applyFill="0"/>
    <xf numFmtId="0" fontId="19" fillId="0" borderId="0" applyNumberFormat="0" applyFont="0" applyAlignment="0">
      <alignment horizontal="center"/>
    </xf>
    <xf numFmtId="0" fontId="25" fillId="0" borderId="0" applyFill="0">
      <alignment horizontal="center" vertical="center" wrapText="1"/>
    </xf>
    <xf numFmtId="0" fontId="26" fillId="0" borderId="0" applyFill="0">
      <alignment horizontal="center" vertical="center" wrapText="1"/>
    </xf>
    <xf numFmtId="173" fontId="27" fillId="0" borderId="0" applyFill="0"/>
    <xf numFmtId="0" fontId="19" fillId="0" borderId="0" applyNumberFormat="0" applyFont="0" applyAlignment="0">
      <alignment horizontal="center"/>
    </xf>
    <xf numFmtId="0" fontId="28" fillId="0" borderId="0">
      <alignment horizontal="center" wrapText="1"/>
    </xf>
    <xf numFmtId="0" fontId="24" fillId="0" borderId="0" applyFill="0">
      <alignment horizontal="center" wrapText="1"/>
    </xf>
    <xf numFmtId="43" fontId="3"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14" fillId="0" borderId="0" applyFont="0" applyFill="0" applyBorder="0" applyAlignment="0" applyProtection="0"/>
    <xf numFmtId="0" fontId="15" fillId="0" borderId="0" applyFont="0" applyFill="0" applyBorder="0" applyAlignment="0" applyProtection="0"/>
    <xf numFmtId="0" fontId="29" fillId="0" borderId="3"/>
    <xf numFmtId="0" fontId="30" fillId="0" borderId="0"/>
    <xf numFmtId="9" fontId="3"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3" fontId="2" fillId="0" borderId="0">
      <alignment horizontal="left" vertical="top"/>
    </xf>
    <xf numFmtId="0" fontId="32" fillId="0" borderId="3">
      <alignment horizontal="center"/>
    </xf>
    <xf numFmtId="3" fontId="31" fillId="0" borderId="0" applyFont="0" applyFill="0" applyBorder="0" applyAlignment="0" applyProtection="0"/>
    <xf numFmtId="0" fontId="31" fillId="2" borderId="0" applyNumberFormat="0" applyFont="0" applyBorder="0" applyAlignment="0" applyProtection="0"/>
    <xf numFmtId="3" fontId="2" fillId="0" borderId="0">
      <alignment horizontal="right" vertical="top"/>
    </xf>
    <xf numFmtId="41" fontId="4" fillId="3" borderId="4" applyFill="0"/>
    <xf numFmtId="0" fontId="33" fillId="0" borderId="0">
      <alignment horizontal="left" indent="7"/>
    </xf>
    <xf numFmtId="41" fontId="4" fillId="0" borderId="4" applyFill="0">
      <alignment horizontal="left" indent="2"/>
    </xf>
    <xf numFmtId="173" fontId="34" fillId="0" borderId="5" applyFill="0">
      <alignment horizontal="right"/>
    </xf>
    <xf numFmtId="0" fontId="11" fillId="0" borderId="6" applyNumberFormat="0" applyFont="0" applyBorder="0">
      <alignment horizontal="right"/>
    </xf>
    <xf numFmtId="0" fontId="35" fillId="0" borderId="0" applyFill="0"/>
    <xf numFmtId="0" fontId="7" fillId="0" borderId="0" applyFill="0"/>
    <xf numFmtId="4" fontId="34" fillId="0" borderId="5" applyFill="0"/>
    <xf numFmtId="0" fontId="2" fillId="0" borderId="0" applyNumberFormat="0" applyFont="0" applyBorder="0" applyAlignment="0"/>
    <xf numFmtId="0" fontId="20" fillId="0" borderId="0" applyFill="0">
      <alignment horizontal="left" indent="1"/>
    </xf>
    <xf numFmtId="0" fontId="36" fillId="0" borderId="0" applyFill="0">
      <alignment horizontal="left" indent="1"/>
    </xf>
    <xf numFmtId="4" fontId="22" fillId="0" borderId="0" applyFill="0"/>
    <xf numFmtId="0" fontId="2" fillId="0" borderId="0" applyNumberFormat="0" applyFont="0" applyFill="0" applyBorder="0" applyAlignment="0"/>
    <xf numFmtId="0" fontId="20" fillId="0" borderId="0" applyFill="0">
      <alignment horizontal="left" indent="2"/>
    </xf>
    <xf numFmtId="0" fontId="7" fillId="0" borderId="0" applyFill="0">
      <alignment horizontal="left" indent="2"/>
    </xf>
    <xf numFmtId="4" fontId="22" fillId="0" borderId="0" applyFill="0"/>
    <xf numFmtId="0" fontId="2" fillId="0" borderId="0" applyNumberFormat="0" applyFont="0" applyBorder="0" applyAlignment="0"/>
    <xf numFmtId="0" fontId="37" fillId="0" borderId="0">
      <alignment horizontal="left" indent="3"/>
    </xf>
    <xf numFmtId="0" fontId="8" fillId="0" borderId="0" applyFill="0">
      <alignment horizontal="left" indent="3"/>
    </xf>
    <xf numFmtId="4" fontId="22" fillId="0" borderId="0" applyFill="0"/>
    <xf numFmtId="0" fontId="2" fillId="0" borderId="0" applyNumberFormat="0" applyFont="0" applyBorder="0" applyAlignment="0"/>
    <xf numFmtId="0" fontId="23" fillId="0" borderId="0">
      <alignment horizontal="left" indent="4"/>
    </xf>
    <xf numFmtId="0" fontId="10" fillId="0" borderId="0" applyFill="0">
      <alignment horizontal="left" indent="4"/>
    </xf>
    <xf numFmtId="4" fontId="24" fillId="0" borderId="0" applyFill="0"/>
    <xf numFmtId="0" fontId="2" fillId="0" borderId="0" applyNumberFormat="0" applyFont="0" applyBorder="0" applyAlignment="0"/>
    <xf numFmtId="0" fontId="25" fillId="0" borderId="0">
      <alignment horizontal="left" indent="5"/>
    </xf>
    <xf numFmtId="0" fontId="26" fillId="0" borderId="0" applyFill="0">
      <alignment horizontal="left" indent="5"/>
    </xf>
    <xf numFmtId="4" fontId="27" fillId="0" borderId="0" applyFill="0"/>
    <xf numFmtId="0" fontId="2" fillId="0" borderId="0" applyNumberFormat="0" applyFont="0" applyFill="0" applyBorder="0" applyAlignment="0"/>
    <xf numFmtId="0" fontId="28" fillId="0" borderId="0" applyFill="0">
      <alignment horizontal="left" indent="6"/>
    </xf>
    <xf numFmtId="0" fontId="24" fillId="0" borderId="0" applyFill="0">
      <alignment horizontal="left" indent="6"/>
    </xf>
    <xf numFmtId="0" fontId="2" fillId="0" borderId="0" applyFont="0" applyFill="0" applyBorder="0" applyAlignment="0" applyProtection="0"/>
    <xf numFmtId="173" fontId="3" fillId="0" borderId="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5" borderId="0" applyNumberFormat="0" applyBorder="0" applyAlignment="0" applyProtection="0"/>
    <xf numFmtId="40" fontId="60" fillId="6" borderId="0">
      <alignment horizontal="right"/>
    </xf>
    <xf numFmtId="0" fontId="61" fillId="6" borderId="0">
      <alignment horizontal="right"/>
    </xf>
    <xf numFmtId="0" fontId="62" fillId="6" borderId="8"/>
    <xf numFmtId="0" fontId="62" fillId="0" borderId="0" applyBorder="0">
      <alignment horizontal="centerContinuous"/>
    </xf>
    <xf numFmtId="0" fontId="63" fillId="0" borderId="0" applyBorder="0">
      <alignment horizontal="centerContinuous"/>
    </xf>
    <xf numFmtId="0" fontId="2" fillId="0" borderId="0" applyFill="0">
      <alignment horizontal="center" vertical="center" wrapText="1"/>
    </xf>
    <xf numFmtId="0" fontId="7" fillId="0" borderId="0" applyFont="0" applyFill="0" applyBorder="0" applyAlignment="0" applyProtection="0"/>
    <xf numFmtId="0" fontId="2" fillId="0" borderId="0" applyFill="0">
      <alignment horizontal="left" indent="4"/>
    </xf>
  </cellStyleXfs>
  <cellXfs count="426">
    <xf numFmtId="173" fontId="0" fillId="0" borderId="0" xfId="0" applyAlignment="1"/>
    <xf numFmtId="170" fontId="0" fillId="0" borderId="7" xfId="0" applyNumberFormat="1" applyBorder="1" applyAlignment="1"/>
    <xf numFmtId="173" fontId="0" fillId="0" borderId="7" xfId="0" applyBorder="1" applyAlignment="1"/>
    <xf numFmtId="173" fontId="0" fillId="0" borderId="0" xfId="0" applyBorder="1" applyAlignment="1"/>
    <xf numFmtId="0" fontId="3" fillId="0" borderId="0" xfId="0" applyNumberFormat="1" applyFont="1"/>
    <xf numFmtId="173" fontId="3" fillId="0" borderId="0" xfId="0" applyFont="1" applyAlignment="1"/>
    <xf numFmtId="173" fontId="6" fillId="0" borderId="0" xfId="0" applyFont="1" applyAlignment="1"/>
    <xf numFmtId="0" fontId="6" fillId="0" borderId="0" xfId="0" applyNumberFormat="1" applyFont="1"/>
    <xf numFmtId="3" fontId="3" fillId="0" borderId="0" xfId="0" applyNumberFormat="1" applyFont="1" applyAlignment="1"/>
    <xf numFmtId="0" fontId="3" fillId="0" borderId="0" xfId="0" applyNumberFormat="1" applyFont="1" applyAlignment="1"/>
    <xf numFmtId="0" fontId="9" fillId="0" borderId="0" xfId="0" applyNumberFormat="1" applyFont="1" applyAlignment="1" applyProtection="1">
      <alignment horizontal="center"/>
      <protection locked="0"/>
    </xf>
    <xf numFmtId="0" fontId="9" fillId="0" borderId="0" xfId="0" applyNumberFormat="1" applyFont="1" applyFill="1" applyAlignment="1" applyProtection="1">
      <alignment horizontal="center"/>
      <protection locked="0"/>
    </xf>
    <xf numFmtId="3" fontId="4" fillId="0" borderId="0" xfId="0" applyNumberFormat="1" applyFont="1" applyAlignment="1">
      <alignment horizontal="center"/>
    </xf>
    <xf numFmtId="3" fontId="5" fillId="0" borderId="0" xfId="0" applyNumberFormat="1" applyFont="1" applyAlignment="1">
      <alignment horizontal="left"/>
    </xf>
    <xf numFmtId="0" fontId="5" fillId="0" borderId="0" xfId="0" applyNumberFormat="1" applyFont="1" applyFill="1" applyAlignment="1" applyProtection="1">
      <alignment horizontal="left"/>
      <protection locked="0"/>
    </xf>
    <xf numFmtId="3" fontId="6" fillId="0" borderId="0" xfId="0" applyNumberFormat="1" applyFont="1" applyBorder="1" applyAlignment="1"/>
    <xf numFmtId="173" fontId="12" fillId="0" borderId="0" xfId="0" applyFont="1" applyBorder="1"/>
    <xf numFmtId="173" fontId="6" fillId="0" borderId="0" xfId="0" applyFont="1" applyBorder="1"/>
    <xf numFmtId="173" fontId="6" fillId="0" borderId="0" xfId="0" applyFont="1" applyBorder="1" applyAlignment="1">
      <alignment horizontal="left" wrapText="1"/>
    </xf>
    <xf numFmtId="173" fontId="6" fillId="0" borderId="0" xfId="0" applyFont="1" applyBorder="1" applyAlignment="1"/>
    <xf numFmtId="173" fontId="6" fillId="0" borderId="5" xfId="0" applyFont="1" applyBorder="1" applyAlignment="1"/>
    <xf numFmtId="173" fontId="9" fillId="0" borderId="0" xfId="0" applyFont="1" applyAlignment="1"/>
    <xf numFmtId="173" fontId="0" fillId="0" borderId="0" xfId="0" applyFont="1" applyBorder="1" applyAlignment="1"/>
    <xf numFmtId="3" fontId="0" fillId="0" borderId="0" xfId="0" applyNumberFormat="1" applyFont="1" applyBorder="1" applyAlignment="1"/>
    <xf numFmtId="0" fontId="0" fillId="0" borderId="0" xfId="0" applyNumberFormat="1" applyFont="1" applyBorder="1" applyAlignment="1"/>
    <xf numFmtId="173" fontId="0" fillId="0" borderId="8" xfId="0" applyFont="1" applyBorder="1" applyAlignment="1"/>
    <xf numFmtId="0" fontId="0" fillId="0" borderId="7" xfId="0" applyNumberFormat="1" applyFont="1" applyBorder="1" applyAlignment="1"/>
    <xf numFmtId="3" fontId="0" fillId="4" borderId="9" xfId="0" applyNumberFormat="1" applyFont="1" applyFill="1" applyBorder="1" applyAlignment="1"/>
    <xf numFmtId="3" fontId="0" fillId="0" borderId="5" xfId="0" applyNumberFormat="1" applyFont="1" applyBorder="1" applyAlignment="1"/>
    <xf numFmtId="0" fontId="0" fillId="0" borderId="5" xfId="0" applyNumberFormat="1" applyFont="1" applyBorder="1" applyAlignment="1"/>
    <xf numFmtId="173" fontId="0" fillId="0" borderId="10" xfId="0" applyFont="1" applyBorder="1" applyAlignment="1"/>
    <xf numFmtId="173" fontId="0" fillId="0" borderId="5" xfId="0" applyFont="1" applyBorder="1" applyAlignment="1"/>
    <xf numFmtId="173" fontId="0" fillId="0" borderId="8" xfId="0" applyBorder="1" applyAlignment="1"/>
    <xf numFmtId="173" fontId="9" fillId="0" borderId="0" xfId="0" applyFont="1" applyBorder="1" applyAlignment="1"/>
    <xf numFmtId="0" fontId="9" fillId="0" borderId="0" xfId="0" applyNumberFormat="1" applyFont="1" applyAlignment="1" applyProtection="1">
      <protection locked="0"/>
    </xf>
    <xf numFmtId="0" fontId="9" fillId="0" borderId="0" xfId="0" applyNumberFormat="1" applyFont="1" applyAlignment="1"/>
    <xf numFmtId="3" fontId="9" fillId="0" borderId="0" xfId="0" applyNumberFormat="1" applyFont="1" applyAlignment="1"/>
    <xf numFmtId="3" fontId="9" fillId="0" borderId="0" xfId="0" applyNumberFormat="1" applyFont="1" applyBorder="1" applyAlignment="1"/>
    <xf numFmtId="164" fontId="9" fillId="0" borderId="0" xfId="0" applyNumberFormat="1" applyFont="1" applyAlignment="1">
      <alignment horizontal="center"/>
    </xf>
    <xf numFmtId="3" fontId="9" fillId="0" borderId="0" xfId="0" applyNumberFormat="1" applyFont="1" applyFill="1" applyAlignment="1"/>
    <xf numFmtId="3" fontId="9" fillId="0" borderId="0" xfId="0" applyNumberFormat="1" applyFont="1" applyFill="1" applyAlignment="1">
      <alignment horizontal="right"/>
    </xf>
    <xf numFmtId="0" fontId="9" fillId="0" borderId="0" xfId="0" applyNumberFormat="1" applyFont="1" applyFill="1" applyAlignment="1"/>
    <xf numFmtId="173" fontId="9" fillId="0" borderId="0" xfId="0" applyFont="1" applyFill="1" applyAlignment="1"/>
    <xf numFmtId="174" fontId="0" fillId="4" borderId="7" xfId="34" applyNumberFormat="1" applyFont="1" applyFill="1" applyBorder="1" applyAlignment="1"/>
    <xf numFmtId="173" fontId="38" fillId="0" borderId="0" xfId="0" applyFont="1" applyAlignment="1"/>
    <xf numFmtId="0" fontId="9" fillId="0" borderId="0" xfId="0" applyNumberFormat="1" applyFont="1" applyAlignment="1" applyProtection="1">
      <alignment horizontal="left"/>
      <protection locked="0"/>
    </xf>
    <xf numFmtId="0" fontId="9" fillId="0" borderId="0" xfId="0" applyNumberFormat="1" applyFont="1" applyProtection="1">
      <protection locked="0"/>
    </xf>
    <xf numFmtId="0" fontId="9" fillId="0" borderId="0" xfId="0" applyNumberFormat="1" applyFont="1"/>
    <xf numFmtId="0" fontId="9" fillId="0" borderId="0" xfId="0" applyNumberFormat="1" applyFont="1" applyFill="1" applyAlignment="1">
      <alignment horizontal="right"/>
    </xf>
    <xf numFmtId="0" fontId="9" fillId="0" borderId="0" xfId="0" applyNumberFormat="1" applyFont="1" applyFill="1"/>
    <xf numFmtId="0" fontId="9" fillId="4" borderId="0" xfId="0" applyNumberFormat="1" applyFont="1" applyFill="1" applyProtection="1">
      <protection locked="0"/>
    </xf>
    <xf numFmtId="0" fontId="9" fillId="4" borderId="0" xfId="0" applyNumberFormat="1" applyFont="1" applyFill="1"/>
    <xf numFmtId="49" fontId="9" fillId="0" borderId="0" xfId="0" applyNumberFormat="1" applyFont="1"/>
    <xf numFmtId="0" fontId="9" fillId="0" borderId="3" xfId="0" applyNumberFormat="1" applyFont="1" applyBorder="1" applyAlignment="1" applyProtection="1">
      <alignment horizontal="center"/>
      <protection locked="0"/>
    </xf>
    <xf numFmtId="3" fontId="9" fillId="0" borderId="0" xfId="0" applyNumberFormat="1" applyFont="1"/>
    <xf numFmtId="42" fontId="9" fillId="0" borderId="0" xfId="0" applyNumberFormat="1" applyFont="1"/>
    <xf numFmtId="0" fontId="9" fillId="0" borderId="3" xfId="0" applyNumberFormat="1" applyFont="1" applyBorder="1" applyAlignment="1" applyProtection="1">
      <alignment horizontal="centerContinuous"/>
      <protection locked="0"/>
    </xf>
    <xf numFmtId="166" fontId="9" fillId="0" borderId="0" xfId="0" applyNumberFormat="1" applyFont="1" applyAlignment="1"/>
    <xf numFmtId="3" fontId="9" fillId="0" borderId="0" xfId="0" applyNumberFormat="1" applyFont="1" applyFill="1" applyBorder="1"/>
    <xf numFmtId="3" fontId="9" fillId="4" borderId="0" xfId="0" applyNumberFormat="1" applyFont="1" applyFill="1" applyAlignment="1"/>
    <xf numFmtId="3" fontId="9" fillId="0" borderId="3" xfId="0" applyNumberFormat="1" applyFont="1" applyBorder="1" applyAlignment="1"/>
    <xf numFmtId="3" fontId="9" fillId="0" borderId="0" xfId="0" applyNumberFormat="1" applyFont="1" applyAlignment="1">
      <alignment horizontal="fill"/>
    </xf>
    <xf numFmtId="42" fontId="9" fillId="0" borderId="11" xfId="0" applyNumberFormat="1" applyFont="1" applyBorder="1" applyAlignment="1" applyProtection="1">
      <alignment horizontal="right"/>
      <protection locked="0"/>
    </xf>
    <xf numFmtId="0" fontId="9" fillId="0" borderId="0" xfId="0" applyNumberFormat="1" applyFont="1" applyFill="1" applyProtection="1">
      <protection locked="0"/>
    </xf>
    <xf numFmtId="3" fontId="9" fillId="4" borderId="0" xfId="0" applyNumberFormat="1" applyFont="1" applyFill="1"/>
    <xf numFmtId="3" fontId="9" fillId="4" borderId="0" xfId="0" applyNumberFormat="1" applyFont="1" applyFill="1" applyBorder="1"/>
    <xf numFmtId="3" fontId="9" fillId="4" borderId="3" xfId="0" applyNumberFormat="1" applyFont="1" applyFill="1" applyBorder="1"/>
    <xf numFmtId="168" fontId="9" fillId="0" borderId="0" xfId="0" applyNumberFormat="1" applyFont="1"/>
    <xf numFmtId="168" fontId="9" fillId="0" borderId="0" xfId="0" applyNumberFormat="1" applyFont="1" applyAlignment="1">
      <alignment horizontal="center"/>
    </xf>
    <xf numFmtId="173" fontId="9" fillId="0" borderId="0" xfId="0" applyFont="1" applyAlignment="1">
      <alignment horizontal="center"/>
    </xf>
    <xf numFmtId="172" fontId="9" fillId="0" borderId="0" xfId="0" applyNumberFormat="1" applyFont="1" applyAlignment="1"/>
    <xf numFmtId="172" fontId="9" fillId="4" borderId="0" xfId="0" applyNumberFormat="1" applyFont="1" applyFill="1" applyProtection="1">
      <protection locked="0"/>
    </xf>
    <xf numFmtId="172" fontId="9" fillId="0" borderId="0" xfId="0" applyNumberFormat="1" applyFont="1" applyProtection="1">
      <protection locked="0"/>
    </xf>
    <xf numFmtId="172" fontId="9" fillId="0" borderId="0" xfId="0" applyNumberFormat="1" applyFont="1" applyFill="1" applyProtection="1">
      <protection locked="0"/>
    </xf>
    <xf numFmtId="0" fontId="9" fillId="0" borderId="0" xfId="0" applyNumberFormat="1" applyFont="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center"/>
    </xf>
    <xf numFmtId="0" fontId="9" fillId="0" borderId="0" xfId="0" applyNumberFormat="1" applyFont="1" applyFill="1" applyAlignment="1">
      <alignment horizontal="center"/>
    </xf>
    <xf numFmtId="3" fontId="39" fillId="0" borderId="0" xfId="0" applyNumberFormat="1" applyFont="1" applyAlignment="1">
      <alignment horizontal="center"/>
    </xf>
    <xf numFmtId="0" fontId="39" fillId="0" borderId="0" xfId="0" applyNumberFormat="1" applyFont="1" applyAlignment="1" applyProtection="1">
      <alignment horizontal="center"/>
      <protection locked="0"/>
    </xf>
    <xf numFmtId="173" fontId="39" fillId="0" borderId="0" xfId="0" applyFont="1" applyAlignment="1">
      <alignment horizontal="center"/>
    </xf>
    <xf numFmtId="3" fontId="39" fillId="0" borderId="0" xfId="0" applyNumberFormat="1" applyFont="1" applyAlignment="1"/>
    <xf numFmtId="0" fontId="39" fillId="0" borderId="0" xfId="0" applyNumberFormat="1" applyFont="1" applyAlignment="1"/>
    <xf numFmtId="165" fontId="9" fillId="0" borderId="0" xfId="0" applyNumberFormat="1" applyFont="1" applyAlignment="1"/>
    <xf numFmtId="3" fontId="9" fillId="4" borderId="3" xfId="0" applyNumberFormat="1" applyFont="1" applyFill="1" applyBorder="1" applyAlignment="1"/>
    <xf numFmtId="164" fontId="9" fillId="0" borderId="0" xfId="0" applyNumberFormat="1" applyFont="1" applyFill="1" applyAlignment="1">
      <alignment horizontal="center"/>
    </xf>
    <xf numFmtId="165" fontId="9" fillId="0" borderId="0" xfId="0" applyNumberFormat="1" applyFont="1" applyFill="1" applyAlignment="1">
      <alignment horizontal="right"/>
    </xf>
    <xf numFmtId="173" fontId="9" fillId="0" borderId="3" xfId="0" applyFont="1" applyBorder="1" applyAlignment="1"/>
    <xf numFmtId="0" fontId="39" fillId="0" borderId="0" xfId="0" applyNumberFormat="1" applyFont="1" applyFill="1" applyAlignment="1" applyProtection="1">
      <alignment horizontal="center"/>
      <protection locked="0"/>
    </xf>
    <xf numFmtId="0" fontId="40" fillId="0" borderId="0" xfId="0" applyNumberFormat="1" applyFont="1" applyAlignment="1">
      <alignment horizontal="center"/>
    </xf>
    <xf numFmtId="3" fontId="40" fillId="0" borderId="0" xfId="0" applyNumberFormat="1" applyFont="1" applyAlignment="1"/>
    <xf numFmtId="0" fontId="39" fillId="0" borderId="0" xfId="0" applyNumberFormat="1" applyFont="1" applyAlignment="1">
      <alignment horizontal="center"/>
    </xf>
    <xf numFmtId="3" fontId="41" fillId="0" borderId="0" xfId="0" applyNumberFormat="1" applyFont="1" applyAlignment="1"/>
    <xf numFmtId="171" fontId="9" fillId="0" borderId="0" xfId="0" applyNumberFormat="1" applyFont="1" applyFill="1" applyAlignment="1">
      <alignment horizontal="left"/>
    </xf>
    <xf numFmtId="165" fontId="9" fillId="0" borderId="0" xfId="0" applyNumberFormat="1" applyFont="1" applyFill="1" applyAlignment="1"/>
    <xf numFmtId="166" fontId="9" fillId="0" borderId="0" xfId="0" applyNumberFormat="1" applyFont="1" applyFill="1" applyAlignment="1">
      <alignment horizontal="right"/>
    </xf>
    <xf numFmtId="166" fontId="9" fillId="0" borderId="0" xfId="0" applyNumberFormat="1" applyFont="1" applyAlignment="1">
      <alignment horizontal="center"/>
    </xf>
    <xf numFmtId="164" fontId="9" fillId="0" borderId="0" xfId="0" applyNumberFormat="1" applyFont="1" applyAlignment="1">
      <alignment horizontal="left"/>
    </xf>
    <xf numFmtId="10" fontId="9" fillId="0" borderId="0" xfId="0" applyNumberFormat="1" applyFont="1" applyFill="1" applyAlignment="1">
      <alignment horizontal="right"/>
    </xf>
    <xf numFmtId="169" fontId="9" fillId="0" borderId="0" xfId="0" applyNumberFormat="1" applyFont="1" applyFill="1" applyAlignment="1">
      <alignment horizontal="right"/>
    </xf>
    <xf numFmtId="10" fontId="9" fillId="0" borderId="0" xfId="0" applyNumberFormat="1" applyFont="1" applyAlignment="1">
      <alignment horizontal="left"/>
    </xf>
    <xf numFmtId="3" fontId="9" fillId="0" borderId="0" xfId="0" applyNumberFormat="1" applyFont="1" applyFill="1" applyAlignment="1">
      <alignment horizontal="left"/>
    </xf>
    <xf numFmtId="164" fontId="9" fillId="0" borderId="0" xfId="0" applyNumberFormat="1" applyFont="1" applyAlignment="1" applyProtection="1">
      <alignment horizontal="left"/>
      <protection locked="0"/>
    </xf>
    <xf numFmtId="167" fontId="9" fillId="0" borderId="0" xfId="0" applyNumberFormat="1" applyFont="1" applyAlignment="1"/>
    <xf numFmtId="0" fontId="9" fillId="0" borderId="0" xfId="0" applyNumberFormat="1" applyFont="1" applyFill="1" applyAlignment="1" applyProtection="1">
      <protection locked="0"/>
    </xf>
    <xf numFmtId="0" fontId="9" fillId="0" borderId="3" xfId="0" applyNumberFormat="1" applyFont="1" applyFill="1" applyBorder="1" applyProtection="1">
      <protection locked="0"/>
    </xf>
    <xf numFmtId="0" fontId="9" fillId="0" borderId="3" xfId="0" applyNumberFormat="1" applyFont="1" applyFill="1" applyBorder="1"/>
    <xf numFmtId="3" fontId="9" fillId="0" borderId="3" xfId="0" applyNumberFormat="1" applyFont="1" applyFill="1" applyBorder="1" applyAlignment="1"/>
    <xf numFmtId="3" fontId="9" fillId="0" borderId="0" xfId="0" applyNumberFormat="1" applyFont="1" applyFill="1" applyAlignment="1">
      <alignment horizontal="center"/>
    </xf>
    <xf numFmtId="49" fontId="9" fillId="0" borderId="0" xfId="0" applyNumberFormat="1" applyFont="1" applyFill="1"/>
    <xf numFmtId="49" fontId="9" fillId="0" borderId="0" xfId="0" applyNumberFormat="1" applyFont="1" applyFill="1" applyAlignment="1"/>
    <xf numFmtId="49" fontId="9" fillId="0" borderId="0" xfId="0" applyNumberFormat="1" applyFont="1" applyFill="1" applyAlignment="1">
      <alignment horizontal="center"/>
    </xf>
    <xf numFmtId="165" fontId="9" fillId="0" borderId="0" xfId="0" applyNumberFormat="1" applyFont="1" applyFill="1"/>
    <xf numFmtId="166" fontId="9" fillId="0" borderId="0" xfId="0" applyNumberFormat="1" applyFont="1" applyFill="1"/>
    <xf numFmtId="3" fontId="9" fillId="0" borderId="0" xfId="0" applyNumberFormat="1" applyFont="1" applyAlignment="1">
      <alignment horizontal="center"/>
    </xf>
    <xf numFmtId="3" fontId="9" fillId="0" borderId="3" xfId="0" applyNumberFormat="1" applyFont="1" applyBorder="1" applyAlignment="1">
      <alignment horizontal="center"/>
    </xf>
    <xf numFmtId="4" fontId="9" fillId="0" borderId="0" xfId="0" applyNumberFormat="1" applyFont="1" applyAlignment="1"/>
    <xf numFmtId="3" fontId="9" fillId="0" borderId="0" xfId="0" applyNumberFormat="1" applyFont="1" applyBorder="1" applyAlignment="1">
      <alignment horizontal="center"/>
    </xf>
    <xf numFmtId="166" fontId="9" fillId="0" borderId="0" xfId="0" applyNumberFormat="1" applyFont="1" applyAlignment="1" applyProtection="1">
      <alignment horizontal="center"/>
      <protection locked="0"/>
    </xf>
    <xf numFmtId="166" fontId="9" fillId="0" borderId="0" xfId="0" applyNumberFormat="1" applyFont="1" applyFill="1" applyAlignment="1"/>
    <xf numFmtId="0" fontId="9" fillId="0" borderId="3" xfId="0" applyNumberFormat="1" applyFont="1" applyBorder="1" applyAlignment="1"/>
    <xf numFmtId="170" fontId="9" fillId="4" borderId="0" xfId="0" applyNumberFormat="1" applyFont="1" applyFill="1" applyAlignment="1"/>
    <xf numFmtId="42" fontId="9" fillId="4" borderId="0" xfId="0" applyNumberFormat="1" applyFont="1" applyFill="1" applyAlignment="1"/>
    <xf numFmtId="3" fontId="9" fillId="0" borderId="0" xfId="0" applyNumberFormat="1" applyFont="1" applyFill="1" applyAlignment="1" applyProtection="1">
      <protection locked="0"/>
    </xf>
    <xf numFmtId="9" fontId="9" fillId="0" borderId="0" xfId="0" applyNumberFormat="1" applyFont="1" applyAlignment="1"/>
    <xf numFmtId="169" fontId="9" fillId="0" borderId="0" xfId="0" applyNumberFormat="1" applyFont="1" applyAlignment="1"/>
    <xf numFmtId="3" fontId="9" fillId="0" borderId="0" xfId="0" quotePrefix="1" applyNumberFormat="1" applyFont="1" applyAlignment="1"/>
    <xf numFmtId="169" fontId="9" fillId="4" borderId="0" xfId="0" applyNumberFormat="1" applyFont="1" applyFill="1" applyAlignment="1"/>
    <xf numFmtId="169" fontId="9" fillId="0" borderId="3" xfId="0" applyNumberFormat="1" applyFont="1" applyBorder="1" applyAlignment="1"/>
    <xf numFmtId="0" fontId="9" fillId="0" borderId="0" xfId="0" applyNumberFormat="1" applyFont="1" applyBorder="1" applyAlignment="1" applyProtection="1">
      <alignment horizontal="center"/>
      <protection locked="0"/>
    </xf>
    <xf numFmtId="0" fontId="42" fillId="0" borderId="0" xfId="0" applyNumberFormat="1" applyFont="1" applyProtection="1">
      <protection locked="0"/>
    </xf>
    <xf numFmtId="173" fontId="42" fillId="0" borderId="0" xfId="0" applyFont="1" applyAlignment="1"/>
    <xf numFmtId="173" fontId="9" fillId="0" borderId="0" xfId="0" applyFont="1" applyFill="1" applyAlignment="1" applyProtection="1"/>
    <xf numFmtId="38" fontId="9" fillId="4" borderId="0" xfId="0" applyNumberFormat="1" applyFont="1" applyFill="1" applyBorder="1" applyProtection="1">
      <protection locked="0"/>
    </xf>
    <xf numFmtId="38" fontId="9" fillId="0" borderId="0" xfId="0" applyNumberFormat="1" applyFont="1" applyAlignment="1" applyProtection="1"/>
    <xf numFmtId="0" fontId="9" fillId="0" borderId="3" xfId="0" applyNumberFormat="1" applyFont="1" applyBorder="1"/>
    <xf numFmtId="0" fontId="9" fillId="0" borderId="3" xfId="0" applyNumberFormat="1" applyFont="1" applyBorder="1" applyProtection="1">
      <protection locked="0"/>
    </xf>
    <xf numFmtId="38" fontId="9" fillId="4" borderId="3" xfId="0" applyNumberFormat="1" applyFont="1" applyFill="1" applyBorder="1" applyProtection="1">
      <protection locked="0"/>
    </xf>
    <xf numFmtId="38" fontId="9" fillId="0" borderId="0" xfId="0" applyNumberFormat="1" applyFont="1" applyAlignment="1"/>
    <xf numFmtId="38" fontId="9" fillId="0" borderId="0" xfId="0" applyNumberFormat="1" applyFont="1" applyFill="1" applyBorder="1" applyProtection="1"/>
    <xf numFmtId="170" fontId="9" fillId="0" borderId="0" xfId="0" applyNumberFormat="1" applyFont="1" applyFill="1" applyBorder="1" applyProtection="1"/>
    <xf numFmtId="1" fontId="9" fillId="0" borderId="0" xfId="0" applyNumberFormat="1" applyFont="1" applyFill="1" applyProtection="1"/>
    <xf numFmtId="168" fontId="9" fillId="0" borderId="0" xfId="0" applyNumberFormat="1" applyFont="1" applyProtection="1">
      <protection locked="0"/>
    </xf>
    <xf numFmtId="170" fontId="9" fillId="4" borderId="0" xfId="0" applyNumberFormat="1" applyFont="1" applyFill="1" applyBorder="1" applyProtection="1"/>
    <xf numFmtId="1" fontId="9" fillId="0" borderId="0" xfId="0" applyNumberFormat="1" applyFont="1" applyFill="1" applyAlignment="1" applyProtection="1"/>
    <xf numFmtId="170" fontId="9" fillId="4" borderId="0" xfId="0" applyNumberFormat="1" applyFont="1" applyFill="1" applyBorder="1" applyAlignment="1" applyProtection="1">
      <protection locked="0"/>
    </xf>
    <xf numFmtId="3" fontId="9" fillId="0" borderId="0" xfId="0" applyNumberFormat="1" applyFont="1" applyAlignment="1" applyProtection="1"/>
    <xf numFmtId="3" fontId="9" fillId="0" borderId="0" xfId="0" applyNumberFormat="1" applyFont="1" applyFill="1" applyAlignment="1" applyProtection="1">
      <alignment horizontal="right"/>
      <protection locked="0"/>
    </xf>
    <xf numFmtId="173" fontId="9" fillId="0" borderId="0" xfId="0" applyNumberFormat="1" applyFont="1" applyAlignment="1" applyProtection="1">
      <protection locked="0"/>
    </xf>
    <xf numFmtId="170" fontId="9" fillId="0" borderId="0" xfId="0" applyNumberFormat="1" applyFont="1" applyFill="1" applyBorder="1" applyAlignment="1" applyProtection="1"/>
    <xf numFmtId="3" fontId="9" fillId="0" borderId="0" xfId="0" applyNumberFormat="1" applyFont="1" applyFill="1" applyAlignment="1" applyProtection="1"/>
    <xf numFmtId="170" fontId="9" fillId="0" borderId="0" xfId="0" applyNumberFormat="1" applyFont="1" applyProtection="1">
      <protection locked="0"/>
    </xf>
    <xf numFmtId="10" fontId="9" fillId="4" borderId="0" xfId="0" applyNumberFormat="1" applyFont="1" applyFill="1" applyProtection="1">
      <protection locked="0"/>
    </xf>
    <xf numFmtId="0" fontId="43" fillId="0" borderId="0" xfId="0" applyNumberFormat="1" applyFont="1" applyFill="1" applyProtection="1">
      <protection locked="0"/>
    </xf>
    <xf numFmtId="10" fontId="9" fillId="0" borderId="0" xfId="0" applyNumberFormat="1" applyFont="1" applyFill="1"/>
    <xf numFmtId="173" fontId="9" fillId="0" borderId="0" xfId="0" applyFont="1" applyFill="1" applyAlignment="1">
      <alignment horizontal="center"/>
    </xf>
    <xf numFmtId="49" fontId="39" fillId="4" borderId="0" xfId="0" applyNumberFormat="1" applyFont="1" applyFill="1"/>
    <xf numFmtId="3" fontId="39" fillId="4" borderId="0" xfId="0" applyNumberFormat="1" applyFont="1" applyFill="1" applyAlignment="1"/>
    <xf numFmtId="173" fontId="39" fillId="4" borderId="0" xfId="0" applyFont="1" applyFill="1" applyAlignment="1"/>
    <xf numFmtId="37" fontId="9" fillId="0" borderId="3" xfId="0" applyNumberFormat="1" applyFont="1" applyBorder="1" applyAlignment="1"/>
    <xf numFmtId="173" fontId="44" fillId="0" borderId="0" xfId="0" applyFont="1" applyAlignment="1"/>
    <xf numFmtId="37" fontId="9" fillId="0" borderId="0" xfId="0" applyNumberFormat="1" applyFont="1" applyFill="1" applyAlignment="1"/>
    <xf numFmtId="3" fontId="9" fillId="0" borderId="11" xfId="0" applyNumberFormat="1" applyFont="1" applyFill="1" applyBorder="1" applyAlignment="1"/>
    <xf numFmtId="0" fontId="9" fillId="0" borderId="0" xfId="0" applyNumberFormat="1" applyFont="1" applyFill="1" applyAlignment="1">
      <alignment horizontal="left"/>
    </xf>
    <xf numFmtId="173" fontId="46" fillId="0" borderId="0" xfId="0" applyFont="1" applyAlignment="1"/>
    <xf numFmtId="0" fontId="9" fillId="0" borderId="0" xfId="0" applyNumberFormat="1" applyFont="1" applyBorder="1" applyAlignment="1" applyProtection="1">
      <protection locked="0"/>
    </xf>
    <xf numFmtId="0" fontId="9" fillId="0" borderId="0" xfId="0" applyNumberFormat="1" applyFont="1" applyBorder="1" applyProtection="1">
      <protection locked="0"/>
    </xf>
    <xf numFmtId="3" fontId="42" fillId="0" borderId="0" xfId="0" applyNumberFormat="1" applyFont="1" applyFill="1" applyAlignment="1" applyProtection="1">
      <alignment horizontal="right"/>
      <protection locked="0"/>
    </xf>
    <xf numFmtId="3" fontId="47" fillId="0" borderId="0" xfId="0" applyNumberFormat="1" applyFont="1" applyAlignment="1">
      <alignment horizontal="left"/>
    </xf>
    <xf numFmtId="173" fontId="42" fillId="0" borderId="0" xfId="0" applyFont="1" applyBorder="1" applyAlignment="1"/>
    <xf numFmtId="0" fontId="46" fillId="0" borderId="0" xfId="0" applyNumberFormat="1" applyFont="1" applyFill="1"/>
    <xf numFmtId="0" fontId="45" fillId="0" borderId="0" xfId="0" applyNumberFormat="1" applyFont="1" applyFill="1"/>
    <xf numFmtId="0" fontId="9" fillId="0" borderId="5" xfId="0" applyNumberFormat="1" applyFont="1" applyFill="1" applyBorder="1"/>
    <xf numFmtId="0" fontId="9" fillId="0" borderId="0" xfId="0" applyNumberFormat="1" applyFont="1" applyFill="1" applyBorder="1"/>
    <xf numFmtId="173" fontId="42" fillId="0" borderId="0" xfId="0" applyFont="1" applyFill="1" applyAlignment="1"/>
    <xf numFmtId="3" fontId="45" fillId="0" borderId="0" xfId="0" applyNumberFormat="1" applyFont="1" applyFill="1" applyAlignment="1"/>
    <xf numFmtId="0" fontId="45" fillId="0" borderId="0" xfId="0" applyNumberFormat="1" applyFont="1" applyFill="1" applyAlignment="1" applyProtection="1">
      <alignment horizontal="center"/>
      <protection locked="0"/>
    </xf>
    <xf numFmtId="173" fontId="45" fillId="0" borderId="0" xfId="0" applyFont="1" applyFill="1" applyAlignment="1"/>
    <xf numFmtId="173" fontId="9" fillId="0" borderId="0" xfId="0" quotePrefix="1" applyFont="1" applyFill="1" applyAlignment="1"/>
    <xf numFmtId="164" fontId="45" fillId="0" borderId="0" xfId="0" applyNumberFormat="1" applyFont="1" applyFill="1" applyAlignment="1">
      <alignment horizontal="center"/>
    </xf>
    <xf numFmtId="37" fontId="9" fillId="0" borderId="0" xfId="0" applyNumberFormat="1" applyFont="1" applyFill="1" applyBorder="1" applyAlignment="1"/>
    <xf numFmtId="37" fontId="9" fillId="0" borderId="3" xfId="0" applyNumberFormat="1" applyFont="1" applyFill="1" applyBorder="1" applyAlignment="1"/>
    <xf numFmtId="173" fontId="9" fillId="0" borderId="3" xfId="0" applyFont="1" applyFill="1" applyBorder="1" applyAlignment="1"/>
    <xf numFmtId="0" fontId="9" fillId="0" borderId="5" xfId="0" applyNumberFormat="1" applyFont="1" applyBorder="1" applyAlignment="1" applyProtection="1">
      <protection locked="0"/>
    </xf>
    <xf numFmtId="0" fontId="9" fillId="0" borderId="5" xfId="0" applyNumberFormat="1" applyFont="1" applyBorder="1" applyProtection="1">
      <protection locked="0"/>
    </xf>
    <xf numFmtId="170" fontId="9" fillId="4" borderId="3" xfId="0" applyNumberFormat="1" applyFont="1" applyFill="1" applyBorder="1" applyAlignment="1" applyProtection="1">
      <protection locked="0"/>
    </xf>
    <xf numFmtId="37" fontId="9" fillId="4" borderId="0" xfId="0" applyNumberFormat="1" applyFont="1" applyFill="1" applyAlignment="1"/>
    <xf numFmtId="37" fontId="9" fillId="4" borderId="0" xfId="0" applyNumberFormat="1" applyFont="1" applyFill="1" applyBorder="1" applyAlignment="1"/>
    <xf numFmtId="37" fontId="9" fillId="4" borderId="3" xfId="0" applyNumberFormat="1" applyFont="1" applyFill="1" applyBorder="1" applyAlignment="1"/>
    <xf numFmtId="3" fontId="9" fillId="4" borderId="5" xfId="0" applyNumberFormat="1" applyFont="1" applyFill="1" applyBorder="1" applyAlignment="1"/>
    <xf numFmtId="3" fontId="9" fillId="0" borderId="12" xfId="0" applyNumberFormat="1" applyFont="1" applyBorder="1" applyAlignment="1"/>
    <xf numFmtId="3" fontId="9" fillId="4" borderId="0" xfId="0" applyNumberFormat="1" applyFont="1" applyFill="1" applyBorder="1" applyAlignment="1"/>
    <xf numFmtId="173" fontId="48" fillId="0" borderId="0" xfId="0" applyNumberFormat="1" applyFont="1" applyFill="1" applyAlignment="1"/>
    <xf numFmtId="173" fontId="49" fillId="0" borderId="0" xfId="0" applyNumberFormat="1" applyFont="1" applyFill="1" applyAlignment="1"/>
    <xf numFmtId="173" fontId="49" fillId="0" borderId="0" xfId="0" applyNumberFormat="1" applyFont="1" applyFill="1" applyBorder="1" applyAlignment="1"/>
    <xf numFmtId="175" fontId="49" fillId="0" borderId="0" xfId="0" applyNumberFormat="1" applyFont="1" applyFill="1" applyAlignment="1"/>
    <xf numFmtId="174" fontId="49" fillId="0" borderId="2" xfId="34" applyNumberFormat="1" applyFont="1" applyFill="1" applyBorder="1" applyAlignment="1"/>
    <xf numFmtId="174" fontId="49" fillId="0" borderId="0" xfId="34" applyNumberFormat="1" applyFont="1" applyFill="1" applyAlignment="1"/>
    <xf numFmtId="173" fontId="49" fillId="0" borderId="0" xfId="0" applyNumberFormat="1" applyFont="1" applyFill="1" applyAlignment="1">
      <alignment horizontal="right"/>
    </xf>
    <xf numFmtId="170" fontId="49" fillId="0" borderId="0" xfId="32" applyNumberFormat="1" applyFont="1" applyFill="1" applyAlignment="1"/>
    <xf numFmtId="0" fontId="49" fillId="0" borderId="0" xfId="0" applyNumberFormat="1" applyFont="1" applyFill="1"/>
    <xf numFmtId="177" fontId="49" fillId="0" borderId="0" xfId="32" applyNumberFormat="1" applyFont="1" applyFill="1" applyBorder="1" applyAlignment="1"/>
    <xf numFmtId="177" fontId="49" fillId="0" borderId="0" xfId="32" applyNumberFormat="1" applyFont="1" applyFill="1" applyBorder="1"/>
    <xf numFmtId="177" fontId="49" fillId="0" borderId="0" xfId="32" applyNumberFormat="1" applyFont="1" applyFill="1" applyAlignment="1"/>
    <xf numFmtId="15" fontId="49" fillId="0" borderId="0" xfId="0" applyNumberFormat="1" applyFont="1" applyFill="1"/>
    <xf numFmtId="15" fontId="49" fillId="0" borderId="0" xfId="0" applyNumberFormat="1" applyFont="1" applyFill="1" applyBorder="1"/>
    <xf numFmtId="0" fontId="49" fillId="0" borderId="0" xfId="0" applyNumberFormat="1" applyFont="1" applyFill="1" applyBorder="1"/>
    <xf numFmtId="177" fontId="49" fillId="0" borderId="13" xfId="0" applyNumberFormat="1" applyFont="1" applyFill="1" applyBorder="1"/>
    <xf numFmtId="173" fontId="49" fillId="0" borderId="0" xfId="0" applyNumberFormat="1" applyFont="1" applyFill="1" applyBorder="1" applyAlignment="1">
      <alignment horizontal="right"/>
    </xf>
    <xf numFmtId="177" fontId="49" fillId="0" borderId="0" xfId="0" applyNumberFormat="1" applyFont="1" applyFill="1" applyBorder="1"/>
    <xf numFmtId="0" fontId="50" fillId="0" borderId="0" xfId="32" applyNumberFormat="1" applyFont="1" applyFill="1" applyAlignment="1"/>
    <xf numFmtId="42" fontId="49" fillId="0" borderId="0" xfId="0" applyNumberFormat="1" applyFont="1" applyFill="1" applyAlignment="1"/>
    <xf numFmtId="42" fontId="49" fillId="0" borderId="0" xfId="0" applyNumberFormat="1" applyFont="1" applyFill="1" applyBorder="1" applyAlignment="1"/>
    <xf numFmtId="42" fontId="49" fillId="0" borderId="0" xfId="32" applyNumberFormat="1" applyFont="1" applyFill="1" applyAlignment="1"/>
    <xf numFmtId="42" fontId="49" fillId="0" borderId="0" xfId="32" applyNumberFormat="1" applyFont="1" applyFill="1" applyBorder="1" applyAlignment="1"/>
    <xf numFmtId="173" fontId="49" fillId="0" borderId="2" xfId="0" applyNumberFormat="1" applyFont="1" applyFill="1" applyBorder="1" applyAlignment="1"/>
    <xf numFmtId="44" fontId="49" fillId="0" borderId="0" xfId="34" applyFont="1" applyFill="1" applyAlignment="1"/>
    <xf numFmtId="173" fontId="49" fillId="0" borderId="5" xfId="0" applyNumberFormat="1" applyFont="1" applyFill="1" applyBorder="1" applyAlignment="1">
      <alignment horizontal="right" wrapText="1"/>
    </xf>
    <xf numFmtId="170" fontId="49" fillId="0" borderId="0" xfId="0" applyNumberFormat="1" applyFont="1" applyFill="1" applyAlignment="1"/>
    <xf numFmtId="177" fontId="49" fillId="0" borderId="5" xfId="32" applyNumberFormat="1" applyFont="1" applyFill="1" applyBorder="1" applyAlignment="1"/>
    <xf numFmtId="173" fontId="49" fillId="0" borderId="0" xfId="0" quotePrefix="1" applyNumberFormat="1" applyFont="1" applyFill="1" applyAlignment="1"/>
    <xf numFmtId="173" fontId="51" fillId="0" borderId="0" xfId="0" applyNumberFormat="1" applyFont="1" applyFill="1" applyAlignment="1"/>
    <xf numFmtId="173" fontId="49" fillId="0" borderId="0" xfId="0" applyNumberFormat="1" applyFont="1" applyFill="1" applyBorder="1" applyAlignment="1">
      <alignment horizontal="center" wrapText="1"/>
    </xf>
    <xf numFmtId="173" fontId="49" fillId="0" borderId="0" xfId="32" applyNumberFormat="1" applyFont="1" applyFill="1" applyBorder="1" applyAlignment="1"/>
    <xf numFmtId="170" fontId="49" fillId="0" borderId="0" xfId="32" applyNumberFormat="1" applyFont="1" applyFill="1" applyBorder="1" applyAlignment="1"/>
    <xf numFmtId="10" fontId="49" fillId="0" borderId="0" xfId="32" applyNumberFormat="1" applyFont="1" applyFill="1" applyBorder="1" applyAlignment="1"/>
    <xf numFmtId="173" fontId="49" fillId="0" borderId="0" xfId="0" quotePrefix="1" applyNumberFormat="1" applyFont="1" applyFill="1" applyBorder="1" applyAlignment="1"/>
    <xf numFmtId="173" fontId="49" fillId="0" borderId="0" xfId="0" applyNumberFormat="1" applyFont="1" applyFill="1" applyBorder="1" applyAlignment="1">
      <alignment horizontal="right" wrapText="1"/>
    </xf>
    <xf numFmtId="170" fontId="49" fillId="0" borderId="0" xfId="0" applyNumberFormat="1" applyFont="1" applyFill="1" applyBorder="1" applyAlignment="1"/>
    <xf numFmtId="173" fontId="49" fillId="0" borderId="0" xfId="0" applyFont="1" applyAlignment="1"/>
    <xf numFmtId="173" fontId="49" fillId="0" borderId="0" xfId="0" applyFont="1" applyFill="1" applyAlignment="1"/>
    <xf numFmtId="173" fontId="49" fillId="0" borderId="0" xfId="0" applyFont="1" applyAlignment="1">
      <alignment wrapText="1"/>
    </xf>
    <xf numFmtId="173" fontId="51" fillId="0" borderId="0" xfId="0" applyFont="1" applyAlignment="1"/>
    <xf numFmtId="178" fontId="49" fillId="0" borderId="0" xfId="32" applyNumberFormat="1" applyFont="1" applyFill="1" applyAlignment="1"/>
    <xf numFmtId="173" fontId="49" fillId="0" borderId="5" xfId="0" applyFont="1" applyFill="1" applyBorder="1" applyAlignment="1"/>
    <xf numFmtId="173" fontId="49" fillId="0" borderId="0" xfId="0" applyFont="1" applyFill="1" applyAlignment="1">
      <alignment wrapText="1"/>
    </xf>
    <xf numFmtId="173" fontId="51" fillId="0" borderId="0" xfId="0" applyFont="1" applyFill="1" applyAlignment="1"/>
    <xf numFmtId="173" fontId="49" fillId="0" borderId="0" xfId="0" applyFont="1" applyAlignment="1">
      <alignment horizontal="right"/>
    </xf>
    <xf numFmtId="0" fontId="51" fillId="0" borderId="0" xfId="0" applyNumberFormat="1" applyFont="1" applyFill="1" applyAlignment="1"/>
    <xf numFmtId="170" fontId="49" fillId="0" borderId="2" xfId="0" applyNumberFormat="1" applyFont="1" applyFill="1" applyBorder="1" applyAlignment="1"/>
    <xf numFmtId="0" fontId="49" fillId="0" borderId="0" xfId="0" applyNumberFormat="1" applyFont="1" applyAlignment="1"/>
    <xf numFmtId="0" fontId="51" fillId="0" borderId="0" xfId="0" applyNumberFormat="1" applyFont="1" applyAlignment="1"/>
    <xf numFmtId="3" fontId="49" fillId="0" borderId="0" xfId="0" applyNumberFormat="1" applyFont="1" applyAlignment="1">
      <alignment horizontal="right"/>
    </xf>
    <xf numFmtId="173" fontId="49" fillId="0" borderId="0" xfId="0" applyNumberFormat="1" applyFont="1" applyAlignment="1"/>
    <xf numFmtId="3" fontId="49" fillId="0" borderId="0" xfId="0" applyNumberFormat="1" applyFont="1" applyAlignment="1"/>
    <xf numFmtId="3" fontId="49" fillId="0" borderId="0" xfId="0" applyNumberFormat="1" applyFont="1" applyBorder="1" applyAlignment="1"/>
    <xf numFmtId="0" fontId="49" fillId="0" borderId="5" xfId="0" applyNumberFormat="1" applyFont="1" applyBorder="1" applyAlignment="1"/>
    <xf numFmtId="0" fontId="49" fillId="0" borderId="0" xfId="0" applyNumberFormat="1" applyFont="1"/>
    <xf numFmtId="0" fontId="49" fillId="0" borderId="5" xfId="0" applyNumberFormat="1" applyFont="1" applyBorder="1"/>
    <xf numFmtId="0" fontId="49" fillId="0" borderId="0" xfId="0" applyNumberFormat="1" applyFont="1" applyBorder="1" applyAlignment="1">
      <alignment horizontal="right"/>
    </xf>
    <xf numFmtId="177" fontId="49" fillId="0" borderId="0" xfId="32" applyNumberFormat="1" applyFont="1" applyFill="1"/>
    <xf numFmtId="0" fontId="49" fillId="0" borderId="0" xfId="0" applyNumberFormat="1" applyFont="1" applyAlignment="1">
      <alignment horizontal="right"/>
    </xf>
    <xf numFmtId="10" fontId="49" fillId="0" borderId="0" xfId="42" applyNumberFormat="1" applyFont="1" applyFill="1"/>
    <xf numFmtId="43" fontId="49" fillId="0" borderId="0" xfId="0" applyNumberFormat="1" applyFont="1" applyFill="1"/>
    <xf numFmtId="177" fontId="49" fillId="0" borderId="5" xfId="32" applyNumberFormat="1" applyFont="1" applyFill="1" applyBorder="1"/>
    <xf numFmtId="174" fontId="49" fillId="0" borderId="12" xfId="0" applyNumberFormat="1" applyFont="1" applyFill="1" applyBorder="1"/>
    <xf numFmtId="174" fontId="49" fillId="0" borderId="0" xfId="0" applyNumberFormat="1" applyFont="1" applyFill="1"/>
    <xf numFmtId="10" fontId="49" fillId="0" borderId="0" xfId="0" applyNumberFormat="1" applyFont="1" applyFill="1"/>
    <xf numFmtId="10" fontId="49" fillId="0" borderId="0" xfId="42" applyNumberFormat="1" applyFont="1"/>
    <xf numFmtId="43" fontId="49" fillId="0" borderId="0" xfId="32" applyFont="1" applyFill="1"/>
    <xf numFmtId="9" fontId="49" fillId="0" borderId="0" xfId="42" applyFont="1" applyFill="1"/>
    <xf numFmtId="9" fontId="49" fillId="0" borderId="0" xfId="0" applyNumberFormat="1" applyFont="1"/>
    <xf numFmtId="174" fontId="49" fillId="0" borderId="5" xfId="0" applyNumberFormat="1" applyFont="1" applyFill="1" applyBorder="1"/>
    <xf numFmtId="10" fontId="49" fillId="0" borderId="5" xfId="42" applyNumberFormat="1" applyFont="1" applyFill="1" applyBorder="1"/>
    <xf numFmtId="10" fontId="49" fillId="0" borderId="5" xfId="42" applyNumberFormat="1" applyFont="1" applyBorder="1"/>
    <xf numFmtId="10" fontId="49" fillId="0" borderId="0" xfId="0" applyNumberFormat="1" applyFont="1"/>
    <xf numFmtId="179" fontId="49" fillId="0" borderId="0" xfId="42" applyNumberFormat="1" applyFont="1"/>
    <xf numFmtId="0" fontId="49" fillId="0" borderId="0" xfId="0" quotePrefix="1" applyNumberFormat="1" applyFont="1"/>
    <xf numFmtId="173" fontId="50" fillId="0" borderId="0" xfId="0" applyFont="1" applyAlignment="1"/>
    <xf numFmtId="173" fontId="53" fillId="0" borderId="0" xfId="0" quotePrefix="1" applyFont="1" applyAlignment="1"/>
    <xf numFmtId="177" fontId="49" fillId="0" borderId="11" xfId="0" applyNumberFormat="1" applyFont="1" applyFill="1" applyBorder="1"/>
    <xf numFmtId="173" fontId="54" fillId="0" borderId="0" xfId="0" applyFont="1" applyAlignment="1"/>
    <xf numFmtId="173" fontId="55" fillId="0" borderId="0" xfId="0" applyFont="1" applyAlignment="1"/>
    <xf numFmtId="173" fontId="0" fillId="0" borderId="0" xfId="0" applyFill="1" applyAlignment="1"/>
    <xf numFmtId="173" fontId="56" fillId="0" borderId="0" xfId="0" applyFont="1" applyFill="1" applyAlignment="1"/>
    <xf numFmtId="173" fontId="49" fillId="0" borderId="0" xfId="0" applyFont="1" applyFill="1" applyAlignment="1">
      <alignment horizontal="right"/>
    </xf>
    <xf numFmtId="177" fontId="49" fillId="0" borderId="11" xfId="32" applyNumberFormat="1" applyFont="1" applyFill="1" applyBorder="1" applyAlignment="1"/>
    <xf numFmtId="173" fontId="57" fillId="0" borderId="0" xfId="0" applyFont="1" applyFill="1" applyAlignment="1"/>
    <xf numFmtId="177" fontId="9" fillId="0" borderId="0" xfId="32" applyNumberFormat="1" applyFont="1" applyFill="1"/>
    <xf numFmtId="177" fontId="9" fillId="0" borderId="5" xfId="32" applyNumberFormat="1" applyFont="1" applyFill="1" applyBorder="1"/>
    <xf numFmtId="177" fontId="9" fillId="0" borderId="0" xfId="32" applyNumberFormat="1" applyFont="1" applyFill="1" applyBorder="1"/>
    <xf numFmtId="180" fontId="9" fillId="0" borderId="0" xfId="32" applyNumberFormat="1" applyFont="1" applyFill="1"/>
    <xf numFmtId="177" fontId="49" fillId="4" borderId="0" xfId="32" applyNumberFormat="1" applyFont="1" applyFill="1" applyAlignment="1"/>
    <xf numFmtId="177" fontId="49" fillId="4" borderId="0" xfId="32" applyNumberFormat="1" applyFont="1" applyFill="1" applyBorder="1" applyAlignment="1"/>
    <xf numFmtId="177" fontId="9" fillId="0" borderId="0" xfId="32" applyNumberFormat="1" applyFont="1" applyAlignment="1"/>
    <xf numFmtId="177" fontId="0" fillId="4" borderId="7" xfId="32" applyNumberFormat="1" applyFont="1" applyFill="1" applyBorder="1" applyAlignment="1"/>
    <xf numFmtId="177" fontId="0" fillId="0" borderId="7" xfId="32" applyNumberFormat="1" applyFont="1" applyBorder="1" applyAlignment="1"/>
    <xf numFmtId="177" fontId="0" fillId="0" borderId="9" xfId="32" applyNumberFormat="1" applyFont="1" applyBorder="1" applyAlignment="1"/>
    <xf numFmtId="173" fontId="9" fillId="0" borderId="0" xfId="83" applyFont="1" applyAlignment="1">
      <alignment horizontal="center"/>
    </xf>
    <xf numFmtId="0" fontId="9" fillId="0" borderId="0" xfId="83" applyNumberFormat="1" applyFont="1" applyFill="1"/>
    <xf numFmtId="173" fontId="9" fillId="0" borderId="0" xfId="83" applyFont="1" applyAlignment="1"/>
    <xf numFmtId="0" fontId="9" fillId="0" borderId="0" xfId="83" applyNumberFormat="1" applyFont="1"/>
    <xf numFmtId="41" fontId="0" fillId="4" borderId="9" xfId="0" applyNumberFormat="1" applyFill="1" applyBorder="1" applyAlignment="1"/>
    <xf numFmtId="0" fontId="49" fillId="0" borderId="0" xfId="0" applyNumberFormat="1" applyFont="1" applyFill="1" applyBorder="1" applyAlignment="1">
      <alignment horizontal="left"/>
    </xf>
    <xf numFmtId="43" fontId="3" fillId="0" borderId="0" xfId="32" applyFont="1"/>
    <xf numFmtId="176" fontId="9" fillId="0" borderId="0" xfId="42" applyNumberFormat="1" applyFont="1" applyAlignment="1"/>
    <xf numFmtId="0" fontId="0" fillId="0" borderId="0" xfId="0" applyNumberFormat="1"/>
    <xf numFmtId="173" fontId="0" fillId="0" borderId="0" xfId="0" applyFill="1" applyBorder="1" applyAlignment="1"/>
    <xf numFmtId="10" fontId="49" fillId="0" borderId="0" xfId="42" applyNumberFormat="1" applyFont="1" applyFill="1" applyAlignment="1"/>
    <xf numFmtId="173" fontId="58" fillId="0" borderId="0" xfId="0" applyFont="1" applyAlignment="1"/>
    <xf numFmtId="177" fontId="3" fillId="0" borderId="0" xfId="32" applyNumberFormat="1" applyFont="1" applyAlignment="1"/>
    <xf numFmtId="41" fontId="3" fillId="0" borderId="0" xfId="32" applyNumberFormat="1" applyFont="1" applyBorder="1" applyAlignment="1"/>
    <xf numFmtId="177" fontId="3" fillId="0" borderId="5" xfId="32" applyNumberFormat="1" applyFont="1" applyBorder="1" applyAlignment="1"/>
    <xf numFmtId="177" fontId="3" fillId="0" borderId="0" xfId="32" applyNumberFormat="1" applyFont="1" applyBorder="1" applyAlignment="1"/>
    <xf numFmtId="173" fontId="0" fillId="0" borderId="5" xfId="0" applyBorder="1" applyAlignment="1"/>
    <xf numFmtId="173" fontId="59" fillId="0" borderId="0" xfId="0" applyFont="1" applyFill="1" applyAlignment="1"/>
    <xf numFmtId="173" fontId="3" fillId="0" borderId="0" xfId="0" applyFont="1" applyFill="1" applyAlignment="1"/>
    <xf numFmtId="173" fontId="3" fillId="0" borderId="5" xfId="0" applyFont="1" applyFill="1" applyBorder="1" applyAlignment="1"/>
    <xf numFmtId="182" fontId="3" fillId="0" borderId="5" xfId="32" applyNumberFormat="1" applyFont="1" applyFill="1" applyBorder="1" applyAlignment="1"/>
    <xf numFmtId="174" fontId="3" fillId="0" borderId="0" xfId="34" applyNumberFormat="1" applyFont="1" applyAlignment="1"/>
    <xf numFmtId="10" fontId="3" fillId="0" borderId="0" xfId="42" applyNumberFormat="1" applyFont="1" applyAlignment="1"/>
    <xf numFmtId="173" fontId="0" fillId="0" borderId="0" xfId="0" applyAlignment="1">
      <alignment horizontal="right"/>
    </xf>
    <xf numFmtId="174" fontId="3" fillId="0" borderId="5" xfId="34" applyNumberFormat="1" applyFont="1" applyBorder="1" applyAlignment="1">
      <alignment horizontal="center"/>
    </xf>
    <xf numFmtId="174" fontId="3" fillId="0" borderId="0" xfId="34" applyNumberFormat="1" applyFont="1" applyBorder="1" applyAlignment="1">
      <alignment horizontal="center"/>
    </xf>
    <xf numFmtId="44" fontId="3" fillId="0" borderId="0" xfId="34" applyFont="1" applyAlignment="1"/>
    <xf numFmtId="173" fontId="58" fillId="0" borderId="0" xfId="0" applyFont="1" applyFill="1" applyBorder="1" applyAlignment="1">
      <alignment horizontal="center"/>
    </xf>
    <xf numFmtId="181" fontId="0" fillId="0" borderId="0" xfId="0" applyNumberFormat="1" applyAlignment="1"/>
    <xf numFmtId="173" fontId="58" fillId="0" borderId="0" xfId="0" applyFont="1" applyBorder="1" applyAlignment="1">
      <alignment horizontal="center"/>
    </xf>
    <xf numFmtId="173" fontId="58" fillId="0" borderId="0" xfId="0" applyFont="1" applyFill="1" applyAlignment="1">
      <alignment horizontal="center"/>
    </xf>
    <xf numFmtId="173" fontId="58" fillId="0" borderId="0" xfId="0" applyNumberFormat="1" applyFont="1" applyAlignment="1"/>
    <xf numFmtId="173" fontId="0" fillId="0" borderId="0" xfId="0" applyNumberFormat="1" applyAlignment="1"/>
    <xf numFmtId="173" fontId="58" fillId="0" borderId="0" xfId="0" applyNumberFormat="1" applyFont="1" applyBorder="1" applyAlignment="1">
      <alignment horizontal="center"/>
    </xf>
    <xf numFmtId="173" fontId="58" fillId="0" borderId="0" xfId="0" applyNumberFormat="1" applyFont="1" applyFill="1" applyBorder="1" applyAlignment="1">
      <alignment horizontal="center"/>
    </xf>
    <xf numFmtId="173" fontId="58" fillId="0" borderId="5" xfId="0" applyNumberFormat="1" applyFont="1" applyBorder="1" applyAlignment="1">
      <alignment horizontal="center"/>
    </xf>
    <xf numFmtId="173" fontId="58" fillId="0" borderId="5" xfId="0" applyFont="1" applyBorder="1" applyAlignment="1">
      <alignment horizontal="center"/>
    </xf>
    <xf numFmtId="173" fontId="58" fillId="0" borderId="5" xfId="0" applyNumberFormat="1" applyFont="1" applyFill="1" applyBorder="1" applyAlignment="1">
      <alignment horizontal="center"/>
    </xf>
    <xf numFmtId="177" fontId="3" fillId="0" borderId="0" xfId="32" applyNumberFormat="1" applyFont="1" applyBorder="1" applyAlignment="1">
      <alignment horizontal="center"/>
    </xf>
    <xf numFmtId="10" fontId="3" fillId="0" borderId="0" xfId="42" applyNumberFormat="1" applyFont="1" applyAlignment="1">
      <alignment horizontal="center"/>
    </xf>
    <xf numFmtId="177" fontId="3" fillId="0" borderId="2" xfId="32" applyNumberFormat="1" applyFont="1" applyBorder="1" applyAlignment="1"/>
    <xf numFmtId="177" fontId="3" fillId="0" borderId="2" xfId="32" applyNumberFormat="1" applyFont="1" applyFill="1" applyBorder="1" applyAlignment="1"/>
    <xf numFmtId="177" fontId="0" fillId="0" borderId="0" xfId="32" applyNumberFormat="1" applyFont="1" applyAlignment="1"/>
    <xf numFmtId="177" fontId="0" fillId="0" borderId="0" xfId="32" applyNumberFormat="1" applyFont="1" applyBorder="1" applyAlignment="1"/>
    <xf numFmtId="174" fontId="49" fillId="0" borderId="0" xfId="34" applyNumberFormat="1" applyFont="1" applyFill="1"/>
    <xf numFmtId="173" fontId="49" fillId="0" borderId="0" xfId="0" applyFont="1" applyFill="1" applyBorder="1" applyAlignment="1"/>
    <xf numFmtId="173" fontId="49" fillId="0" borderId="2" xfId="0" applyFont="1" applyFill="1" applyBorder="1" applyAlignment="1"/>
    <xf numFmtId="177" fontId="49" fillId="0" borderId="2" xfId="32" applyNumberFormat="1" applyFont="1" applyFill="1" applyBorder="1" applyAlignment="1"/>
    <xf numFmtId="177" fontId="3" fillId="0" borderId="0" xfId="32" applyNumberFormat="1" applyFont="1" applyFill="1" applyBorder="1" applyAlignment="1"/>
    <xf numFmtId="170" fontId="0" fillId="0" borderId="2" xfId="0" applyNumberFormat="1" applyBorder="1" applyAlignment="1"/>
    <xf numFmtId="174" fontId="3" fillId="0" borderId="2" xfId="34" applyNumberFormat="1" applyFont="1" applyBorder="1" applyAlignment="1"/>
    <xf numFmtId="173" fontId="49" fillId="0" borderId="5" xfId="0" applyNumberFormat="1" applyFont="1" applyFill="1" applyBorder="1" applyAlignment="1">
      <alignment horizontal="center"/>
    </xf>
    <xf numFmtId="173" fontId="49" fillId="0" borderId="5" xfId="0" applyNumberFormat="1" applyFont="1" applyFill="1" applyBorder="1" applyAlignment="1">
      <alignment horizontal="center" wrapText="1"/>
    </xf>
    <xf numFmtId="173" fontId="49" fillId="0" borderId="0" xfId="0" applyNumberFormat="1" applyFont="1" applyFill="1" applyAlignment="1">
      <alignment horizontal="center"/>
    </xf>
    <xf numFmtId="174" fontId="49" fillId="0" borderId="5" xfId="34" applyNumberFormat="1" applyFont="1" applyFill="1" applyBorder="1" applyAlignment="1"/>
    <xf numFmtId="0" fontId="49" fillId="0" borderId="5" xfId="0" applyNumberFormat="1" applyFont="1" applyFill="1" applyBorder="1" applyAlignment="1">
      <alignment horizontal="center"/>
    </xf>
    <xf numFmtId="0" fontId="49" fillId="0" borderId="0" xfId="0" applyNumberFormat="1" applyFont="1" applyFill="1" applyBorder="1" applyAlignment="1">
      <alignment horizontal="center"/>
    </xf>
    <xf numFmtId="173" fontId="49" fillId="0" borderId="0" xfId="0" applyNumberFormat="1" applyFont="1" applyFill="1" applyAlignment="1">
      <alignment horizontal="left"/>
    </xf>
    <xf numFmtId="177" fontId="0" fillId="7" borderId="20" xfId="0" applyNumberFormat="1" applyFill="1" applyBorder="1" applyAlignment="1"/>
    <xf numFmtId="173" fontId="58" fillId="0" borderId="19" xfId="0" applyNumberFormat="1" applyFont="1" applyBorder="1" applyAlignment="1">
      <alignment horizontal="left"/>
    </xf>
    <xf numFmtId="174" fontId="0" fillId="0" borderId="5" xfId="34" applyNumberFormat="1" applyFont="1" applyBorder="1" applyAlignment="1"/>
    <xf numFmtId="174" fontId="0" fillId="0" borderId="0" xfId="34" applyNumberFormat="1" applyFont="1" applyBorder="1" applyAlignment="1"/>
    <xf numFmtId="177" fontId="3" fillId="7" borderId="5" xfId="32" applyNumberFormat="1" applyFont="1" applyFill="1" applyBorder="1" applyAlignment="1">
      <alignment horizontal="center"/>
    </xf>
    <xf numFmtId="174" fontId="0" fillId="0" borderId="0" xfId="34" applyNumberFormat="1" applyFont="1" applyAlignment="1"/>
    <xf numFmtId="177" fontId="0" fillId="7" borderId="21" xfId="0" applyNumberFormat="1" applyFill="1" applyBorder="1" applyAlignment="1"/>
    <xf numFmtId="174" fontId="0" fillId="0" borderId="0" xfId="0" applyNumberFormat="1" applyBorder="1" applyAlignment="1"/>
    <xf numFmtId="177" fontId="0" fillId="0" borderId="20" xfId="0" applyNumberFormat="1" applyBorder="1" applyAlignment="1"/>
    <xf numFmtId="10" fontId="0" fillId="0" borderId="0" xfId="0" applyNumberFormat="1" applyBorder="1" applyAlignment="1"/>
    <xf numFmtId="177" fontId="0" fillId="0" borderId="0" xfId="0" applyNumberFormat="1" applyBorder="1" applyAlignment="1"/>
    <xf numFmtId="173" fontId="0" fillId="0" borderId="20" xfId="0" applyNumberFormat="1" applyBorder="1" applyAlignment="1"/>
    <xf numFmtId="173" fontId="0" fillId="0" borderId="23" xfId="0" applyBorder="1" applyAlignment="1"/>
    <xf numFmtId="173" fontId="0" fillId="0" borderId="3" xfId="0" applyBorder="1" applyAlignment="1"/>
    <xf numFmtId="173" fontId="0" fillId="0" borderId="22" xfId="0" applyBorder="1" applyAlignment="1"/>
    <xf numFmtId="173" fontId="0" fillId="0" borderId="20" xfId="0" applyBorder="1" applyAlignment="1"/>
    <xf numFmtId="174" fontId="3" fillId="0" borderId="0" xfId="34" applyNumberFormat="1" applyFont="1" applyBorder="1" applyAlignment="1"/>
    <xf numFmtId="170" fontId="0" fillId="0" borderId="0" xfId="0" applyNumberFormat="1" applyBorder="1" applyAlignment="1"/>
    <xf numFmtId="177" fontId="0" fillId="0" borderId="20" xfId="32" applyNumberFormat="1" applyFont="1" applyBorder="1" applyAlignment="1"/>
    <xf numFmtId="173" fontId="0" fillId="0" borderId="19" xfId="0" applyBorder="1" applyAlignment="1"/>
    <xf numFmtId="177" fontId="3" fillId="0" borderId="21" xfId="32" applyNumberFormat="1" applyFont="1" applyBorder="1" applyAlignment="1"/>
    <xf numFmtId="177" fontId="3" fillId="7" borderId="0" xfId="32" applyNumberFormat="1" applyFont="1" applyFill="1" applyBorder="1" applyAlignment="1"/>
    <xf numFmtId="177" fontId="3" fillId="0" borderId="20" xfId="32" applyNumberFormat="1" applyFont="1" applyBorder="1" applyAlignment="1"/>
    <xf numFmtId="10" fontId="3" fillId="0" borderId="0" xfId="42" applyNumberFormat="1" applyFont="1" applyBorder="1" applyAlignment="1">
      <alignment horizontal="center"/>
    </xf>
    <xf numFmtId="173" fontId="0" fillId="0" borderId="19" xfId="0" applyFill="1" applyBorder="1" applyAlignment="1"/>
    <xf numFmtId="173" fontId="58" fillId="0" borderId="21" xfId="0" applyNumberFormat="1" applyFont="1" applyFill="1" applyBorder="1" applyAlignment="1">
      <alignment horizontal="center"/>
    </xf>
    <xf numFmtId="173" fontId="58" fillId="0" borderId="24" xfId="0" applyNumberFormat="1" applyFont="1" applyBorder="1" applyAlignment="1">
      <alignment horizontal="center"/>
    </xf>
    <xf numFmtId="173" fontId="58" fillId="0" borderId="20" xfId="0" applyNumberFormat="1" applyFont="1" applyFill="1" applyBorder="1" applyAlignment="1">
      <alignment horizontal="center"/>
    </xf>
    <xf numFmtId="173" fontId="0" fillId="0" borderId="0" xfId="0" applyNumberFormat="1" applyBorder="1" applyAlignment="1"/>
    <xf numFmtId="173" fontId="0" fillId="0" borderId="19" xfId="0" applyNumberFormat="1" applyBorder="1" applyAlignment="1"/>
    <xf numFmtId="173" fontId="58" fillId="0" borderId="20" xfId="0" applyFont="1" applyBorder="1" applyAlignment="1">
      <alignment horizontal="center"/>
    </xf>
    <xf numFmtId="173" fontId="58" fillId="0" borderId="19" xfId="0" applyNumberFormat="1" applyFont="1" applyBorder="1" applyAlignment="1"/>
    <xf numFmtId="173" fontId="0" fillId="0" borderId="18" xfId="0" applyBorder="1" applyAlignment="1"/>
    <xf numFmtId="173" fontId="58" fillId="0" borderId="17" xfId="0" applyFont="1" applyBorder="1" applyAlignment="1">
      <alignment horizontal="center"/>
    </xf>
    <xf numFmtId="173" fontId="0" fillId="0" borderId="17" xfId="0" applyBorder="1" applyAlignment="1"/>
    <xf numFmtId="181" fontId="0" fillId="0" borderId="17" xfId="0" applyNumberFormat="1" applyBorder="1" applyAlignment="1"/>
    <xf numFmtId="173" fontId="0" fillId="0" borderId="16" xfId="0" applyBorder="1" applyAlignment="1"/>
    <xf numFmtId="177" fontId="3" fillId="0" borderId="2" xfId="32" applyNumberFormat="1" applyFont="1" applyBorder="1" applyAlignment="1">
      <alignment horizontal="center"/>
    </xf>
    <xf numFmtId="43" fontId="3" fillId="0" borderId="0" xfId="32" applyNumberFormat="1" applyFont="1" applyBorder="1" applyAlignment="1">
      <alignment horizontal="center"/>
    </xf>
    <xf numFmtId="177" fontId="3" fillId="7" borderId="5" xfId="32" applyNumberFormat="1" applyFont="1" applyFill="1" applyBorder="1" applyAlignment="1"/>
    <xf numFmtId="177" fontId="3" fillId="7" borderId="0" xfId="32" applyNumberFormat="1" applyFont="1" applyFill="1" applyAlignment="1"/>
    <xf numFmtId="177" fontId="3" fillId="7" borderId="0" xfId="32" applyNumberFormat="1" applyFont="1" applyFill="1" applyBorder="1" applyAlignment="1">
      <alignment horizontal="center"/>
    </xf>
    <xf numFmtId="173" fontId="0" fillId="0" borderId="0" xfId="0" applyAlignment="1"/>
    <xf numFmtId="173" fontId="0" fillId="0" borderId="0" xfId="0" applyBorder="1" applyAlignment="1"/>
    <xf numFmtId="173" fontId="0" fillId="0" borderId="0" xfId="0" applyFill="1" applyAlignment="1"/>
    <xf numFmtId="173" fontId="0" fillId="0" borderId="0" xfId="0" applyFill="1" applyBorder="1" applyAlignment="1"/>
    <xf numFmtId="177" fontId="3" fillId="0" borderId="0" xfId="32" applyNumberFormat="1" applyFont="1" applyAlignment="1"/>
    <xf numFmtId="177" fontId="3" fillId="0" borderId="0" xfId="32" applyNumberFormat="1" applyFont="1" applyBorder="1" applyAlignment="1"/>
    <xf numFmtId="177" fontId="3" fillId="0" borderId="5" xfId="32" applyNumberFormat="1" applyFont="1" applyBorder="1" applyAlignment="1"/>
    <xf numFmtId="174" fontId="3" fillId="0" borderId="0" xfId="34" applyNumberFormat="1" applyFont="1" applyAlignment="1"/>
    <xf numFmtId="173" fontId="0" fillId="0" borderId="0" xfId="0" applyAlignment="1">
      <alignment horizontal="right"/>
    </xf>
    <xf numFmtId="173" fontId="58" fillId="0" borderId="0" xfId="0" applyFont="1" applyBorder="1" applyAlignment="1">
      <alignment horizontal="center"/>
    </xf>
    <xf numFmtId="173" fontId="58" fillId="0" borderId="0" xfId="0" applyNumberFormat="1" applyFont="1" applyAlignment="1"/>
    <xf numFmtId="173" fontId="0" fillId="0" borderId="0" xfId="0" applyNumberFormat="1" applyAlignment="1"/>
    <xf numFmtId="173" fontId="58" fillId="0" borderId="0" xfId="0" applyNumberFormat="1" applyFont="1" applyBorder="1" applyAlignment="1">
      <alignment horizontal="center"/>
    </xf>
    <xf numFmtId="173" fontId="58" fillId="0" borderId="0" xfId="0" applyNumberFormat="1" applyFont="1" applyFill="1" applyBorder="1" applyAlignment="1">
      <alignment horizontal="center"/>
    </xf>
    <xf numFmtId="173" fontId="58" fillId="0" borderId="5" xfId="0" applyNumberFormat="1" applyFont="1" applyBorder="1" applyAlignment="1">
      <alignment horizontal="center"/>
    </xf>
    <xf numFmtId="173" fontId="58" fillId="0" borderId="5" xfId="0" applyFont="1" applyBorder="1" applyAlignment="1">
      <alignment horizontal="center"/>
    </xf>
    <xf numFmtId="173" fontId="58" fillId="0" borderId="5" xfId="0" applyNumberFormat="1" applyFont="1" applyFill="1" applyBorder="1" applyAlignment="1">
      <alignment horizontal="center"/>
    </xf>
    <xf numFmtId="177" fontId="3" fillId="0" borderId="0" xfId="32" applyNumberFormat="1" applyFont="1" applyBorder="1" applyAlignment="1">
      <alignment horizontal="center"/>
    </xf>
    <xf numFmtId="10" fontId="3" fillId="0" borderId="0" xfId="42" applyNumberFormat="1" applyFont="1" applyAlignment="1">
      <alignment horizontal="center"/>
    </xf>
    <xf numFmtId="177" fontId="3" fillId="0" borderId="5" xfId="32" applyNumberFormat="1" applyFont="1" applyBorder="1" applyAlignment="1">
      <alignment horizontal="center"/>
    </xf>
    <xf numFmtId="177" fontId="3" fillId="0" borderId="0" xfId="32" applyNumberFormat="1" applyFont="1" applyFill="1" applyAlignment="1"/>
    <xf numFmtId="177" fontId="3" fillId="0" borderId="5" xfId="32" applyNumberFormat="1" applyFont="1" applyFill="1" applyBorder="1" applyAlignment="1"/>
    <xf numFmtId="177" fontId="0" fillId="0" borderId="0" xfId="32" applyNumberFormat="1" applyFont="1" applyAlignment="1"/>
    <xf numFmtId="177" fontId="0" fillId="0" borderId="0" xfId="32" applyNumberFormat="1" applyFont="1" applyBorder="1" applyAlignment="1"/>
    <xf numFmtId="170" fontId="0" fillId="0" borderId="0" xfId="0" applyNumberFormat="1" applyAlignment="1"/>
    <xf numFmtId="177" fontId="0" fillId="0" borderId="5" xfId="0" applyNumberFormat="1" applyBorder="1" applyAlignment="1"/>
    <xf numFmtId="177" fontId="0" fillId="0" borderId="0" xfId="32" applyNumberFormat="1" applyFont="1" applyFill="1" applyBorder="1" applyAlignment="1"/>
    <xf numFmtId="3" fontId="0" fillId="0" borderId="0" xfId="0" applyNumberFormat="1" applyFill="1" applyBorder="1" applyAlignment="1"/>
    <xf numFmtId="172" fontId="0" fillId="0" borderId="0" xfId="0" applyNumberFormat="1" applyFill="1" applyBorder="1" applyAlignment="1"/>
    <xf numFmtId="43" fontId="0" fillId="0" borderId="0" xfId="32" applyNumberFormat="1" applyFont="1" applyFill="1" applyBorder="1" applyAlignment="1"/>
    <xf numFmtId="173" fontId="0" fillId="0" borderId="0" xfId="0" applyNumberFormat="1" applyFill="1" applyBorder="1" applyAlignment="1"/>
    <xf numFmtId="173" fontId="0" fillId="0" borderId="0" xfId="42" applyNumberFormat="1" applyFont="1" applyFill="1" applyBorder="1" applyAlignment="1"/>
    <xf numFmtId="10" fontId="0" fillId="0" borderId="0" xfId="42" applyNumberFormat="1" applyFont="1" applyFill="1" applyBorder="1" applyAlignment="1"/>
    <xf numFmtId="183" fontId="0" fillId="0" borderId="0" xfId="42" applyNumberFormat="1" applyFont="1" applyFill="1" applyBorder="1" applyAlignment="1"/>
    <xf numFmtId="173" fontId="64" fillId="0" borderId="0" xfId="0" applyFont="1" applyAlignment="1">
      <alignment wrapText="1"/>
    </xf>
    <xf numFmtId="0" fontId="0" fillId="0" borderId="14" xfId="0" applyNumberFormat="1" applyBorder="1" applyAlignment="1">
      <alignment horizontal="center"/>
    </xf>
    <xf numFmtId="0" fontId="0" fillId="0" borderId="2" xfId="0" applyNumberFormat="1" applyFont="1" applyBorder="1" applyAlignment="1">
      <alignment horizontal="center"/>
    </xf>
    <xf numFmtId="0" fontId="0" fillId="0" borderId="15" xfId="0" applyNumberFormat="1" applyFont="1" applyBorder="1" applyAlignment="1">
      <alignment horizontal="center"/>
    </xf>
  </cellXfs>
  <cellStyles count="97">
    <cellStyle name="20% - Accent4 2" xfId="88"/>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5L 2" xfId="94"/>
    <cellStyle name="C06A" xfId="24"/>
    <cellStyle name="C06B" xfId="25"/>
    <cellStyle name="C06H" xfId="26"/>
    <cellStyle name="C06L" xfId="27"/>
    <cellStyle name="C07A" xfId="28"/>
    <cellStyle name="C07B" xfId="29"/>
    <cellStyle name="C07H" xfId="30"/>
    <cellStyle name="C07L" xfId="31"/>
    <cellStyle name="Comma" xfId="32" builtinId="3"/>
    <cellStyle name="Comma 2" xfId="85"/>
    <cellStyle name="Comma0" xfId="33"/>
    <cellStyle name="Currency" xfId="34" builtinId="4"/>
    <cellStyle name="Currency 2" xfId="86"/>
    <cellStyle name="Currency0" xfId="35"/>
    <cellStyle name="Date" xfId="36"/>
    <cellStyle name="Fixed" xfId="37"/>
    <cellStyle name="Heading 1" xfId="38" builtinId="16" customBuiltin="1"/>
    <cellStyle name="Heading 2" xfId="39" builtinId="17" customBuiltin="1"/>
    <cellStyle name="Heading 2 2" xfId="95"/>
    <cellStyle name="Heading1" xfId="40"/>
    <cellStyle name="Heading2" xfId="41"/>
    <cellStyle name="Normal" xfId="0" builtinId="0"/>
    <cellStyle name="Normal 3" xfId="84"/>
    <cellStyle name="Normal_Attachment O &amp; GG Final 11_11_09" xfId="83"/>
    <cellStyle name="Output Amounts" xfId="89"/>
    <cellStyle name="Output Column Headings" xfId="90"/>
    <cellStyle name="Output Line Items" xfId="91"/>
    <cellStyle name="Output Report Heading" xfId="92"/>
    <cellStyle name="Output Report Title" xfId="93"/>
    <cellStyle name="Percent" xfId="42" builtinId="5"/>
    <cellStyle name="Percent 3" xfId="87"/>
    <cellStyle name="PSChar" xfId="43"/>
    <cellStyle name="PSDate" xfId="44"/>
    <cellStyle name="PSDec" xfId="45"/>
    <cellStyle name="PSdesc" xfId="46"/>
    <cellStyle name="PSHeading" xfId="47"/>
    <cellStyle name="PSInt" xfId="48"/>
    <cellStyle name="PSSpacer" xfId="49"/>
    <cellStyle name="PStest" xfId="50"/>
    <cellStyle name="R00A" xfId="51"/>
    <cellStyle name="R00B" xfId="52"/>
    <cellStyle name="R00L" xfId="53"/>
    <cellStyle name="R01A" xfId="54"/>
    <cellStyle name="R01B" xfId="55"/>
    <cellStyle name="R01H" xfId="56"/>
    <cellStyle name="R01L" xfId="57"/>
    <cellStyle name="R02A" xfId="58"/>
    <cellStyle name="R02B" xfId="59"/>
    <cellStyle name="R02H" xfId="60"/>
    <cellStyle name="R02L" xfId="61"/>
    <cellStyle name="R03A" xfId="62"/>
    <cellStyle name="R03B" xfId="63"/>
    <cellStyle name="R03H" xfId="64"/>
    <cellStyle name="R03L" xfId="65"/>
    <cellStyle name="R04A" xfId="66"/>
    <cellStyle name="R04B" xfId="67"/>
    <cellStyle name="R04H" xfId="68"/>
    <cellStyle name="R04L" xfId="69"/>
    <cellStyle name="R05A" xfId="70"/>
    <cellStyle name="R05B" xfId="71"/>
    <cellStyle name="R05H" xfId="72"/>
    <cellStyle name="R05L" xfId="73"/>
    <cellStyle name="R05L 2" xfId="96"/>
    <cellStyle name="R06A" xfId="74"/>
    <cellStyle name="R06B" xfId="75"/>
    <cellStyle name="R06H" xfId="76"/>
    <cellStyle name="R06L" xfId="77"/>
    <cellStyle name="R07A" xfId="78"/>
    <cellStyle name="R07B" xfId="79"/>
    <cellStyle name="R07H" xfId="80"/>
    <cellStyle name="R07L" xfId="81"/>
    <cellStyle name="Total" xfId="8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66"/>
      <color rgb="FFFFFF99"/>
      <color rgb="FFCCFF66"/>
      <color rgb="FFCC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3%20Attachment%20GG%20-%20True%20Up%2020140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Accounting/RegulatoryAccounting/Attachment%20O%20and%20GG/2011/2011%20Year%20End%20Final%20True%20Up/FINAL%20Actual%20Filing%2006-01-2012/2011%20Attachment%20GG%20%20-%20True%20Up%20060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3%20Attachment%20GG%20-%20True%20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 GG Proj #1- Year 1"/>
      <sheetName val="Historical Rate TO Support"/>
      <sheetName val="Forward Rate TO Support Data"/>
      <sheetName val="Project Descriptions"/>
      <sheetName val="1004 Depr"/>
      <sheetName val="1259 Depr"/>
      <sheetName val="1970 Depr"/>
      <sheetName val="345kv Depr"/>
      <sheetName val="Brown Subs Depr"/>
      <sheetName val="Brown Reid Depr"/>
      <sheetName val="Brown Reid DFR Depr"/>
      <sheetName val="Wheatland-Breed"/>
    </sheetNames>
    <sheetDataSet>
      <sheetData sheetId="0">
        <row r="73">
          <cell r="N73">
            <v>2890325.5518083991</v>
          </cell>
        </row>
        <row r="74">
          <cell r="N74">
            <v>1920113.3625546601</v>
          </cell>
        </row>
        <row r="75">
          <cell r="N75">
            <v>752724.9187929905</v>
          </cell>
        </row>
        <row r="76">
          <cell r="N76">
            <v>14639077.756226903</v>
          </cell>
        </row>
        <row r="77">
          <cell r="N77">
            <v>108665.20609193933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 GG Proj #1- Year 1"/>
      <sheetName val="Historical Rate TO Support Data"/>
      <sheetName val="Forward Rate TO Support Data"/>
      <sheetName val="Project Descriptions"/>
      <sheetName val="1004 Depr"/>
      <sheetName val="1259 Depr"/>
      <sheetName val="1970 Depr"/>
      <sheetName val="345 kv line Depr"/>
      <sheetName val="Brown Subs Depr"/>
    </sheetNames>
    <sheetDataSet>
      <sheetData sheetId="0" refreshError="1">
        <row r="73">
          <cell r="L73">
            <v>3675355.6362365521</v>
          </cell>
        </row>
        <row r="74">
          <cell r="L74">
            <v>2390541.8823178597</v>
          </cell>
        </row>
        <row r="75">
          <cell r="L75">
            <v>1153656.0650267024</v>
          </cell>
        </row>
        <row r="76">
          <cell r="L76">
            <v>8343804.2955346815</v>
          </cell>
        </row>
        <row r="77">
          <cell r="L77">
            <v>1686260.168106345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 GG Proj #1- Year 1"/>
      <sheetName val="Forward Rate TO Support Data"/>
      <sheetName val="Project Descriptions"/>
    </sheetNames>
    <sheetDataSet>
      <sheetData sheetId="0">
        <row r="81">
          <cell r="L81">
            <v>22505885.795474894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59"/>
  <sheetViews>
    <sheetView tabSelected="1" zoomScale="75" zoomScaleNormal="75" workbookViewId="0"/>
  </sheetViews>
  <sheetFormatPr defaultRowHeight="15"/>
  <cols>
    <col min="1" max="1" width="59.6640625" bestFit="1" customWidth="1"/>
    <col min="2" max="2" width="13.6640625" customWidth="1"/>
    <col min="3" max="10" width="15.77734375" customWidth="1"/>
    <col min="11" max="11" width="9.44140625" bestFit="1" customWidth="1"/>
  </cols>
  <sheetData>
    <row r="1" spans="1:11" ht="15.75">
      <c r="A1" s="299" t="s">
        <v>524</v>
      </c>
    </row>
    <row r="2" spans="1:11" ht="15.75">
      <c r="A2" s="299" t="s">
        <v>525</v>
      </c>
      <c r="E2" s="390"/>
      <c r="F2" s="391"/>
      <c r="G2" s="391"/>
      <c r="H2" s="391"/>
      <c r="I2" s="391"/>
      <c r="J2" s="391"/>
      <c r="K2" s="391"/>
    </row>
    <row r="3" spans="1:11" ht="15.75">
      <c r="A3" s="299" t="s">
        <v>561</v>
      </c>
      <c r="E3" s="390"/>
      <c r="F3" s="416"/>
      <c r="G3" s="391"/>
      <c r="H3" s="391"/>
      <c r="I3" s="391"/>
      <c r="J3" s="391"/>
      <c r="K3" s="391"/>
    </row>
    <row r="4" spans="1:11">
      <c r="E4" s="390"/>
      <c r="F4" s="414"/>
      <c r="G4" s="391"/>
      <c r="H4" s="391"/>
      <c r="I4" s="391"/>
      <c r="J4" s="391"/>
      <c r="K4" s="391"/>
    </row>
    <row r="5" spans="1:11">
      <c r="E5" s="390"/>
      <c r="F5" s="416"/>
      <c r="G5" s="391"/>
      <c r="H5" s="391"/>
      <c r="I5" s="391"/>
      <c r="J5" s="391"/>
      <c r="K5" s="391"/>
    </row>
    <row r="6" spans="1:11" ht="15.75">
      <c r="A6" s="299" t="s">
        <v>526</v>
      </c>
      <c r="B6" s="300"/>
      <c r="E6" s="390"/>
      <c r="F6" s="417"/>
      <c r="G6" s="391"/>
      <c r="H6" s="391"/>
      <c r="I6" s="391"/>
      <c r="J6" s="391"/>
      <c r="K6" s="391"/>
    </row>
    <row r="7" spans="1:11">
      <c r="A7" s="273" t="s">
        <v>527</v>
      </c>
      <c r="B7" s="301">
        <f>+SIGE!J26+SIGE!J218</f>
        <v>46694318.561963469</v>
      </c>
      <c r="E7" s="390"/>
      <c r="F7" s="418"/>
      <c r="G7" s="391"/>
      <c r="H7" s="391"/>
      <c r="I7" s="391"/>
      <c r="J7" s="391"/>
      <c r="K7" s="391"/>
    </row>
    <row r="8" spans="1:11">
      <c r="A8" s="273" t="s">
        <v>528</v>
      </c>
      <c r="B8" s="302">
        <f>-SIGE!J218</f>
        <v>-22505885.795474894</v>
      </c>
      <c r="E8" s="390"/>
      <c r="F8" s="391"/>
      <c r="G8" s="391"/>
      <c r="H8" s="391"/>
      <c r="I8" s="391"/>
      <c r="J8" s="391"/>
      <c r="K8" s="391"/>
    </row>
    <row r="9" spans="1:11">
      <c r="A9" s="273"/>
      <c r="B9" s="303"/>
      <c r="C9" s="300">
        <f>+B7+B8</f>
        <v>24188432.766488574</v>
      </c>
      <c r="D9" t="s">
        <v>20</v>
      </c>
      <c r="E9" s="390"/>
      <c r="F9" s="419"/>
      <c r="G9" s="391"/>
      <c r="H9" s="391"/>
      <c r="I9" s="391"/>
      <c r="J9" s="391"/>
      <c r="K9" s="391"/>
    </row>
    <row r="10" spans="1:11">
      <c r="A10" s="273"/>
      <c r="B10" s="303"/>
      <c r="C10" s="300"/>
      <c r="E10" s="390"/>
      <c r="F10" s="420"/>
      <c r="G10" s="391"/>
      <c r="H10" s="391"/>
      <c r="I10" s="391"/>
      <c r="J10" s="391"/>
      <c r="K10" s="391"/>
    </row>
    <row r="11" spans="1:11">
      <c r="A11" s="273" t="s">
        <v>529</v>
      </c>
      <c r="B11" s="301">
        <f>25552959+22545496</f>
        <v>48098455</v>
      </c>
      <c r="E11" s="390"/>
      <c r="F11" s="421"/>
      <c r="G11" s="391"/>
      <c r="H11" s="391"/>
      <c r="I11" s="391"/>
      <c r="J11" s="391"/>
      <c r="K11" s="391"/>
    </row>
    <row r="12" spans="1:11">
      <c r="A12" s="273" t="s">
        <v>530</v>
      </c>
      <c r="B12" s="302">
        <v>-22545496</v>
      </c>
      <c r="E12" s="390"/>
      <c r="F12" s="391"/>
      <c r="G12" s="391"/>
      <c r="H12" s="391"/>
      <c r="I12" s="391"/>
      <c r="J12" s="391"/>
      <c r="K12" s="391"/>
    </row>
    <row r="13" spans="1:11">
      <c r="A13" s="273"/>
      <c r="B13" s="303"/>
      <c r="C13" s="300">
        <f>+B11+B12</f>
        <v>25552959</v>
      </c>
      <c r="E13" s="390"/>
      <c r="F13" s="391"/>
      <c r="G13" s="391"/>
      <c r="H13" s="391"/>
      <c r="I13" s="391"/>
      <c r="J13" s="391"/>
      <c r="K13" s="391"/>
    </row>
    <row r="14" spans="1:11">
      <c r="C14" s="304"/>
      <c r="E14" s="390"/>
      <c r="F14" s="391"/>
      <c r="G14" s="391"/>
      <c r="H14" s="391"/>
      <c r="I14" s="391"/>
      <c r="J14" s="391"/>
      <c r="K14" s="391"/>
    </row>
    <row r="15" spans="1:11">
      <c r="A15" s="273" t="s">
        <v>531</v>
      </c>
      <c r="C15" s="300">
        <f>+C9-C13</f>
        <v>-1364526.2335114256</v>
      </c>
      <c r="E15" s="390"/>
      <c r="F15" s="391"/>
      <c r="G15" s="391"/>
      <c r="H15" s="391"/>
      <c r="I15" s="391"/>
      <c r="J15" s="391"/>
      <c r="K15" s="391"/>
    </row>
    <row r="16" spans="1:11">
      <c r="A16" s="305"/>
      <c r="E16" s="390"/>
      <c r="F16" s="391"/>
      <c r="G16" s="391"/>
      <c r="H16" s="391"/>
      <c r="I16" s="391"/>
      <c r="J16" s="391"/>
      <c r="K16" s="391"/>
    </row>
    <row r="17" spans="1:11">
      <c r="A17" s="306" t="s">
        <v>532</v>
      </c>
      <c r="C17" s="300">
        <f>+'Workpapers (Page 10)'!D23</f>
        <v>1008583.3333333334</v>
      </c>
      <c r="D17" t="s">
        <v>42</v>
      </c>
      <c r="E17" s="390"/>
      <c r="F17" s="391"/>
      <c r="G17" s="391"/>
      <c r="H17" s="391"/>
      <c r="I17" s="391"/>
      <c r="J17" s="391"/>
      <c r="K17" s="391"/>
    </row>
    <row r="18" spans="1:11">
      <c r="A18" s="306" t="s">
        <v>533</v>
      </c>
      <c r="C18" s="302">
        <v>1029763.8888888889</v>
      </c>
      <c r="E18" s="390"/>
      <c r="F18" s="391"/>
      <c r="G18" s="391"/>
      <c r="H18" s="391"/>
      <c r="I18" s="391"/>
      <c r="J18" s="391"/>
      <c r="K18" s="391"/>
    </row>
    <row r="19" spans="1:11">
      <c r="A19" s="306" t="s">
        <v>534</v>
      </c>
      <c r="C19" s="300">
        <f>+C17-C18</f>
        <v>-21180.555555555504</v>
      </c>
      <c r="E19" s="390"/>
      <c r="F19" s="391"/>
      <c r="G19" s="391"/>
      <c r="H19" s="391"/>
      <c r="I19" s="391"/>
      <c r="J19" s="391"/>
      <c r="K19" s="391"/>
    </row>
    <row r="20" spans="1:11">
      <c r="A20" s="307" t="s">
        <v>535</v>
      </c>
      <c r="C20" s="308">
        <v>24.814</v>
      </c>
      <c r="E20" s="390"/>
      <c r="F20" s="391"/>
      <c r="G20" s="391"/>
      <c r="H20" s="391"/>
      <c r="I20" s="391"/>
      <c r="J20" s="391"/>
      <c r="K20" s="391"/>
    </row>
    <row r="21" spans="1:11">
      <c r="A21" s="273" t="s">
        <v>536</v>
      </c>
      <c r="C21" s="300">
        <f>-C19*C20</f>
        <v>525574.30555555422</v>
      </c>
      <c r="E21" s="390"/>
      <c r="F21" s="391"/>
      <c r="G21" s="391"/>
      <c r="H21" s="391"/>
      <c r="I21" s="391"/>
      <c r="J21" s="391"/>
      <c r="K21" s="391"/>
    </row>
    <row r="22" spans="1:11">
      <c r="A22" s="306"/>
      <c r="C22" s="302"/>
      <c r="E22" s="390"/>
      <c r="F22" s="391"/>
      <c r="G22" s="390"/>
      <c r="H22" s="390"/>
      <c r="I22" s="390"/>
      <c r="J22" s="390"/>
      <c r="K22" s="390"/>
    </row>
    <row r="23" spans="1:11">
      <c r="A23" s="273" t="s">
        <v>537</v>
      </c>
      <c r="C23" s="309">
        <f>+C21+C15</f>
        <v>-838951.92795587133</v>
      </c>
      <c r="E23" s="390"/>
      <c r="F23" s="391"/>
      <c r="G23" s="390"/>
      <c r="H23" s="390"/>
      <c r="I23" s="390"/>
      <c r="J23" s="390"/>
      <c r="K23" s="390"/>
    </row>
    <row r="24" spans="1:11">
      <c r="A24" s="273"/>
      <c r="B24" s="309"/>
      <c r="E24" s="390"/>
      <c r="F24" s="391"/>
      <c r="G24" s="390"/>
      <c r="H24" s="390"/>
      <c r="I24" s="390"/>
      <c r="J24" s="390"/>
      <c r="K24" s="390"/>
    </row>
    <row r="25" spans="1:11">
      <c r="A25" s="273" t="s">
        <v>562</v>
      </c>
      <c r="B25" s="309"/>
      <c r="E25" s="390"/>
      <c r="F25" s="391"/>
      <c r="G25" s="390"/>
      <c r="H25" s="390"/>
      <c r="I25" s="390"/>
      <c r="J25" s="390"/>
      <c r="K25" s="390"/>
    </row>
    <row r="26" spans="1:11">
      <c r="B26" s="309"/>
      <c r="E26" s="390"/>
      <c r="F26" s="391"/>
      <c r="G26" s="390"/>
      <c r="H26" s="390"/>
      <c r="I26" s="390"/>
      <c r="J26" s="390"/>
      <c r="K26" s="390"/>
    </row>
    <row r="27" spans="1:11">
      <c r="A27" s="273" t="s">
        <v>538</v>
      </c>
      <c r="C27" s="310">
        <f>3.25%/12</f>
        <v>2.7083333333333334E-3</v>
      </c>
      <c r="E27" s="390"/>
      <c r="F27" s="391"/>
      <c r="G27" s="390"/>
      <c r="H27" s="390"/>
      <c r="I27" s="390"/>
      <c r="J27" s="390"/>
      <c r="K27" s="390"/>
    </row>
    <row r="28" spans="1:11">
      <c r="B28" s="311" t="s">
        <v>539</v>
      </c>
      <c r="C28" s="309">
        <f>+C23*C27</f>
        <v>-2272.1614715471515</v>
      </c>
      <c r="E28" s="390"/>
      <c r="F28" s="414"/>
      <c r="G28" s="390"/>
      <c r="H28" s="390"/>
      <c r="I28" s="390"/>
      <c r="J28" s="390"/>
      <c r="K28" s="390"/>
    </row>
    <row r="29" spans="1:11">
      <c r="A29" s="273"/>
      <c r="C29" s="312" t="s">
        <v>540</v>
      </c>
      <c r="E29" s="390"/>
      <c r="F29" s="415"/>
      <c r="G29" s="390"/>
      <c r="H29" s="390"/>
      <c r="I29" s="390"/>
      <c r="J29" s="390"/>
      <c r="K29" s="390"/>
    </row>
    <row r="30" spans="1:11">
      <c r="A30" s="273"/>
      <c r="C30" s="313">
        <f>24*C28</f>
        <v>-54531.875317131635</v>
      </c>
      <c r="D30" t="s">
        <v>21</v>
      </c>
      <c r="E30" s="390"/>
      <c r="F30" s="415"/>
      <c r="G30" s="390"/>
      <c r="H30" s="390"/>
      <c r="I30" s="390"/>
      <c r="J30" s="390"/>
      <c r="K30" s="390"/>
    </row>
    <row r="31" spans="1:11">
      <c r="A31" s="273"/>
      <c r="C31" s="313"/>
      <c r="E31" s="390"/>
      <c r="F31" s="415"/>
      <c r="G31" s="390"/>
      <c r="H31" s="390"/>
      <c r="I31" s="390"/>
      <c r="J31" s="390"/>
      <c r="K31" s="390"/>
    </row>
    <row r="32" spans="1:11">
      <c r="A32" t="s">
        <v>593</v>
      </c>
      <c r="C32" s="313">
        <v>-64168</v>
      </c>
      <c r="D32" t="s">
        <v>44</v>
      </c>
      <c r="E32" s="390"/>
      <c r="F32" s="415"/>
      <c r="G32" s="390"/>
      <c r="H32" s="390"/>
      <c r="I32" s="390"/>
      <c r="J32" s="390"/>
      <c r="K32" s="390"/>
    </row>
    <row r="33" spans="1:12">
      <c r="A33" s="273"/>
      <c r="C33" s="309"/>
      <c r="E33" s="390"/>
      <c r="F33" s="391"/>
      <c r="G33" s="390"/>
      <c r="H33" s="390"/>
      <c r="I33" s="390"/>
      <c r="J33" s="390"/>
      <c r="K33" s="390"/>
    </row>
    <row r="34" spans="1:12">
      <c r="A34" s="273" t="s">
        <v>541</v>
      </c>
      <c r="C34" s="309">
        <f>+C23+C30+C32</f>
        <v>-957651.80327300297</v>
      </c>
      <c r="D34" s="314"/>
      <c r="E34" s="390"/>
      <c r="F34" s="391"/>
      <c r="G34" s="390"/>
      <c r="H34" s="390"/>
      <c r="I34" s="390"/>
      <c r="J34" s="390"/>
      <c r="K34" s="390"/>
    </row>
    <row r="35" spans="1:12">
      <c r="A35" s="273"/>
      <c r="B35" s="309"/>
      <c r="E35" s="297"/>
      <c r="F35" s="297"/>
      <c r="G35" s="297"/>
      <c r="H35" s="297"/>
      <c r="I35" s="297"/>
    </row>
    <row r="36" spans="1:12" ht="15.75">
      <c r="E36" s="315" t="s">
        <v>542</v>
      </c>
      <c r="F36" s="3"/>
    </row>
    <row r="37" spans="1:12" ht="15.75">
      <c r="B37" s="316"/>
      <c r="D37" s="317"/>
      <c r="E37" s="318" t="s">
        <v>543</v>
      </c>
      <c r="F37" s="3"/>
      <c r="G37" s="3"/>
      <c r="H37" s="3"/>
      <c r="I37" s="3"/>
    </row>
    <row r="38" spans="1:12" ht="15.75">
      <c r="A38" s="319" t="s">
        <v>544</v>
      </c>
      <c r="B38" s="317" t="s">
        <v>545</v>
      </c>
      <c r="D38" s="317" t="s">
        <v>546</v>
      </c>
      <c r="E38" s="317" t="s">
        <v>547</v>
      </c>
      <c r="I38" s="317" t="s">
        <v>548</v>
      </c>
    </row>
    <row r="39" spans="1:12" ht="15.75">
      <c r="A39" s="320"/>
      <c r="B39" s="321" t="s">
        <v>549</v>
      </c>
      <c r="C39" s="320"/>
      <c r="D39" s="321" t="s">
        <v>550</v>
      </c>
      <c r="E39" s="321" t="s">
        <v>549</v>
      </c>
      <c r="G39" s="322" t="s">
        <v>551</v>
      </c>
      <c r="H39" s="321" t="s">
        <v>595</v>
      </c>
      <c r="I39" s="322" t="s">
        <v>592</v>
      </c>
      <c r="J39" s="322" t="s">
        <v>565</v>
      </c>
    </row>
    <row r="40" spans="1:12" ht="15.75">
      <c r="A40" s="323" t="s">
        <v>552</v>
      </c>
      <c r="B40" s="323" t="s">
        <v>553</v>
      </c>
      <c r="C40" s="324" t="s">
        <v>554</v>
      </c>
      <c r="D40" s="324" t="s">
        <v>555</v>
      </c>
      <c r="E40" s="323" t="s">
        <v>553</v>
      </c>
      <c r="F40" s="323" t="s">
        <v>548</v>
      </c>
      <c r="G40" s="325" t="s">
        <v>556</v>
      </c>
      <c r="H40" s="323" t="s">
        <v>594</v>
      </c>
      <c r="I40" s="325" t="s">
        <v>548</v>
      </c>
      <c r="J40" s="325" t="s">
        <v>566</v>
      </c>
    </row>
    <row r="41" spans="1:12">
      <c r="A41" s="297" t="s">
        <v>557</v>
      </c>
      <c r="B41" s="326">
        <v>2898741</v>
      </c>
      <c r="C41" s="327">
        <f>+B41/$B$46</f>
        <v>0.14244065642165257</v>
      </c>
      <c r="D41" s="326">
        <f>+C41*$D$46</f>
        <v>3043822.3338385154</v>
      </c>
      <c r="E41" s="326">
        <f>+'[1]Attach GG Proj #1- Year 1'!$N$73</f>
        <v>2890325.5518083991</v>
      </c>
      <c r="F41" s="303">
        <f>+E41-D41</f>
        <v>-153496.7820301163</v>
      </c>
      <c r="G41" s="300">
        <f>+F41/$F$46*$F$49</f>
        <v>-9977.2908319575599</v>
      </c>
      <c r="H41" s="300">
        <f>+'Support for 2011 Correction'!H49</f>
        <v>34596.333736868866</v>
      </c>
      <c r="I41" s="300">
        <f>+F41/$F$46*$F$50</f>
        <v>-2011.4240911647848</v>
      </c>
      <c r="J41" s="303">
        <f>+F41+G41+H41+I41</f>
        <v>-130889.16321636978</v>
      </c>
    </row>
    <row r="42" spans="1:12">
      <c r="A42" s="297" t="s">
        <v>558</v>
      </c>
      <c r="B42" s="326">
        <v>1925620</v>
      </c>
      <c r="C42" s="327">
        <f>+B42/$B$46</f>
        <v>9.4622657498087154E-2</v>
      </c>
      <c r="D42" s="326">
        <f>+C42*$D$46</f>
        <v>2021996.8470746861</v>
      </c>
      <c r="E42" s="326">
        <f>+'[1]Attach GG Proj #1- Year 1'!$N$74</f>
        <v>1920113.3625546601</v>
      </c>
      <c r="F42" s="303">
        <f>+E42-D42</f>
        <v>-101883.48452002602</v>
      </c>
      <c r="G42" s="300">
        <f>+F42/$F$46*$F$49</f>
        <v>-6622.4264938016913</v>
      </c>
      <c r="H42" s="300">
        <f>+'Support for 2011 Correction'!H50</f>
        <v>22085.75842405227</v>
      </c>
      <c r="I42" s="300">
        <f>+F42/$F$46*$F$50</f>
        <v>-1335.0826808550748</v>
      </c>
      <c r="J42" s="303">
        <f>+F42+G42+H42+I42</f>
        <v>-87755.23527063051</v>
      </c>
    </row>
    <row r="43" spans="1:12">
      <c r="A43" s="297" t="s">
        <v>567</v>
      </c>
      <c r="B43" s="300">
        <v>722143</v>
      </c>
      <c r="C43" s="327">
        <f>+B43/$B$46</f>
        <v>3.5485240989209264E-2</v>
      </c>
      <c r="D43" s="326">
        <f>+C43*$D$46</f>
        <v>758286.09442000755</v>
      </c>
      <c r="E43" s="326">
        <f>+'[1]Attach GG Proj #1- Year 1'!$N$75</f>
        <v>752724.9187929905</v>
      </c>
      <c r="F43" s="303">
        <f>+E43-D43</f>
        <v>-5561.1756270170445</v>
      </c>
      <c r="G43" s="300">
        <f>+F43/$F$46*$F$49</f>
        <v>-361.47641575610794</v>
      </c>
      <c r="H43" s="300">
        <f>+'Support for 2011 Correction'!H51</f>
        <v>21902.780523116933</v>
      </c>
      <c r="I43" s="300">
        <f>+F43/$F$46*$F$50</f>
        <v>-72.873727275831911</v>
      </c>
      <c r="J43" s="303">
        <f>+F43+G43+H43+I43</f>
        <v>15907.254753067949</v>
      </c>
    </row>
    <row r="44" spans="1:12">
      <c r="A44" s="297" t="s">
        <v>568</v>
      </c>
      <c r="B44" s="300">
        <f>7243137+7504231</f>
        <v>14747368</v>
      </c>
      <c r="C44" s="327">
        <f>+B44/$B$46</f>
        <v>0.72466797772262981</v>
      </c>
      <c r="D44" s="326">
        <f>+C44*$D$46</f>
        <v>15485470.445181353</v>
      </c>
      <c r="E44" s="326">
        <f>+'[1]Attach GG Proj #1- Year 1'!$N$76</f>
        <v>14639077.756226903</v>
      </c>
      <c r="F44" s="303">
        <f>+E44-D44</f>
        <v>-846392.68895445019</v>
      </c>
      <c r="G44" s="300">
        <f>+F44/$F$46*$F$49</f>
        <v>-55015.524782039261</v>
      </c>
      <c r="H44" s="300">
        <f>+'Support for 2011 Correction'!H52+'Support for 2011 Correction'!H53</f>
        <v>186787.00964194848</v>
      </c>
      <c r="I44" s="300">
        <f>+F44/$F$46*$F$50</f>
        <v>-11091.142254791368</v>
      </c>
      <c r="J44" s="303">
        <f>+F44+G44+H44+I44</f>
        <v>-725712.34634933225</v>
      </c>
    </row>
    <row r="45" spans="1:12">
      <c r="A45" s="297" t="s">
        <v>563</v>
      </c>
      <c r="B45" s="303">
        <v>56645</v>
      </c>
      <c r="C45" s="327">
        <f>+B45/$B$46</f>
        <v>2.783467368421156E-3</v>
      </c>
      <c r="D45" s="326">
        <f>+C45*$D$46</f>
        <v>59480.069485436165</v>
      </c>
      <c r="E45" s="326">
        <f>+'[1]Attach GG Proj #1- Year 1'!$N$77</f>
        <v>108665.20609193933</v>
      </c>
      <c r="F45" s="303">
        <f t="shared" ref="F45" si="0">+E45-D45</f>
        <v>49185.136606503162</v>
      </c>
      <c r="G45" s="303">
        <f>+F45/$F$46*$F$49</f>
        <v>3197.0338794227059</v>
      </c>
      <c r="H45" s="303">
        <v>0</v>
      </c>
      <c r="I45" s="303">
        <f>+F45/$F$46*$F$50</f>
        <v>644.52275408705816</v>
      </c>
      <c r="J45" s="303">
        <f>+F45+G45+H45+I45</f>
        <v>53026.693240012923</v>
      </c>
    </row>
    <row r="46" spans="1:12">
      <c r="A46" s="320"/>
      <c r="B46" s="328">
        <f>SUM(B41:B45)</f>
        <v>20350517</v>
      </c>
      <c r="D46" s="329">
        <v>21369055.789999999</v>
      </c>
      <c r="E46" s="329">
        <f t="shared" ref="E46:J46" si="1">SUM(E41:E45)</f>
        <v>20310906.795474894</v>
      </c>
      <c r="F46" s="329">
        <f t="shared" si="1"/>
        <v>-1058148.9945251062</v>
      </c>
      <c r="G46" s="329">
        <f t="shared" si="1"/>
        <v>-68779.684644131921</v>
      </c>
      <c r="H46" s="329">
        <f t="shared" si="1"/>
        <v>265371.88232598652</v>
      </c>
      <c r="I46" s="329">
        <f t="shared" si="1"/>
        <v>-13866</v>
      </c>
      <c r="J46" s="329">
        <f t="shared" si="1"/>
        <v>-875422.79684325168</v>
      </c>
      <c r="K46" s="330"/>
    </row>
    <row r="47" spans="1:12">
      <c r="D47" s="273"/>
      <c r="E47" s="273"/>
      <c r="F47" s="273"/>
      <c r="G47" s="273"/>
      <c r="H47" s="273"/>
      <c r="J47" s="303"/>
      <c r="K47" s="3"/>
      <c r="L47" s="3"/>
    </row>
    <row r="48" spans="1:12">
      <c r="A48" t="s">
        <v>596</v>
      </c>
      <c r="D48" s="273"/>
      <c r="E48" s="336">
        <f>+F48</f>
        <v>265371.88232598652</v>
      </c>
      <c r="F48" s="336">
        <f>+H46</f>
        <v>265371.88232598652</v>
      </c>
      <c r="G48" s="273"/>
      <c r="H48" s="273"/>
      <c r="J48" s="303"/>
      <c r="K48" s="3"/>
      <c r="L48" s="3"/>
    </row>
    <row r="49" spans="1:12">
      <c r="A49" t="s">
        <v>559</v>
      </c>
      <c r="C49" s="3"/>
      <c r="D49" s="273"/>
      <c r="E49" s="336">
        <f>+F49</f>
        <v>-68779.684644131907</v>
      </c>
      <c r="F49" s="336">
        <f>0.0325*F46*2</f>
        <v>-68779.684644131907</v>
      </c>
      <c r="G49" s="336"/>
      <c r="H49" s="336"/>
      <c r="I49" s="330"/>
      <c r="J49" s="331"/>
      <c r="K49" s="3"/>
      <c r="L49" s="3"/>
    </row>
    <row r="50" spans="1:12">
      <c r="A50" t="s">
        <v>564</v>
      </c>
      <c r="C50" s="3"/>
      <c r="D50" s="273"/>
      <c r="E50" s="336">
        <f>+F50</f>
        <v>-13866</v>
      </c>
      <c r="F50" s="336">
        <v>-13866</v>
      </c>
      <c r="G50" s="336"/>
      <c r="H50" s="336"/>
      <c r="I50" s="330"/>
      <c r="J50" s="331"/>
      <c r="K50" s="3"/>
      <c r="L50" s="3"/>
    </row>
    <row r="51" spans="1:12">
      <c r="A51" t="s">
        <v>560</v>
      </c>
      <c r="C51" s="3"/>
      <c r="E51" s="337">
        <f>+E46+E48+E49+E50</f>
        <v>20493632.99315675</v>
      </c>
      <c r="F51" s="338">
        <f>+F46+F48+F49+F50</f>
        <v>-875422.79684325156</v>
      </c>
      <c r="G51" s="309"/>
      <c r="H51" s="309"/>
      <c r="I51" s="330"/>
    </row>
    <row r="54" spans="1:12">
      <c r="A54" t="s">
        <v>614</v>
      </c>
    </row>
    <row r="55" spans="1:12">
      <c r="A55" t="s">
        <v>598</v>
      </c>
    </row>
    <row r="59" spans="1:12">
      <c r="C59" s="330"/>
    </row>
  </sheetData>
  <pageMargins left="0.7" right="0.7" top="0.75" bottom="0.75" header="0.3" footer="0.3"/>
  <pageSetup scale="50" orientation="landscape"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zoomScale="60" zoomScaleNormal="60" workbookViewId="0">
      <selection activeCell="M39" sqref="M39"/>
    </sheetView>
  </sheetViews>
  <sheetFormatPr defaultRowHeight="15"/>
  <cols>
    <col min="1" max="1" width="59.6640625" style="388" bestFit="1" customWidth="1"/>
    <col min="2" max="2" width="15.77734375" style="388" customWidth="1"/>
    <col min="3" max="3" width="9" style="388" bestFit="1" customWidth="1"/>
    <col min="4" max="8" width="15.77734375" style="388" customWidth="1"/>
    <col min="9" max="16384" width="8.88671875" style="388"/>
  </cols>
  <sheetData>
    <row r="1" spans="1:8">
      <c r="A1" s="422" t="s">
        <v>615</v>
      </c>
      <c r="B1" s="422"/>
      <c r="C1" s="422"/>
      <c r="D1" s="422"/>
      <c r="E1" s="422"/>
      <c r="F1" s="422"/>
      <c r="G1" s="422"/>
      <c r="H1" s="422"/>
    </row>
    <row r="2" spans="1:8">
      <c r="A2" s="422"/>
      <c r="B2" s="422"/>
      <c r="C2" s="422"/>
      <c r="D2" s="422"/>
      <c r="E2" s="422"/>
      <c r="F2" s="422"/>
      <c r="G2" s="422"/>
      <c r="H2" s="422"/>
    </row>
    <row r="3" spans="1:8">
      <c r="A3" s="422"/>
      <c r="B3" s="422"/>
      <c r="C3" s="422"/>
      <c r="D3" s="422"/>
      <c r="E3" s="422"/>
      <c r="F3" s="422"/>
      <c r="G3" s="422"/>
      <c r="H3" s="422"/>
    </row>
    <row r="4" spans="1:8">
      <c r="A4" s="422"/>
      <c r="B4" s="422"/>
      <c r="C4" s="422"/>
      <c r="D4" s="422"/>
      <c r="E4" s="422"/>
      <c r="F4" s="422"/>
      <c r="G4" s="422"/>
      <c r="H4" s="422"/>
    </row>
    <row r="5" spans="1:8" ht="15.75" thickBot="1"/>
    <row r="6" spans="1:8" ht="15.75">
      <c r="A6" s="382"/>
      <c r="B6" s="381"/>
      <c r="C6" s="380"/>
      <c r="D6" s="379"/>
      <c r="E6" s="380"/>
      <c r="F6" s="380"/>
      <c r="G6" s="380"/>
      <c r="H6" s="378"/>
    </row>
    <row r="7" spans="1:8" ht="15.75">
      <c r="A7" s="347" t="s">
        <v>610</v>
      </c>
      <c r="B7" s="397"/>
      <c r="C7" s="389"/>
      <c r="D7" s="397"/>
      <c r="E7" s="397"/>
      <c r="F7" s="389"/>
      <c r="G7" s="397"/>
      <c r="H7" s="376"/>
    </row>
    <row r="8" spans="1:8" ht="15.75">
      <c r="A8" s="347"/>
      <c r="B8" s="397" t="s">
        <v>545</v>
      </c>
      <c r="C8" s="389"/>
      <c r="D8" s="397" t="s">
        <v>546</v>
      </c>
      <c r="E8" s="397" t="s">
        <v>547</v>
      </c>
      <c r="F8" s="389"/>
      <c r="G8" s="397"/>
      <c r="H8" s="376" t="s">
        <v>548</v>
      </c>
    </row>
    <row r="9" spans="1:8" ht="15.75">
      <c r="A9" s="375"/>
      <c r="B9" s="400" t="s">
        <v>549</v>
      </c>
      <c r="C9" s="374"/>
      <c r="D9" s="400" t="s">
        <v>550</v>
      </c>
      <c r="E9" s="400" t="s">
        <v>549</v>
      </c>
      <c r="F9" s="389"/>
      <c r="G9" s="401" t="s">
        <v>551</v>
      </c>
      <c r="H9" s="373" t="s">
        <v>602</v>
      </c>
    </row>
    <row r="10" spans="1:8" ht="15.75">
      <c r="A10" s="372" t="s">
        <v>552</v>
      </c>
      <c r="B10" s="402" t="s">
        <v>553</v>
      </c>
      <c r="C10" s="403" t="s">
        <v>554</v>
      </c>
      <c r="D10" s="403" t="s">
        <v>555</v>
      </c>
      <c r="E10" s="402" t="s">
        <v>553</v>
      </c>
      <c r="F10" s="402" t="s">
        <v>548</v>
      </c>
      <c r="G10" s="404" t="s">
        <v>556</v>
      </c>
      <c r="H10" s="371" t="s">
        <v>523</v>
      </c>
    </row>
    <row r="11" spans="1:8">
      <c r="A11" s="370" t="s">
        <v>603</v>
      </c>
      <c r="B11" s="387">
        <v>3780741.3392004268</v>
      </c>
      <c r="C11" s="369">
        <f>+B11/$B$16</f>
        <v>0.21426181247802217</v>
      </c>
      <c r="D11" s="405">
        <f>+C11*$D$16</f>
        <v>4137530.7403035928</v>
      </c>
      <c r="E11" s="387">
        <f>+'[2]Attach GG Proj #1- Year 1'!$L$73</f>
        <v>3675355.6362365521</v>
      </c>
      <c r="F11" s="393">
        <f>+E11-D11</f>
        <v>-462175.10406704061</v>
      </c>
      <c r="G11" s="393">
        <f>+F11/$F$16*$F$18</f>
        <v>-30041.38176435764</v>
      </c>
      <c r="H11" s="368">
        <f t="shared" ref="H11:H15" si="0">+F11+G11</f>
        <v>-492216.48583139823</v>
      </c>
    </row>
    <row r="12" spans="1:8">
      <c r="A12" s="370" t="s">
        <v>604</v>
      </c>
      <c r="B12" s="387">
        <v>2413565.9755080063</v>
      </c>
      <c r="C12" s="369">
        <f>+B12/$B$16</f>
        <v>0.13678138070058976</v>
      </c>
      <c r="D12" s="405">
        <f>+C12*$D$16</f>
        <v>2641334.7334486376</v>
      </c>
      <c r="E12" s="387">
        <f>+'[2]Attach GG Proj #1- Year 1'!$L$74</f>
        <v>2390541.8823178597</v>
      </c>
      <c r="F12" s="393">
        <f t="shared" ref="F12:F15" si="1">+E12-D12</f>
        <v>-250792.85113077797</v>
      </c>
      <c r="G12" s="393">
        <f>+F12/$F$16*$F$18</f>
        <v>-16301.53532350057</v>
      </c>
      <c r="H12" s="368">
        <f t="shared" si="0"/>
        <v>-267094.38645427854</v>
      </c>
    </row>
    <row r="13" spans="1:8">
      <c r="A13" s="370" t="s">
        <v>605</v>
      </c>
      <c r="B13" s="367">
        <v>1349615.6229625386</v>
      </c>
      <c r="C13" s="369">
        <f>+B13/$B$16</f>
        <v>7.6485287826054807E-2</v>
      </c>
      <c r="D13" s="405">
        <f>+C13*$D$16</f>
        <v>1476979.1494867089</v>
      </c>
      <c r="E13" s="387">
        <f>+'[2]Attach GG Proj #1- Year 1'!$L$75</f>
        <v>1153656.0650267024</v>
      </c>
      <c r="F13" s="393">
        <f t="shared" si="1"/>
        <v>-323323.08446000656</v>
      </c>
      <c r="G13" s="393">
        <f>+F13/$F$16*$F$18</f>
        <v>-21016.000489900427</v>
      </c>
      <c r="H13" s="368">
        <f t="shared" si="0"/>
        <v>-344339.08494990697</v>
      </c>
    </row>
    <row r="14" spans="1:8">
      <c r="A14" s="370" t="s">
        <v>606</v>
      </c>
      <c r="B14" s="367">
        <v>7958622.6986612184</v>
      </c>
      <c r="C14" s="369">
        <f>+B14/$B$16</f>
        <v>0.45103030629556706</v>
      </c>
      <c r="D14" s="405">
        <f>+C14*$D$16</f>
        <v>8709679.6929124892</v>
      </c>
      <c r="E14" s="387">
        <f>+'[2]Attach GG Proj #1- Year 1'!$L$76</f>
        <v>8343804.2955346815</v>
      </c>
      <c r="F14" s="393">
        <f t="shared" si="1"/>
        <v>-365875.39737780765</v>
      </c>
      <c r="G14" s="393">
        <f>+F14/$F$16*$F$18</f>
        <v>-23781.9008295575</v>
      </c>
      <c r="H14" s="368">
        <f t="shared" si="0"/>
        <v>-389657.29820736515</v>
      </c>
    </row>
    <row r="15" spans="1:8">
      <c r="A15" s="370" t="s">
        <v>607</v>
      </c>
      <c r="B15" s="385">
        <v>2142882.1488371096</v>
      </c>
      <c r="C15" s="369">
        <f>+B15/$B$16</f>
        <v>0.12144121269976621</v>
      </c>
      <c r="D15" s="407">
        <f>+C15*$D$16</f>
        <v>2345106.4138485715</v>
      </c>
      <c r="E15" s="350">
        <f>+'[2]Attach GG Proj #1- Year 1'!$L$77</f>
        <v>1686260.168106345</v>
      </c>
      <c r="F15" s="394">
        <f t="shared" si="1"/>
        <v>-658846.24574222649</v>
      </c>
      <c r="G15" s="394">
        <f>+F15/$F$16*$F$18</f>
        <v>-42825.005973244726</v>
      </c>
      <c r="H15" s="366">
        <f t="shared" si="0"/>
        <v>-701671.25171547127</v>
      </c>
    </row>
    <row r="16" spans="1:8">
      <c r="A16" s="375"/>
      <c r="B16" s="393">
        <f>SUM(B11:B15)</f>
        <v>17645427.7851693</v>
      </c>
      <c r="C16" s="389"/>
      <c r="D16" s="336">
        <f>19310630.73</f>
        <v>19310630.73</v>
      </c>
      <c r="E16" s="336">
        <f>SUM(E11:E15)</f>
        <v>17249618.047222141</v>
      </c>
      <c r="F16" s="336">
        <f>SUM(F11:F15)</f>
        <v>-2061012.6827778593</v>
      </c>
      <c r="G16" s="393">
        <f>SUM(G11:G15)</f>
        <v>-133965.82438056087</v>
      </c>
      <c r="H16" s="368">
        <f>SUM(H11:H15)</f>
        <v>-2194978.50715842</v>
      </c>
    </row>
    <row r="17" spans="1:10">
      <c r="A17" s="365"/>
      <c r="B17" s="389"/>
      <c r="C17" s="389"/>
      <c r="D17" s="391"/>
      <c r="E17" s="391"/>
      <c r="F17" s="391"/>
      <c r="G17" s="389"/>
      <c r="H17" s="368"/>
      <c r="I17" s="389"/>
      <c r="J17" s="389"/>
    </row>
    <row r="18" spans="1:10">
      <c r="A18" s="365" t="s">
        <v>559</v>
      </c>
      <c r="B18" s="389"/>
      <c r="C18" s="389"/>
      <c r="D18" s="391"/>
      <c r="E18" s="409">
        <f>+F18</f>
        <v>-133965.82438056087</v>
      </c>
      <c r="F18" s="409">
        <f>0.0325*F16*2</f>
        <v>-133965.82438056087</v>
      </c>
      <c r="G18" s="411"/>
      <c r="H18" s="364"/>
      <c r="I18" s="389"/>
      <c r="J18" s="389"/>
    </row>
    <row r="19" spans="1:10">
      <c r="A19" s="365" t="s">
        <v>560</v>
      </c>
      <c r="B19" s="389"/>
      <c r="C19" s="389"/>
      <c r="D19" s="389"/>
      <c r="E19" s="363">
        <f>+E16+E18</f>
        <v>17115652.222841579</v>
      </c>
      <c r="F19" s="362">
        <f>+F16+F18</f>
        <v>-2194978.50715842</v>
      </c>
      <c r="G19" s="411"/>
      <c r="H19" s="361"/>
    </row>
    <row r="20" spans="1:10" ht="15.75" thickBot="1">
      <c r="A20" s="360"/>
      <c r="B20" s="359"/>
      <c r="C20" s="359"/>
      <c r="D20" s="359"/>
      <c r="E20" s="359"/>
      <c r="F20" s="359"/>
      <c r="G20" s="359"/>
      <c r="H20" s="358"/>
    </row>
    <row r="21" spans="1:10">
      <c r="A21" s="382"/>
      <c r="B21" s="380"/>
      <c r="C21" s="380"/>
      <c r="D21" s="380"/>
      <c r="E21" s="380"/>
      <c r="F21" s="380"/>
      <c r="G21" s="380"/>
      <c r="H21" s="378"/>
    </row>
    <row r="22" spans="1:10" ht="15.75">
      <c r="A22" s="377" t="s">
        <v>611</v>
      </c>
      <c r="B22" s="389"/>
      <c r="C22" s="389"/>
      <c r="D22" s="389"/>
      <c r="E22" s="389"/>
      <c r="F22" s="389"/>
      <c r="G22" s="389"/>
      <c r="H22" s="361"/>
    </row>
    <row r="23" spans="1:10" ht="15.75">
      <c r="A23" s="375" t="s">
        <v>544</v>
      </c>
      <c r="B23" s="397" t="s">
        <v>545</v>
      </c>
      <c r="C23" s="389"/>
      <c r="D23" s="397" t="s">
        <v>546</v>
      </c>
      <c r="E23" s="397" t="s">
        <v>547</v>
      </c>
      <c r="F23" s="389"/>
      <c r="G23" s="397"/>
      <c r="H23" s="376" t="s">
        <v>548</v>
      </c>
    </row>
    <row r="24" spans="1:10" ht="15.75">
      <c r="A24" s="375"/>
      <c r="B24" s="400" t="s">
        <v>549</v>
      </c>
      <c r="C24" s="374"/>
      <c r="D24" s="400" t="s">
        <v>550</v>
      </c>
      <c r="E24" s="400" t="s">
        <v>549</v>
      </c>
      <c r="F24" s="389"/>
      <c r="G24" s="401" t="s">
        <v>551</v>
      </c>
      <c r="H24" s="373" t="s">
        <v>602</v>
      </c>
    </row>
    <row r="25" spans="1:10" ht="15.75">
      <c r="A25" s="375" t="s">
        <v>552</v>
      </c>
      <c r="B25" s="402" t="s">
        <v>553</v>
      </c>
      <c r="C25" s="403" t="s">
        <v>554</v>
      </c>
      <c r="D25" s="403" t="s">
        <v>555</v>
      </c>
      <c r="E25" s="402" t="s">
        <v>553</v>
      </c>
      <c r="F25" s="402" t="s">
        <v>548</v>
      </c>
      <c r="G25" s="404" t="s">
        <v>556</v>
      </c>
      <c r="H25" s="371" t="s">
        <v>523</v>
      </c>
    </row>
    <row r="26" spans="1:10">
      <c r="A26" s="375" t="s">
        <v>608</v>
      </c>
      <c r="B26" s="356">
        <v>1785297.3360762901</v>
      </c>
      <c r="C26" s="355">
        <v>0.18893772057756444</v>
      </c>
      <c r="D26" s="356">
        <v>1665297.4073691731</v>
      </c>
      <c r="E26" s="356">
        <v>1396876.1824380504</v>
      </c>
      <c r="F26" s="356">
        <v>-268421.22493112274</v>
      </c>
      <c r="G26" s="356">
        <v>-2684.212249311227</v>
      </c>
      <c r="H26" s="346">
        <v>-271105.43718043395</v>
      </c>
    </row>
    <row r="27" spans="1:10">
      <c r="A27" s="375" t="s">
        <v>603</v>
      </c>
      <c r="B27" s="356">
        <v>4677678</v>
      </c>
      <c r="C27" s="355">
        <v>0.49503788587855374</v>
      </c>
      <c r="D27" s="356">
        <v>4363264.812251389</v>
      </c>
      <c r="E27" s="356">
        <v>4677678</v>
      </c>
      <c r="F27" s="356">
        <v>314413.18774861097</v>
      </c>
      <c r="G27" s="356">
        <v>3144.1318774861097</v>
      </c>
      <c r="H27" s="346">
        <v>317557.3196260971</v>
      </c>
    </row>
    <row r="28" spans="1:10">
      <c r="A28" s="375" t="s">
        <v>604</v>
      </c>
      <c r="B28" s="413">
        <v>2986156</v>
      </c>
      <c r="C28" s="355">
        <v>0.3160243935438819</v>
      </c>
      <c r="D28" s="413">
        <v>2785439.5703794397</v>
      </c>
      <c r="E28" s="413">
        <v>2986156</v>
      </c>
      <c r="F28" s="413">
        <v>200716.42962056026</v>
      </c>
      <c r="G28" s="413">
        <v>2007.1642962056026</v>
      </c>
      <c r="H28" s="352">
        <v>202723.59391676585</v>
      </c>
    </row>
    <row r="29" spans="1:10">
      <c r="A29" s="375"/>
      <c r="B29" s="356">
        <v>9449131.3360762894</v>
      </c>
      <c r="C29" s="374"/>
      <c r="D29" s="356">
        <v>8814001.790000001</v>
      </c>
      <c r="E29" s="356">
        <v>9060710.1824380495</v>
      </c>
      <c r="F29" s="356">
        <v>246708.3924380485</v>
      </c>
      <c r="G29" s="356">
        <v>2467.0839243804853</v>
      </c>
      <c r="H29" s="354">
        <v>249175.47636242901</v>
      </c>
    </row>
    <row r="30" spans="1:10">
      <c r="A30" s="375"/>
      <c r="B30" s="374"/>
      <c r="C30" s="374"/>
      <c r="D30" s="374"/>
      <c r="E30" s="374"/>
      <c r="F30" s="374"/>
      <c r="G30" s="374"/>
      <c r="H30" s="357"/>
    </row>
    <row r="31" spans="1:10">
      <c r="A31" s="375" t="s">
        <v>609</v>
      </c>
      <c r="B31" s="374"/>
      <c r="C31" s="374"/>
      <c r="D31" s="374"/>
      <c r="E31" s="374"/>
      <c r="F31" s="356">
        <v>2467.0839243804849</v>
      </c>
      <c r="G31" s="374"/>
      <c r="H31" s="357"/>
    </row>
    <row r="32" spans="1:10">
      <c r="A32" s="375" t="s">
        <v>560</v>
      </c>
      <c r="B32" s="374"/>
      <c r="C32" s="374"/>
      <c r="D32" s="374"/>
      <c r="E32" s="374"/>
      <c r="F32" s="353">
        <v>249175.47636242898</v>
      </c>
      <c r="G32" s="374"/>
      <c r="H32" s="357"/>
    </row>
    <row r="33" spans="1:8" ht="15.75" thickBot="1">
      <c r="A33" s="360"/>
      <c r="B33" s="359"/>
      <c r="C33" s="359"/>
      <c r="D33" s="359"/>
      <c r="E33" s="359"/>
      <c r="F33" s="359"/>
      <c r="G33" s="359"/>
      <c r="H33" s="358"/>
    </row>
    <row r="35" spans="1:8" ht="15.75">
      <c r="A35" s="398" t="s">
        <v>612</v>
      </c>
    </row>
    <row r="36" spans="1:8" ht="15.75">
      <c r="B36" s="397" t="s">
        <v>545</v>
      </c>
      <c r="D36" s="397" t="s">
        <v>546</v>
      </c>
      <c r="E36" s="397" t="s">
        <v>547</v>
      </c>
      <c r="G36" s="397"/>
      <c r="H36" s="397" t="s">
        <v>548</v>
      </c>
    </row>
    <row r="37" spans="1:8" ht="15.75">
      <c r="A37" s="399"/>
      <c r="B37" s="400" t="s">
        <v>549</v>
      </c>
      <c r="C37" s="399"/>
      <c r="D37" s="400" t="s">
        <v>550</v>
      </c>
      <c r="E37" s="400" t="s">
        <v>549</v>
      </c>
      <c r="G37" s="401" t="s">
        <v>551</v>
      </c>
      <c r="H37" s="401" t="s">
        <v>602</v>
      </c>
    </row>
    <row r="38" spans="1:8" ht="15.75">
      <c r="A38" s="402" t="s">
        <v>552</v>
      </c>
      <c r="B38" s="402" t="s">
        <v>553</v>
      </c>
      <c r="C38" s="403" t="s">
        <v>554</v>
      </c>
      <c r="D38" s="403" t="s">
        <v>555</v>
      </c>
      <c r="E38" s="402" t="s">
        <v>553</v>
      </c>
      <c r="F38" s="402" t="s">
        <v>548</v>
      </c>
      <c r="G38" s="404" t="s">
        <v>556</v>
      </c>
      <c r="H38" s="404" t="s">
        <v>523</v>
      </c>
    </row>
    <row r="39" spans="1:8">
      <c r="A39" s="391" t="s">
        <v>603</v>
      </c>
      <c r="B39" s="387">
        <f>+B11+H27</f>
        <v>4098298.6588265239</v>
      </c>
      <c r="C39" s="406">
        <f>+B39/$B$44</f>
        <v>0.22902427690509125</v>
      </c>
      <c r="D39" s="383">
        <f>+C39*$D$44</f>
        <v>4422603.2395194843</v>
      </c>
      <c r="E39" s="387">
        <f>+E11+H27</f>
        <v>3992912.9558626493</v>
      </c>
      <c r="F39" s="393">
        <f>+E39-D39</f>
        <v>-429690.28365683509</v>
      </c>
      <c r="G39" s="392">
        <f>+F39/$F$44*$F$46</f>
        <v>-27929.86843769428</v>
      </c>
      <c r="H39" s="393">
        <f t="shared" ref="H39:H43" si="2">+F39+G39</f>
        <v>-457620.15209452936</v>
      </c>
    </row>
    <row r="40" spans="1:8">
      <c r="A40" s="391" t="s">
        <v>604</v>
      </c>
      <c r="B40" s="387">
        <f>+B12+H28</f>
        <v>2616289.5694247722</v>
      </c>
      <c r="C40" s="406">
        <f t="shared" ref="C40:C43" si="3">+B40/$B$44</f>
        <v>0.14620550542878435</v>
      </c>
      <c r="D40" s="405">
        <f>+C40*$D$44</f>
        <v>2823320.5260282652</v>
      </c>
      <c r="E40" s="387">
        <f>+E12+H28</f>
        <v>2593265.4762346256</v>
      </c>
      <c r="F40" s="393">
        <f>+E40-D40</f>
        <v>-230055.04979363969</v>
      </c>
      <c r="G40" s="392">
        <f t="shared" ref="G40:G43" si="4">+F40/$F$44*$F$46</f>
        <v>-14953.578236586578</v>
      </c>
      <c r="H40" s="393">
        <f t="shared" si="2"/>
        <v>-245008.62803022627</v>
      </c>
    </row>
    <row r="41" spans="1:8">
      <c r="A41" s="391" t="s">
        <v>605</v>
      </c>
      <c r="B41" s="386">
        <v>1349616</v>
      </c>
      <c r="C41" s="406">
        <f t="shared" si="3"/>
        <v>7.5420279055027559E-2</v>
      </c>
      <c r="D41" s="405">
        <f>+C41*$D$44</f>
        <v>1456413.1583851906</v>
      </c>
      <c r="E41" s="387">
        <f>+'[2]Attach GG Proj #1- Year 1'!$L$75</f>
        <v>1153656.0650267024</v>
      </c>
      <c r="F41" s="393">
        <f t="shared" ref="F41:F42" si="5">+E41-D41</f>
        <v>-302757.09335848829</v>
      </c>
      <c r="G41" s="392">
        <f t="shared" si="4"/>
        <v>-19679.211068301742</v>
      </c>
      <c r="H41" s="393">
        <f t="shared" si="2"/>
        <v>-322436.30442679004</v>
      </c>
    </row>
    <row r="42" spans="1:8">
      <c r="A42" s="391" t="s">
        <v>606</v>
      </c>
      <c r="B42" s="386">
        <f>+B14+H26</f>
        <v>7687517.261480784</v>
      </c>
      <c r="C42" s="406">
        <f t="shared" si="3"/>
        <v>0.42959975067072564</v>
      </c>
      <c r="D42" s="384">
        <f>+C42*$D$44</f>
        <v>8295842.1469024532</v>
      </c>
      <c r="E42" s="387">
        <f>+E14+H26</f>
        <v>8072698.8583542472</v>
      </c>
      <c r="F42" s="393">
        <f t="shared" si="5"/>
        <v>-223143.28854820598</v>
      </c>
      <c r="G42" s="392">
        <f t="shared" si="4"/>
        <v>-14504.31375563339</v>
      </c>
      <c r="H42" s="393">
        <f t="shared" si="2"/>
        <v>-237647.60230383938</v>
      </c>
    </row>
    <row r="43" spans="1:8">
      <c r="A43" s="391" t="s">
        <v>607</v>
      </c>
      <c r="B43" s="385">
        <v>2142882.14883711</v>
      </c>
      <c r="C43" s="406">
        <f t="shared" si="3"/>
        <v>0.11975018794037115</v>
      </c>
      <c r="D43" s="407">
        <f>+C43*$D$44</f>
        <v>2312451.6591646066</v>
      </c>
      <c r="E43" s="350">
        <f>+'[2]Attach GG Proj #1- Year 1'!$L$77</f>
        <v>1686260.168106345</v>
      </c>
      <c r="F43" s="394">
        <f>+E43-D43</f>
        <v>-626191.4910582616</v>
      </c>
      <c r="G43" s="394">
        <f t="shared" si="4"/>
        <v>-40702.446918787005</v>
      </c>
      <c r="H43" s="394">
        <f t="shared" si="2"/>
        <v>-666893.93797704857</v>
      </c>
    </row>
    <row r="44" spans="1:8">
      <c r="A44" s="399"/>
      <c r="B44" s="392">
        <f>SUM(B39:B43)</f>
        <v>17894603.638569191</v>
      </c>
      <c r="D44" s="408">
        <f>19310630.73</f>
        <v>19310630.73</v>
      </c>
      <c r="E44" s="408">
        <f>SUM(E39:E43)</f>
        <v>17498793.523584567</v>
      </c>
      <c r="F44" s="408">
        <f>SUM(F39:F43)</f>
        <v>-1811837.2064154306</v>
      </c>
      <c r="G44" s="392">
        <f>SUM(G39:G43)</f>
        <v>-117769.41841700298</v>
      </c>
      <c r="H44" s="392">
        <f>SUM(H39:H43)</f>
        <v>-1929606.6248324334</v>
      </c>
    </row>
    <row r="45" spans="1:8">
      <c r="D45" s="390"/>
      <c r="E45" s="390"/>
      <c r="F45" s="390"/>
      <c r="H45" s="393"/>
    </row>
    <row r="46" spans="1:8">
      <c r="A46" s="388" t="s">
        <v>559</v>
      </c>
      <c r="C46" s="389"/>
      <c r="D46" s="390"/>
      <c r="E46" s="409">
        <f>+F46</f>
        <v>-117769.41841700299</v>
      </c>
      <c r="F46" s="409">
        <f>0.0325*F44*2</f>
        <v>-117769.41841700299</v>
      </c>
      <c r="G46" s="410"/>
      <c r="H46" s="411"/>
    </row>
    <row r="47" spans="1:8">
      <c r="A47" s="388" t="s">
        <v>560</v>
      </c>
      <c r="C47" s="389"/>
      <c r="E47" s="412">
        <f>+E44+E46</f>
        <v>17381024.105167564</v>
      </c>
      <c r="F47" s="395">
        <f>+F44+F46</f>
        <v>-1929606.6248324336</v>
      </c>
      <c r="G47" s="410"/>
    </row>
    <row r="49" spans="4:8">
      <c r="D49" s="391" t="s">
        <v>603</v>
      </c>
      <c r="H49" s="349">
        <f t="shared" ref="H49:H53" si="6">+H39-H11</f>
        <v>34596.333736868866</v>
      </c>
    </row>
    <row r="50" spans="4:8">
      <c r="D50" s="391" t="s">
        <v>604</v>
      </c>
      <c r="H50" s="349">
        <f t="shared" si="6"/>
        <v>22085.75842405227</v>
      </c>
    </row>
    <row r="51" spans="4:8">
      <c r="D51" s="391" t="s">
        <v>605</v>
      </c>
      <c r="H51" s="349">
        <f t="shared" si="6"/>
        <v>21902.780523116933</v>
      </c>
    </row>
    <row r="52" spans="4:8">
      <c r="D52" s="391" t="s">
        <v>606</v>
      </c>
      <c r="H52" s="349">
        <f t="shared" si="6"/>
        <v>152009.69590352578</v>
      </c>
    </row>
    <row r="53" spans="4:8">
      <c r="D53" s="391" t="s">
        <v>607</v>
      </c>
      <c r="H53" s="348">
        <f t="shared" si="6"/>
        <v>34777.313738422701</v>
      </c>
    </row>
    <row r="54" spans="4:8">
      <c r="G54" s="396" t="s">
        <v>613</v>
      </c>
      <c r="H54" s="351">
        <f>+H44-H16</f>
        <v>265371.88232598663</v>
      </c>
    </row>
  </sheetData>
  <mergeCells count="1">
    <mergeCell ref="A1:H4"/>
  </mergeCells>
  <pageMargins left="0.7" right="0.7"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394"/>
  <sheetViews>
    <sheetView zoomScale="80" zoomScaleNormal="80" zoomScaleSheetLayoutView="75" workbookViewId="0"/>
  </sheetViews>
  <sheetFormatPr defaultRowHeight="15.75"/>
  <cols>
    <col min="1" max="1" width="6" style="21" customWidth="1"/>
    <col min="2" max="2" width="1.44140625" style="21" customWidth="1"/>
    <col min="3" max="3" width="37" style="21" customWidth="1"/>
    <col min="4" max="4" width="30.33203125" style="21" customWidth="1"/>
    <col min="5" max="5" width="15.77734375" style="21" customWidth="1"/>
    <col min="6" max="6" width="6.77734375" style="21" customWidth="1"/>
    <col min="7" max="7" width="9.77734375" style="21" customWidth="1"/>
    <col min="8" max="8" width="10.6640625" style="21" customWidth="1"/>
    <col min="9" max="9" width="5.77734375" style="21" customWidth="1"/>
    <col min="10" max="10" width="15.77734375" style="21" customWidth="1"/>
    <col min="11" max="11" width="3.44140625" style="21" customWidth="1"/>
    <col min="12" max="12" width="8.88671875" style="42" bestFit="1" customWidth="1"/>
    <col min="13" max="13" width="14" style="21" bestFit="1" customWidth="1"/>
    <col min="14" max="14" width="12.88671875" style="21" bestFit="1" customWidth="1"/>
    <col min="15" max="15" width="18.5546875" style="21" customWidth="1"/>
    <col min="16" max="16384" width="8.88671875" style="21"/>
  </cols>
  <sheetData>
    <row r="1" spans="1:17">
      <c r="C1" s="34"/>
      <c r="D1" s="34"/>
      <c r="E1" s="45"/>
      <c r="F1" s="34"/>
      <c r="G1" s="34"/>
      <c r="H1" s="34"/>
      <c r="I1" s="46"/>
      <c r="J1" s="46"/>
      <c r="K1" s="47"/>
      <c r="L1" s="48" t="s">
        <v>233</v>
      </c>
    </row>
    <row r="2" spans="1:17">
      <c r="C2" s="34"/>
      <c r="D2" s="34"/>
      <c r="E2" s="45"/>
      <c r="F2" s="34"/>
      <c r="G2" s="34"/>
      <c r="H2" s="34"/>
      <c r="I2" s="46"/>
      <c r="J2" s="46"/>
      <c r="K2" s="47"/>
      <c r="L2" s="49"/>
    </row>
    <row r="3" spans="1:17">
      <c r="C3" s="34" t="s">
        <v>209</v>
      </c>
      <c r="D3" s="34"/>
      <c r="E3" s="45" t="s">
        <v>278</v>
      </c>
      <c r="F3" s="34"/>
      <c r="G3" s="34"/>
      <c r="H3" s="34"/>
      <c r="I3" s="46"/>
      <c r="J3" s="50" t="s">
        <v>519</v>
      </c>
      <c r="K3" s="51"/>
      <c r="L3" s="51"/>
    </row>
    <row r="4" spans="1:17">
      <c r="C4" s="34"/>
      <c r="D4" s="36" t="s">
        <v>279</v>
      </c>
      <c r="E4" s="36" t="s">
        <v>234</v>
      </c>
      <c r="F4" s="36"/>
      <c r="G4" s="36"/>
      <c r="H4" s="36"/>
      <c r="I4" s="46"/>
      <c r="J4" s="46"/>
      <c r="K4" s="47"/>
      <c r="L4" s="49"/>
    </row>
    <row r="5" spans="1:17">
      <c r="C5" s="47"/>
      <c r="D5" s="47"/>
      <c r="E5" s="47"/>
      <c r="F5" s="47"/>
      <c r="G5" s="47"/>
      <c r="H5" s="47"/>
      <c r="I5" s="47"/>
      <c r="J5" s="47"/>
      <c r="K5" s="47"/>
      <c r="L5" s="49"/>
    </row>
    <row r="6" spans="1:17">
      <c r="A6" s="10"/>
      <c r="C6" s="47"/>
      <c r="D6" s="47"/>
      <c r="E6" s="156" t="s">
        <v>285</v>
      </c>
      <c r="F6" s="47"/>
      <c r="G6" s="47"/>
      <c r="H6" s="47"/>
      <c r="I6" s="47"/>
      <c r="J6" s="47"/>
      <c r="K6" s="47"/>
      <c r="L6" s="49"/>
    </row>
    <row r="7" spans="1:17">
      <c r="A7" s="10"/>
      <c r="C7" s="47"/>
      <c r="D7" s="47"/>
      <c r="E7" s="52"/>
      <c r="F7" s="47"/>
      <c r="G7" s="47"/>
      <c r="H7" s="47"/>
      <c r="I7" s="47"/>
      <c r="J7" s="47"/>
      <c r="K7" s="47"/>
      <c r="L7" s="49"/>
    </row>
    <row r="8" spans="1:17">
      <c r="A8" s="10" t="s">
        <v>280</v>
      </c>
      <c r="C8" s="47"/>
      <c r="D8" s="47"/>
      <c r="E8" s="52"/>
      <c r="F8" s="47"/>
      <c r="G8" s="47"/>
      <c r="H8" s="47"/>
      <c r="I8" s="47"/>
      <c r="J8" s="10" t="s">
        <v>223</v>
      </c>
      <c r="K8" s="47"/>
      <c r="L8" s="49"/>
    </row>
    <row r="9" spans="1:17" ht="16.5" thickBot="1">
      <c r="A9" s="53" t="s">
        <v>281</v>
      </c>
      <c r="C9" s="47"/>
      <c r="D9" s="47"/>
      <c r="E9" s="47"/>
      <c r="F9" s="47"/>
      <c r="G9" s="47"/>
      <c r="H9" s="47"/>
      <c r="I9" s="47"/>
      <c r="J9" s="53" t="s">
        <v>282</v>
      </c>
      <c r="K9" s="47"/>
      <c r="L9" s="49"/>
    </row>
    <row r="10" spans="1:17">
      <c r="A10" s="10">
        <v>1</v>
      </c>
      <c r="C10" s="47" t="s">
        <v>382</v>
      </c>
      <c r="D10" s="47"/>
      <c r="E10" s="54"/>
      <c r="F10" s="47"/>
      <c r="G10" s="47"/>
      <c r="H10" s="47"/>
      <c r="I10" s="47"/>
      <c r="J10" s="55">
        <f>+J223</f>
        <v>30010378.368215352</v>
      </c>
      <c r="K10" s="47"/>
      <c r="L10" s="49"/>
    </row>
    <row r="11" spans="1:17">
      <c r="A11" s="10"/>
      <c r="C11" s="47"/>
      <c r="D11" s="47"/>
      <c r="E11" s="47"/>
      <c r="F11" s="47"/>
      <c r="G11" s="47"/>
      <c r="H11" s="47"/>
      <c r="I11" s="47"/>
      <c r="J11" s="54"/>
      <c r="K11" s="47"/>
      <c r="L11" s="49"/>
    </row>
    <row r="12" spans="1:17">
      <c r="A12" s="10"/>
      <c r="C12" s="47"/>
      <c r="D12" s="47"/>
      <c r="E12" s="47"/>
      <c r="F12" s="47"/>
      <c r="G12" s="47"/>
      <c r="H12" s="47"/>
      <c r="I12" s="47"/>
      <c r="J12" s="54"/>
      <c r="K12" s="47"/>
      <c r="L12" s="49"/>
    </row>
    <row r="13" spans="1:17" ht="16.5" thickBot="1">
      <c r="A13" s="10" t="s">
        <v>279</v>
      </c>
      <c r="C13" s="35" t="s">
        <v>224</v>
      </c>
      <c r="D13" s="39" t="s">
        <v>210</v>
      </c>
      <c r="E13" s="53" t="s">
        <v>226</v>
      </c>
      <c r="F13" s="36"/>
      <c r="G13" s="56" t="s">
        <v>227</v>
      </c>
      <c r="H13" s="56"/>
      <c r="I13" s="47"/>
      <c r="J13" s="54"/>
      <c r="K13" s="47"/>
      <c r="L13" s="49"/>
    </row>
    <row r="14" spans="1:17">
      <c r="A14" s="10">
        <v>2</v>
      </c>
      <c r="C14" s="35" t="s">
        <v>228</v>
      </c>
      <c r="D14" s="36" t="s">
        <v>309</v>
      </c>
      <c r="E14" s="36">
        <f>J303</f>
        <v>0</v>
      </c>
      <c r="F14" s="36"/>
      <c r="G14" s="36" t="s">
        <v>14</v>
      </c>
      <c r="H14" s="57">
        <f>J251</f>
        <v>1</v>
      </c>
      <c r="I14" s="36"/>
      <c r="J14" s="36">
        <f>+H14*E14</f>
        <v>0</v>
      </c>
      <c r="K14" s="47"/>
      <c r="L14" s="49"/>
    </row>
    <row r="15" spans="1:17">
      <c r="A15" s="10">
        <v>3</v>
      </c>
      <c r="C15" s="35" t="s">
        <v>286</v>
      </c>
      <c r="D15" s="36" t="s">
        <v>310</v>
      </c>
      <c r="E15" s="36">
        <f>J310</f>
        <v>2883056</v>
      </c>
      <c r="F15" s="36"/>
      <c r="G15" s="36" t="str">
        <f t="shared" ref="G15:H17" si="0">+G14</f>
        <v>TP</v>
      </c>
      <c r="H15" s="57">
        <f t="shared" si="0"/>
        <v>1</v>
      </c>
      <c r="I15" s="36"/>
      <c r="J15" s="36">
        <f>+H15*E15</f>
        <v>2883056</v>
      </c>
      <c r="K15" s="47"/>
      <c r="L15" s="49"/>
    </row>
    <row r="16" spans="1:17">
      <c r="A16" s="10">
        <v>4</v>
      </c>
      <c r="C16" s="58" t="s">
        <v>229</v>
      </c>
      <c r="D16" s="36"/>
      <c r="E16" s="59">
        <v>0</v>
      </c>
      <c r="F16" s="36"/>
      <c r="G16" s="36" t="str">
        <f t="shared" si="0"/>
        <v>TP</v>
      </c>
      <c r="H16" s="57">
        <f t="shared" si="0"/>
        <v>1</v>
      </c>
      <c r="I16" s="36"/>
      <c r="J16" s="36">
        <f>+H16*E16</f>
        <v>0</v>
      </c>
      <c r="K16" s="47"/>
      <c r="L16" s="49"/>
      <c r="N16" s="7" t="s">
        <v>168</v>
      </c>
      <c r="O16" s="5"/>
      <c r="P16" s="5"/>
      <c r="Q16" s="5"/>
    </row>
    <row r="17" spans="1:17" ht="16.5" thickBot="1">
      <c r="A17" s="10">
        <v>5</v>
      </c>
      <c r="C17" s="58" t="s">
        <v>0</v>
      </c>
      <c r="D17" s="36"/>
      <c r="E17" s="59">
        <v>0</v>
      </c>
      <c r="F17" s="36"/>
      <c r="G17" s="36" t="str">
        <f t="shared" si="0"/>
        <v>TP</v>
      </c>
      <c r="H17" s="57">
        <f t="shared" si="0"/>
        <v>1</v>
      </c>
      <c r="I17" s="36"/>
      <c r="J17" s="60">
        <f>+H17*E17</f>
        <v>0</v>
      </c>
      <c r="K17" s="47"/>
      <c r="L17" s="49"/>
      <c r="N17" s="7" t="s">
        <v>169</v>
      </c>
      <c r="O17" s="5"/>
      <c r="P17" s="5"/>
      <c r="Q17" s="5"/>
    </row>
    <row r="18" spans="1:17">
      <c r="A18" s="10">
        <v>6</v>
      </c>
      <c r="C18" s="35" t="s">
        <v>57</v>
      </c>
      <c r="D18" s="47"/>
      <c r="E18" s="61" t="s">
        <v>279</v>
      </c>
      <c r="F18" s="36"/>
      <c r="G18" s="36"/>
      <c r="H18" s="57"/>
      <c r="I18" s="36"/>
      <c r="J18" s="36">
        <f>SUM(J14:J17)</f>
        <v>2883056</v>
      </c>
      <c r="K18" s="47"/>
      <c r="L18" s="49"/>
      <c r="M18" s="294"/>
      <c r="N18" s="294"/>
      <c r="O18" s="5"/>
      <c r="P18" s="5"/>
      <c r="Q18" s="5"/>
    </row>
    <row r="19" spans="1:17">
      <c r="A19" s="10"/>
      <c r="D19" s="47"/>
      <c r="E19" s="36" t="s">
        <v>279</v>
      </c>
      <c r="F19" s="47"/>
      <c r="G19" s="47"/>
      <c r="H19" s="57"/>
      <c r="I19" s="47"/>
      <c r="K19" s="47"/>
      <c r="L19" s="49"/>
      <c r="M19" s="295"/>
      <c r="N19" s="4"/>
      <c r="O19" s="5"/>
      <c r="P19" s="5"/>
      <c r="Q19" s="5"/>
    </row>
    <row r="20" spans="1:17">
      <c r="A20" s="11" t="s">
        <v>336</v>
      </c>
      <c r="B20" s="42"/>
      <c r="C20" s="42" t="s">
        <v>337</v>
      </c>
      <c r="D20" s="49"/>
      <c r="E20" s="36"/>
      <c r="F20" s="47"/>
      <c r="G20" s="47"/>
      <c r="H20" s="57"/>
      <c r="I20" s="47"/>
      <c r="J20" s="284">
        <v>26040100.9620356</v>
      </c>
      <c r="K20" s="47"/>
      <c r="L20" s="49"/>
      <c r="N20" s="4"/>
      <c r="O20" s="5"/>
      <c r="P20" s="5"/>
      <c r="Q20" s="5"/>
    </row>
    <row r="21" spans="1:17">
      <c r="A21" s="11" t="s">
        <v>338</v>
      </c>
      <c r="B21" s="42"/>
      <c r="C21" s="42" t="s">
        <v>342</v>
      </c>
      <c r="D21" s="49" t="s">
        <v>346</v>
      </c>
      <c r="E21" s="36"/>
      <c r="F21" s="47"/>
      <c r="G21" s="47"/>
      <c r="H21" s="57"/>
      <c r="I21" s="47"/>
      <c r="J21" s="284">
        <v>27069263.2148307</v>
      </c>
      <c r="K21" s="47"/>
      <c r="L21" s="49"/>
      <c r="N21" s="297"/>
      <c r="O21" s="5"/>
      <c r="P21" s="5"/>
      <c r="Q21" s="5"/>
    </row>
    <row r="22" spans="1:17">
      <c r="A22" s="11" t="s">
        <v>339</v>
      </c>
      <c r="B22" s="42"/>
      <c r="C22" s="42" t="s">
        <v>343</v>
      </c>
      <c r="D22" s="49" t="s">
        <v>347</v>
      </c>
      <c r="E22" s="36"/>
      <c r="F22" s="47"/>
      <c r="G22" s="47"/>
      <c r="H22" s="57"/>
      <c r="I22" s="47"/>
      <c r="J22" s="284">
        <v>-1029162.2527951002</v>
      </c>
      <c r="K22" s="47"/>
      <c r="L22" s="49"/>
      <c r="N22" s="296"/>
      <c r="O22" s="5"/>
      <c r="P22" s="5"/>
      <c r="Q22" s="5"/>
    </row>
    <row r="23" spans="1:17">
      <c r="A23" s="11" t="s">
        <v>340</v>
      </c>
      <c r="B23" s="42"/>
      <c r="C23" s="42" t="s">
        <v>344</v>
      </c>
      <c r="D23" s="49" t="s">
        <v>348</v>
      </c>
      <c r="E23" s="36"/>
      <c r="F23" s="47"/>
      <c r="G23" s="47"/>
      <c r="H23" s="57"/>
      <c r="I23" s="47"/>
      <c r="J23" s="284">
        <v>-1730358.5</v>
      </c>
      <c r="K23" s="47"/>
      <c r="L23" s="49"/>
      <c r="N23" s="4"/>
      <c r="O23" s="5"/>
      <c r="P23" s="5"/>
      <c r="Q23" s="5"/>
    </row>
    <row r="24" spans="1:17">
      <c r="A24" s="11" t="s">
        <v>341</v>
      </c>
      <c r="B24" s="42"/>
      <c r="C24" s="42" t="s">
        <v>345</v>
      </c>
      <c r="D24" s="49"/>
      <c r="E24" s="36"/>
      <c r="F24" s="47"/>
      <c r="G24" s="47"/>
      <c r="H24" s="57"/>
      <c r="I24" s="47"/>
      <c r="J24" s="284">
        <v>-179368.84893168154</v>
      </c>
      <c r="K24" s="47"/>
      <c r="L24" s="49"/>
      <c r="N24" s="4"/>
      <c r="O24" s="5"/>
      <c r="P24" s="5"/>
      <c r="Q24" s="5"/>
    </row>
    <row r="25" spans="1:17">
      <c r="A25" s="11"/>
      <c r="B25" s="42"/>
      <c r="C25" s="41"/>
      <c r="D25" s="49"/>
      <c r="J25" s="36"/>
      <c r="K25" s="47"/>
      <c r="L25" s="49"/>
      <c r="N25" s="4"/>
      <c r="O25" s="5"/>
      <c r="P25" s="5"/>
      <c r="Q25" s="5"/>
    </row>
    <row r="26" spans="1:17" ht="16.5" thickBot="1">
      <c r="A26" s="11">
        <v>7</v>
      </c>
      <c r="B26" s="42"/>
      <c r="C26" s="41" t="s">
        <v>283</v>
      </c>
      <c r="D26" s="49" t="s">
        <v>363</v>
      </c>
      <c r="E26" s="61" t="s">
        <v>279</v>
      </c>
      <c r="F26" s="36"/>
      <c r="G26" s="36"/>
      <c r="H26" s="36"/>
      <c r="I26" s="36"/>
      <c r="J26" s="62">
        <f>+J10-J18+J22+J23+J24</f>
        <v>24188432.766488571</v>
      </c>
      <c r="K26" s="47"/>
      <c r="L26" s="49"/>
      <c r="N26" s="4"/>
      <c r="O26" s="5"/>
      <c r="P26" s="5"/>
      <c r="Q26" s="5"/>
    </row>
    <row r="27" spans="1:17" ht="16.5" thickTop="1">
      <c r="A27" s="10"/>
      <c r="D27" s="47"/>
      <c r="E27" s="61"/>
      <c r="F27" s="36"/>
      <c r="G27" s="36"/>
      <c r="H27" s="36"/>
      <c r="I27" s="36"/>
      <c r="K27" s="47"/>
      <c r="L27" s="49"/>
      <c r="N27" s="4"/>
      <c r="O27" s="5"/>
      <c r="P27" s="5"/>
      <c r="Q27" s="5"/>
    </row>
    <row r="28" spans="1:17">
      <c r="A28" s="10"/>
      <c r="D28" s="36"/>
      <c r="J28" s="36"/>
      <c r="K28" s="47"/>
      <c r="L28" s="49"/>
      <c r="N28" s="4"/>
      <c r="O28" s="5"/>
      <c r="P28" s="5"/>
      <c r="Q28" s="5"/>
    </row>
    <row r="29" spans="1:17">
      <c r="A29" s="10"/>
      <c r="C29" s="35" t="s">
        <v>284</v>
      </c>
      <c r="D29" s="47"/>
      <c r="E29" s="54"/>
      <c r="F29" s="47"/>
      <c r="G29" s="47"/>
      <c r="H29" s="47"/>
      <c r="I29" s="47"/>
      <c r="J29" s="54"/>
      <c r="K29" s="47"/>
      <c r="L29" s="49"/>
      <c r="N29" s="4"/>
      <c r="O29" s="5"/>
      <c r="P29" s="5"/>
      <c r="Q29" s="5"/>
    </row>
    <row r="30" spans="1:17">
      <c r="A30" s="10">
        <v>8</v>
      </c>
      <c r="C30" s="35" t="s">
        <v>141</v>
      </c>
      <c r="E30" s="54"/>
      <c r="F30" s="47"/>
      <c r="G30" s="47"/>
      <c r="H30" s="63" t="s">
        <v>142</v>
      </c>
      <c r="I30" s="47"/>
      <c r="J30" s="64">
        <f>'Workpapers (Page 10)'!D23</f>
        <v>1008583.3333333334</v>
      </c>
      <c r="K30" s="47"/>
      <c r="L30" s="49"/>
      <c r="N30" s="6"/>
      <c r="O30" s="5"/>
      <c r="P30" s="5"/>
      <c r="Q30" s="5"/>
    </row>
    <row r="31" spans="1:17">
      <c r="A31" s="10">
        <v>9</v>
      </c>
      <c r="C31" s="35" t="s">
        <v>230</v>
      </c>
      <c r="D31" s="36"/>
      <c r="E31" s="36"/>
      <c r="F31" s="36"/>
      <c r="G31" s="36"/>
      <c r="H31" s="39" t="s">
        <v>143</v>
      </c>
      <c r="I31" s="36"/>
      <c r="J31" s="64">
        <v>0</v>
      </c>
      <c r="K31" s="47"/>
      <c r="L31" s="49"/>
    </row>
    <row r="32" spans="1:17">
      <c r="A32" s="10">
        <v>10</v>
      </c>
      <c r="C32" s="58" t="s">
        <v>178</v>
      </c>
      <c r="D32" s="47"/>
      <c r="E32" s="47"/>
      <c r="F32" s="47"/>
      <c r="H32" s="63" t="s">
        <v>144</v>
      </c>
      <c r="I32" s="47"/>
      <c r="J32" s="64">
        <v>0</v>
      </c>
      <c r="K32" s="47"/>
      <c r="L32" s="49"/>
    </row>
    <row r="33" spans="1:12">
      <c r="A33" s="10">
        <v>11</v>
      </c>
      <c r="C33" s="35" t="s">
        <v>145</v>
      </c>
      <c r="D33" s="47"/>
      <c r="E33" s="47"/>
      <c r="F33" s="47"/>
      <c r="H33" s="63" t="s">
        <v>146</v>
      </c>
      <c r="I33" s="47"/>
      <c r="J33" s="65">
        <v>0</v>
      </c>
      <c r="K33" s="47"/>
      <c r="L33" s="49"/>
    </row>
    <row r="34" spans="1:12">
      <c r="A34" s="10">
        <v>12</v>
      </c>
      <c r="C34" s="58" t="s">
        <v>22</v>
      </c>
      <c r="D34" s="47"/>
      <c r="E34" s="47"/>
      <c r="F34" s="47"/>
      <c r="G34" s="47"/>
      <c r="H34" s="46"/>
      <c r="I34" s="47"/>
      <c r="J34" s="65">
        <v>0</v>
      </c>
      <c r="K34" s="47"/>
      <c r="L34" s="49"/>
    </row>
    <row r="35" spans="1:12">
      <c r="A35" s="10">
        <v>13</v>
      </c>
      <c r="C35" s="58" t="s">
        <v>311</v>
      </c>
      <c r="D35" s="47"/>
      <c r="E35" s="47"/>
      <c r="F35" s="47"/>
      <c r="G35" s="47"/>
      <c r="H35" s="63"/>
      <c r="I35" s="47"/>
      <c r="J35" s="65">
        <v>0</v>
      </c>
      <c r="K35" s="47"/>
      <c r="L35" s="49"/>
    </row>
    <row r="36" spans="1:12" ht="16.5" thickBot="1">
      <c r="A36" s="10">
        <v>14</v>
      </c>
      <c r="C36" s="58" t="s">
        <v>246</v>
      </c>
      <c r="D36" s="47"/>
      <c r="E36" s="47"/>
      <c r="F36" s="47"/>
      <c r="G36" s="47"/>
      <c r="H36" s="46"/>
      <c r="I36" s="47"/>
      <c r="J36" s="66">
        <v>0</v>
      </c>
      <c r="K36" s="47"/>
      <c r="L36" s="49"/>
    </row>
    <row r="37" spans="1:12">
      <c r="A37" s="10">
        <v>15</v>
      </c>
      <c r="C37" s="34" t="s">
        <v>179</v>
      </c>
      <c r="D37" s="47"/>
      <c r="E37" s="47"/>
      <c r="F37" s="47"/>
      <c r="G37" s="47"/>
      <c r="H37" s="47"/>
      <c r="I37" s="47"/>
      <c r="J37" s="54">
        <f>SUM(J30:J36)</f>
        <v>1008583.3333333334</v>
      </c>
      <c r="K37" s="47"/>
      <c r="L37" s="49"/>
    </row>
    <row r="38" spans="1:12">
      <c r="A38" s="10"/>
      <c r="C38" s="35"/>
      <c r="D38" s="47"/>
      <c r="E38" s="47"/>
      <c r="F38" s="47"/>
      <c r="G38" s="47"/>
      <c r="H38" s="47"/>
      <c r="I38" s="47"/>
      <c r="J38" s="54"/>
      <c r="K38" s="47"/>
      <c r="L38" s="49"/>
    </row>
    <row r="39" spans="1:12">
      <c r="A39" s="10">
        <v>16</v>
      </c>
      <c r="C39" s="35" t="s">
        <v>149</v>
      </c>
      <c r="D39" s="47" t="s">
        <v>277</v>
      </c>
      <c r="E39" s="67">
        <f>IF(J37&gt;0,J26/J37,0)</f>
        <v>23.982582268682378</v>
      </c>
      <c r="F39" s="47"/>
      <c r="G39" s="47"/>
      <c r="H39" s="47"/>
      <c r="I39" s="47"/>
      <c r="K39" s="47"/>
      <c r="L39" s="49"/>
    </row>
    <row r="40" spans="1:12">
      <c r="A40" s="10">
        <v>17</v>
      </c>
      <c r="C40" s="35" t="s">
        <v>150</v>
      </c>
      <c r="D40" s="47" t="s">
        <v>70</v>
      </c>
      <c r="E40" s="67">
        <f>+E39/12</f>
        <v>1.9985485223901982</v>
      </c>
      <c r="F40" s="47"/>
      <c r="G40" s="47"/>
      <c r="H40" s="47"/>
      <c r="I40" s="47"/>
      <c r="K40" s="47"/>
      <c r="L40" s="49"/>
    </row>
    <row r="41" spans="1:12">
      <c r="A41" s="10"/>
      <c r="C41" s="35"/>
      <c r="D41" s="47"/>
      <c r="E41" s="67"/>
      <c r="F41" s="47"/>
      <c r="G41" s="47"/>
      <c r="H41" s="47"/>
      <c r="I41" s="47"/>
      <c r="K41" s="47"/>
      <c r="L41" s="49"/>
    </row>
    <row r="42" spans="1:12">
      <c r="A42" s="10"/>
      <c r="C42" s="35"/>
      <c r="D42" s="47"/>
      <c r="E42" s="68" t="s">
        <v>151</v>
      </c>
      <c r="F42" s="47"/>
      <c r="G42" s="47"/>
      <c r="H42" s="47"/>
      <c r="I42" s="47"/>
      <c r="J42" s="69" t="s">
        <v>152</v>
      </c>
      <c r="K42" s="47"/>
      <c r="L42" s="49"/>
    </row>
    <row r="43" spans="1:12">
      <c r="A43" s="10"/>
      <c r="C43" s="35"/>
      <c r="D43" s="47"/>
      <c r="E43" s="67"/>
      <c r="F43" s="47"/>
      <c r="G43" s="47"/>
      <c r="H43" s="47"/>
      <c r="I43" s="47"/>
      <c r="K43" s="47"/>
      <c r="L43" s="49"/>
    </row>
    <row r="44" spans="1:12">
      <c r="A44" s="10">
        <v>18</v>
      </c>
      <c r="C44" s="35" t="s">
        <v>153</v>
      </c>
      <c r="D44" s="163" t="s">
        <v>370</v>
      </c>
      <c r="E44" s="67">
        <f>+E39/52</f>
        <v>0.46120350516696884</v>
      </c>
      <c r="F44" s="47"/>
      <c r="G44" s="47"/>
      <c r="H44" s="47"/>
      <c r="I44" s="47"/>
      <c r="J44" s="70">
        <f>+E39/52</f>
        <v>0.46120350516696884</v>
      </c>
      <c r="K44" s="47"/>
      <c r="L44" s="49"/>
    </row>
    <row r="45" spans="1:12">
      <c r="A45" s="10">
        <v>19</v>
      </c>
      <c r="C45" s="35" t="s">
        <v>154</v>
      </c>
      <c r="D45" s="163" t="s">
        <v>380</v>
      </c>
      <c r="E45" s="67">
        <f>+E44/5</f>
        <v>9.2240701033393768E-2</v>
      </c>
      <c r="F45" s="47" t="s">
        <v>155</v>
      </c>
      <c r="H45" s="47"/>
      <c r="I45" s="47"/>
      <c r="J45" s="70">
        <f>+J44/7</f>
        <v>6.5886215023852696E-2</v>
      </c>
      <c r="K45" s="47"/>
      <c r="L45" s="49"/>
    </row>
    <row r="46" spans="1:12">
      <c r="A46" s="10">
        <v>20</v>
      </c>
      <c r="C46" s="35" t="s">
        <v>156</v>
      </c>
      <c r="D46" s="163" t="s">
        <v>381</v>
      </c>
      <c r="E46" s="67">
        <f>+E45/16*1000</f>
        <v>5.7650438145871101</v>
      </c>
      <c r="F46" s="47" t="s">
        <v>157</v>
      </c>
      <c r="H46" s="47"/>
      <c r="I46" s="47"/>
      <c r="J46" s="70">
        <f>+J45/24*1000</f>
        <v>2.7452589593271957</v>
      </c>
      <c r="K46" s="47"/>
      <c r="L46" s="49" t="s">
        <v>279</v>
      </c>
    </row>
    <row r="47" spans="1:12">
      <c r="A47" s="10"/>
      <c r="C47" s="35"/>
      <c r="D47" s="47" t="s">
        <v>158</v>
      </c>
      <c r="E47" s="47"/>
      <c r="F47" s="47" t="s">
        <v>159</v>
      </c>
      <c r="H47" s="47"/>
      <c r="I47" s="47"/>
      <c r="K47" s="47"/>
      <c r="L47" s="49" t="s">
        <v>279</v>
      </c>
    </row>
    <row r="48" spans="1:12">
      <c r="A48" s="10"/>
      <c r="C48" s="35"/>
      <c r="D48" s="47"/>
      <c r="E48" s="47"/>
      <c r="F48" s="47"/>
      <c r="H48" s="47"/>
      <c r="I48" s="47"/>
      <c r="K48" s="47"/>
      <c r="L48" s="49" t="s">
        <v>279</v>
      </c>
    </row>
    <row r="49" spans="1:12">
      <c r="A49" s="10">
        <v>21</v>
      </c>
      <c r="C49" s="35" t="s">
        <v>180</v>
      </c>
      <c r="D49" s="47" t="s">
        <v>181</v>
      </c>
      <c r="E49" s="71">
        <v>0</v>
      </c>
      <c r="F49" s="72" t="s">
        <v>182</v>
      </c>
      <c r="G49" s="72"/>
      <c r="H49" s="72"/>
      <c r="I49" s="72"/>
      <c r="J49" s="72">
        <f>E49</f>
        <v>0</v>
      </c>
      <c r="K49" s="72" t="s">
        <v>182</v>
      </c>
      <c r="L49" s="49"/>
    </row>
    <row r="50" spans="1:12">
      <c r="A50" s="10">
        <v>22</v>
      </c>
      <c r="C50" s="35"/>
      <c r="D50" s="47"/>
      <c r="E50" s="71">
        <v>0</v>
      </c>
      <c r="F50" s="72" t="s">
        <v>183</v>
      </c>
      <c r="G50" s="72"/>
      <c r="H50" s="72"/>
      <c r="I50" s="72"/>
      <c r="J50" s="72">
        <f>E50</f>
        <v>0</v>
      </c>
      <c r="K50" s="72" t="s">
        <v>183</v>
      </c>
      <c r="L50" s="49"/>
    </row>
    <row r="51" spans="1:12" s="42" customFormat="1">
      <c r="A51" s="11"/>
      <c r="C51" s="41"/>
      <c r="D51" s="49"/>
      <c r="E51" s="73"/>
      <c r="F51" s="73"/>
      <c r="G51" s="73"/>
      <c r="H51" s="73"/>
      <c r="I51" s="73"/>
      <c r="J51" s="73"/>
      <c r="K51" s="73"/>
      <c r="L51" s="49"/>
    </row>
    <row r="52" spans="1:12" s="42" customFormat="1">
      <c r="A52" s="11"/>
      <c r="C52" s="41"/>
      <c r="D52" s="49"/>
      <c r="E52" s="73"/>
      <c r="F52" s="73"/>
      <c r="G52" s="73"/>
      <c r="H52" s="73"/>
      <c r="I52" s="73"/>
      <c r="J52" s="73"/>
      <c r="K52" s="73"/>
      <c r="L52" s="49"/>
    </row>
    <row r="53" spans="1:12" s="42" customFormat="1">
      <c r="A53" s="11"/>
      <c r="C53" s="41"/>
      <c r="D53" s="49"/>
      <c r="E53" s="73"/>
      <c r="F53" s="73"/>
      <c r="G53" s="73"/>
      <c r="H53" s="73"/>
      <c r="I53" s="73"/>
      <c r="J53" s="73"/>
      <c r="K53" s="73"/>
      <c r="L53" s="49"/>
    </row>
    <row r="54" spans="1:12" s="42" customFormat="1">
      <c r="A54" s="11"/>
      <c r="C54" s="41"/>
      <c r="D54" s="49"/>
      <c r="E54" s="73"/>
      <c r="F54" s="73"/>
      <c r="G54" s="73"/>
      <c r="H54" s="73"/>
      <c r="I54" s="73"/>
      <c r="J54" s="73"/>
      <c r="K54" s="73"/>
      <c r="L54" s="49"/>
    </row>
    <row r="55" spans="1:12" s="42" customFormat="1">
      <c r="A55" s="11"/>
      <c r="C55" s="41"/>
      <c r="D55" s="49"/>
      <c r="E55" s="73"/>
      <c r="F55" s="73"/>
      <c r="G55" s="73"/>
      <c r="H55" s="73"/>
      <c r="I55" s="73"/>
      <c r="J55" s="73"/>
      <c r="K55" s="73"/>
      <c r="L55" s="49"/>
    </row>
    <row r="56" spans="1:12" s="42" customFormat="1">
      <c r="A56" s="11"/>
      <c r="C56" s="41"/>
      <c r="D56" s="49"/>
      <c r="E56" s="73"/>
      <c r="F56" s="73"/>
      <c r="G56" s="73"/>
      <c r="H56" s="73"/>
      <c r="I56" s="73"/>
      <c r="J56" s="73"/>
      <c r="K56" s="73"/>
      <c r="L56" s="49"/>
    </row>
    <row r="57" spans="1:12" s="42" customFormat="1">
      <c r="A57" s="11"/>
      <c r="C57" s="41"/>
      <c r="D57" s="49"/>
      <c r="E57" s="73"/>
      <c r="F57" s="73"/>
      <c r="G57" s="73"/>
      <c r="H57" s="73"/>
      <c r="I57" s="73"/>
      <c r="J57" s="73"/>
      <c r="K57" s="73"/>
      <c r="L57" s="49"/>
    </row>
    <row r="58" spans="1:12" s="42" customFormat="1">
      <c r="A58" s="11"/>
      <c r="C58" s="41"/>
      <c r="D58" s="49"/>
      <c r="E58" s="73"/>
      <c r="F58" s="73"/>
      <c r="G58" s="73"/>
      <c r="H58" s="73"/>
      <c r="I58" s="73"/>
      <c r="J58" s="73"/>
      <c r="K58" s="73"/>
      <c r="L58" s="49"/>
    </row>
    <row r="59" spans="1:12" s="42" customFormat="1">
      <c r="A59" s="11"/>
      <c r="C59" s="41"/>
      <c r="D59" s="49"/>
      <c r="E59" s="73"/>
      <c r="F59" s="73"/>
      <c r="G59" s="73"/>
      <c r="H59" s="73"/>
      <c r="I59" s="73"/>
      <c r="J59" s="73"/>
      <c r="K59" s="73"/>
      <c r="L59" s="49"/>
    </row>
    <row r="60" spans="1:12" s="42" customFormat="1">
      <c r="A60" s="11"/>
      <c r="C60" s="41"/>
      <c r="D60" s="49"/>
      <c r="E60" s="73"/>
      <c r="F60" s="73"/>
      <c r="G60" s="73"/>
      <c r="H60" s="73"/>
      <c r="I60" s="73"/>
      <c r="J60" s="73"/>
      <c r="K60" s="73"/>
      <c r="L60" s="49"/>
    </row>
    <row r="61" spans="1:12" s="42" customFormat="1">
      <c r="A61" s="11"/>
      <c r="C61" s="41"/>
      <c r="D61" s="49"/>
      <c r="E61" s="73"/>
      <c r="F61" s="73"/>
      <c r="G61" s="73"/>
      <c r="H61" s="73"/>
      <c r="I61" s="73"/>
      <c r="J61" s="73"/>
      <c r="K61" s="73"/>
      <c r="L61" s="49"/>
    </row>
    <row r="62" spans="1:12" s="42" customFormat="1">
      <c r="A62" s="11"/>
      <c r="C62" s="41"/>
      <c r="D62" s="49"/>
      <c r="E62" s="73"/>
      <c r="F62" s="73"/>
      <c r="G62" s="73"/>
      <c r="H62" s="73"/>
      <c r="I62" s="73"/>
      <c r="J62" s="73"/>
      <c r="K62" s="73"/>
      <c r="L62" s="49"/>
    </row>
    <row r="63" spans="1:12" s="42" customFormat="1">
      <c r="A63" s="11"/>
      <c r="C63" s="41"/>
      <c r="D63" s="49"/>
      <c r="E63" s="73"/>
      <c r="F63" s="73"/>
      <c r="G63" s="73"/>
      <c r="H63" s="73"/>
      <c r="I63" s="73"/>
      <c r="J63" s="73"/>
      <c r="K63" s="73"/>
      <c r="L63" s="49"/>
    </row>
    <row r="64" spans="1:12" s="42" customFormat="1">
      <c r="A64" s="11"/>
      <c r="C64" s="41"/>
      <c r="D64" s="49"/>
      <c r="E64" s="73"/>
      <c r="F64" s="73"/>
      <c r="G64" s="73"/>
      <c r="H64" s="73"/>
      <c r="I64" s="73"/>
      <c r="J64" s="73"/>
      <c r="K64" s="73"/>
      <c r="L64" s="49"/>
    </row>
    <row r="65" spans="1:12" s="42" customFormat="1">
      <c r="A65" s="11"/>
      <c r="C65" s="41"/>
      <c r="D65" s="49"/>
      <c r="E65" s="73"/>
      <c r="F65" s="73"/>
      <c r="G65" s="73"/>
      <c r="H65" s="73"/>
      <c r="I65" s="73"/>
      <c r="J65" s="73"/>
      <c r="K65" s="73"/>
      <c r="L65" s="49"/>
    </row>
    <row r="66" spans="1:12" s="42" customFormat="1">
      <c r="A66" s="11"/>
      <c r="C66" s="41"/>
      <c r="D66" s="49"/>
      <c r="E66" s="73"/>
      <c r="F66" s="73"/>
      <c r="G66" s="73"/>
      <c r="H66" s="73"/>
      <c r="I66" s="73"/>
      <c r="J66" s="73"/>
      <c r="K66" s="73"/>
      <c r="L66" s="49"/>
    </row>
    <row r="67" spans="1:12" s="42" customFormat="1">
      <c r="A67" s="11"/>
      <c r="C67" s="41"/>
      <c r="D67" s="49"/>
      <c r="E67" s="73"/>
      <c r="F67" s="73"/>
      <c r="G67" s="73"/>
      <c r="H67" s="73"/>
      <c r="I67" s="73"/>
      <c r="J67" s="73"/>
      <c r="K67" s="73"/>
      <c r="L67" s="49"/>
    </row>
    <row r="68" spans="1:12" s="42" customFormat="1">
      <c r="A68" s="11"/>
      <c r="C68" s="41"/>
      <c r="D68" s="49"/>
      <c r="E68" s="73"/>
      <c r="F68" s="73"/>
      <c r="G68" s="73"/>
      <c r="H68" s="73"/>
      <c r="I68" s="73"/>
      <c r="J68" s="73"/>
      <c r="K68" s="73"/>
      <c r="L68" s="49"/>
    </row>
    <row r="69" spans="1:12" s="42" customFormat="1">
      <c r="A69" s="11"/>
      <c r="C69" s="41"/>
      <c r="D69" s="49"/>
      <c r="E69" s="73"/>
      <c r="F69" s="73"/>
      <c r="G69" s="73"/>
      <c r="H69" s="73"/>
      <c r="I69" s="73"/>
      <c r="J69" s="73"/>
      <c r="K69" s="73"/>
      <c r="L69" s="49"/>
    </row>
    <row r="70" spans="1:12" s="42" customFormat="1">
      <c r="A70" s="11"/>
      <c r="C70" s="41"/>
      <c r="D70" s="49"/>
      <c r="E70" s="73"/>
      <c r="F70" s="73"/>
      <c r="G70" s="73"/>
      <c r="H70" s="73"/>
      <c r="I70" s="73"/>
      <c r="J70" s="73"/>
      <c r="K70" s="73"/>
      <c r="L70" s="49"/>
    </row>
    <row r="71" spans="1:12" s="42" customFormat="1">
      <c r="A71" s="11"/>
      <c r="C71" s="41"/>
      <c r="D71" s="49"/>
      <c r="E71" s="73"/>
      <c r="F71" s="73"/>
      <c r="G71" s="73"/>
      <c r="H71" s="73"/>
      <c r="I71" s="73"/>
      <c r="J71" s="73"/>
      <c r="K71" s="73"/>
      <c r="L71" s="49"/>
    </row>
    <row r="72" spans="1:12" s="42" customFormat="1">
      <c r="A72" s="11"/>
      <c r="C72" s="41"/>
      <c r="D72" s="49"/>
      <c r="E72" s="73"/>
      <c r="F72" s="73"/>
      <c r="G72" s="73"/>
      <c r="H72" s="73"/>
      <c r="I72" s="73"/>
      <c r="J72" s="73"/>
      <c r="K72" s="73"/>
      <c r="L72" s="49"/>
    </row>
    <row r="73" spans="1:12" s="42" customFormat="1">
      <c r="A73" s="11"/>
      <c r="C73" s="41"/>
      <c r="D73" s="49"/>
      <c r="E73" s="73"/>
      <c r="F73" s="73"/>
      <c r="G73" s="73"/>
      <c r="H73" s="73"/>
      <c r="I73" s="73"/>
      <c r="J73" s="73"/>
      <c r="K73" s="73"/>
      <c r="L73" s="49"/>
    </row>
    <row r="74" spans="1:12" s="42" customFormat="1">
      <c r="A74" s="11"/>
      <c r="C74" s="41"/>
      <c r="D74" s="49"/>
      <c r="E74" s="73"/>
      <c r="F74" s="73"/>
      <c r="G74" s="73"/>
      <c r="H74" s="73"/>
      <c r="I74" s="73"/>
      <c r="J74" s="73"/>
      <c r="K74" s="73"/>
      <c r="L74" s="49"/>
    </row>
    <row r="75" spans="1:12" s="42" customFormat="1">
      <c r="A75" s="11"/>
      <c r="C75" s="41"/>
      <c r="D75" s="49"/>
      <c r="E75" s="73"/>
      <c r="F75" s="73"/>
      <c r="G75" s="73"/>
      <c r="H75" s="73"/>
      <c r="I75" s="73"/>
      <c r="J75" s="73"/>
      <c r="K75" s="73"/>
      <c r="L75" s="49"/>
    </row>
    <row r="76" spans="1:12" s="42" customFormat="1">
      <c r="A76" s="11"/>
      <c r="C76" s="41"/>
      <c r="D76" s="49"/>
      <c r="E76" s="73"/>
      <c r="F76" s="73"/>
      <c r="G76" s="73"/>
      <c r="H76" s="73"/>
      <c r="I76" s="73"/>
      <c r="J76" s="73"/>
      <c r="K76" s="73"/>
      <c r="L76" s="49"/>
    </row>
    <row r="77" spans="1:12" s="42" customFormat="1">
      <c r="A77" s="11"/>
      <c r="C77" s="41"/>
      <c r="D77" s="49"/>
      <c r="E77" s="73"/>
      <c r="F77" s="73"/>
      <c r="G77" s="73"/>
      <c r="H77" s="73"/>
      <c r="I77" s="73"/>
      <c r="J77" s="73"/>
      <c r="K77" s="73"/>
      <c r="L77" s="49"/>
    </row>
    <row r="78" spans="1:12" s="42" customFormat="1">
      <c r="A78" s="11"/>
      <c r="C78" s="41"/>
      <c r="D78" s="49"/>
      <c r="E78" s="73"/>
      <c r="F78" s="73"/>
      <c r="G78" s="73"/>
      <c r="H78" s="73"/>
      <c r="I78" s="73"/>
      <c r="J78" s="73"/>
      <c r="K78" s="73"/>
      <c r="L78" s="49"/>
    </row>
    <row r="79" spans="1:12">
      <c r="C79" s="34"/>
      <c r="D79" s="34"/>
      <c r="E79" s="45"/>
      <c r="F79" s="34"/>
      <c r="G79" s="34"/>
      <c r="H79" s="34"/>
      <c r="I79" s="46"/>
      <c r="J79" s="46"/>
      <c r="K79" s="47"/>
      <c r="L79" s="48" t="s">
        <v>215</v>
      </c>
    </row>
    <row r="80" spans="1:12">
      <c r="C80" s="34"/>
      <c r="D80" s="34"/>
      <c r="E80" s="45"/>
      <c r="F80" s="34"/>
      <c r="G80" s="34"/>
      <c r="H80" s="34"/>
      <c r="I80" s="46"/>
      <c r="J80" s="46"/>
      <c r="K80" s="47"/>
      <c r="L80" s="48"/>
    </row>
    <row r="81" spans="1:16">
      <c r="C81" s="34" t="s">
        <v>209</v>
      </c>
      <c r="D81" s="34"/>
      <c r="E81" s="45" t="s">
        <v>278</v>
      </c>
      <c r="F81" s="34"/>
      <c r="G81" s="34"/>
      <c r="H81" s="34"/>
      <c r="I81" s="46"/>
      <c r="J81" s="50" t="str">
        <f>J3</f>
        <v>For the 12 months ended 12/31/13</v>
      </c>
      <c r="K81" s="51"/>
      <c r="L81" s="51"/>
    </row>
    <row r="82" spans="1:16">
      <c r="C82" s="34"/>
      <c r="D82" s="36" t="s">
        <v>279</v>
      </c>
      <c r="E82" s="36" t="s">
        <v>234</v>
      </c>
      <c r="F82" s="36"/>
      <c r="G82" s="36"/>
      <c r="H82" s="36"/>
      <c r="I82" s="46"/>
      <c r="J82" s="46"/>
      <c r="K82" s="47"/>
      <c r="L82" s="49"/>
    </row>
    <row r="83" spans="1:16">
      <c r="C83" s="34"/>
      <c r="D83" s="36"/>
      <c r="E83" s="36"/>
      <c r="F83" s="36"/>
      <c r="G83" s="36"/>
      <c r="H83" s="36"/>
      <c r="I83" s="46"/>
      <c r="J83" s="46"/>
      <c r="K83" s="47"/>
      <c r="L83" s="49"/>
    </row>
    <row r="84" spans="1:16">
      <c r="C84" s="35"/>
      <c r="D84" s="47"/>
      <c r="E84" s="157" t="str">
        <f>E6</f>
        <v>VECTREN</v>
      </c>
      <c r="F84" s="36"/>
      <c r="G84" s="36"/>
      <c r="H84" s="36"/>
      <c r="I84" s="36"/>
      <c r="J84" s="36"/>
      <c r="K84" s="36"/>
      <c r="L84" s="39"/>
    </row>
    <row r="85" spans="1:16">
      <c r="C85" s="74" t="s">
        <v>160</v>
      </c>
      <c r="D85" s="74" t="s">
        <v>161</v>
      </c>
      <c r="E85" s="74" t="s">
        <v>5</v>
      </c>
      <c r="F85" s="36" t="s">
        <v>279</v>
      </c>
      <c r="G85" s="36"/>
      <c r="H85" s="75" t="s">
        <v>6</v>
      </c>
      <c r="I85" s="36"/>
      <c r="J85" s="76" t="s">
        <v>7</v>
      </c>
      <c r="K85" s="36"/>
      <c r="L85" s="77"/>
    </row>
    <row r="86" spans="1:16">
      <c r="C86" s="35"/>
      <c r="D86" s="78" t="s">
        <v>216</v>
      </c>
      <c r="E86" s="36"/>
      <c r="F86" s="36"/>
      <c r="G86" s="36"/>
      <c r="H86" s="10"/>
      <c r="I86" s="36"/>
      <c r="J86" s="79" t="s">
        <v>8</v>
      </c>
      <c r="K86" s="36"/>
      <c r="L86" s="77"/>
    </row>
    <row r="87" spans="1:16">
      <c r="A87" s="10" t="s">
        <v>280</v>
      </c>
      <c r="C87" s="35"/>
      <c r="D87" s="80" t="s">
        <v>9</v>
      </c>
      <c r="E87" s="79" t="s">
        <v>10</v>
      </c>
      <c r="F87" s="81"/>
      <c r="G87" s="79" t="s">
        <v>11</v>
      </c>
      <c r="I87" s="81"/>
      <c r="J87" s="10" t="s">
        <v>12</v>
      </c>
      <c r="K87" s="36"/>
      <c r="L87" s="77"/>
    </row>
    <row r="88" spans="1:16" ht="16.5" thickBot="1">
      <c r="A88" s="53" t="s">
        <v>281</v>
      </c>
      <c r="C88" s="82" t="s">
        <v>211</v>
      </c>
      <c r="D88" s="36"/>
      <c r="E88" s="36"/>
      <c r="F88" s="36"/>
      <c r="G88" s="36"/>
      <c r="H88" s="36"/>
      <c r="I88" s="36"/>
      <c r="J88" s="36"/>
      <c r="K88" s="36"/>
      <c r="L88" s="39"/>
    </row>
    <row r="89" spans="1:16">
      <c r="A89" s="10"/>
      <c r="C89" s="35"/>
      <c r="D89" s="36"/>
      <c r="E89" s="36"/>
      <c r="F89" s="36"/>
      <c r="G89" s="36"/>
      <c r="H89" s="36"/>
      <c r="I89" s="36"/>
      <c r="J89" s="36"/>
      <c r="K89" s="36"/>
      <c r="L89" s="39"/>
    </row>
    <row r="90" spans="1:16">
      <c r="A90" s="10"/>
      <c r="C90" s="41" t="s">
        <v>517</v>
      </c>
      <c r="D90" s="36"/>
      <c r="E90" s="36"/>
      <c r="F90" s="36"/>
      <c r="G90" s="36"/>
      <c r="H90" s="36"/>
      <c r="I90" s="36"/>
      <c r="J90" s="36"/>
      <c r="K90" s="36"/>
      <c r="L90" s="39"/>
    </row>
    <row r="91" spans="1:16">
      <c r="A91" s="10">
        <v>1</v>
      </c>
      <c r="C91" s="41" t="s">
        <v>267</v>
      </c>
      <c r="D91" s="39" t="s">
        <v>251</v>
      </c>
      <c r="E91" s="59">
        <f>'Workpapers (Pages 1 to 5)'!C22</f>
        <v>1461708541.7053845</v>
      </c>
      <c r="F91" s="36"/>
      <c r="G91" s="36" t="s">
        <v>268</v>
      </c>
      <c r="H91" s="83" t="s">
        <v>279</v>
      </c>
      <c r="I91" s="36"/>
      <c r="J91" s="36" t="s">
        <v>279</v>
      </c>
      <c r="K91" s="36"/>
      <c r="L91" s="39"/>
    </row>
    <row r="92" spans="1:16">
      <c r="A92" s="10">
        <v>2</v>
      </c>
      <c r="C92" s="41" t="s">
        <v>13</v>
      </c>
      <c r="D92" s="39" t="s">
        <v>203</v>
      </c>
      <c r="E92" s="59">
        <f>'Workpapers (Pages 1 to 5)'!D22</f>
        <v>432756274.36076921</v>
      </c>
      <c r="F92" s="36"/>
      <c r="G92" s="36" t="s">
        <v>14</v>
      </c>
      <c r="H92" s="83">
        <f>J251</f>
        <v>1</v>
      </c>
      <c r="I92" s="36"/>
      <c r="J92" s="36">
        <f>+H92*E92</f>
        <v>432756274.36076921</v>
      </c>
      <c r="K92" s="36"/>
      <c r="L92" s="39"/>
      <c r="N92" s="42"/>
      <c r="O92" s="42"/>
      <c r="P92" s="42"/>
    </row>
    <row r="93" spans="1:16">
      <c r="A93" s="10">
        <v>3</v>
      </c>
      <c r="C93" s="41" t="s">
        <v>269</v>
      </c>
      <c r="D93" s="39" t="s">
        <v>204</v>
      </c>
      <c r="E93" s="59">
        <f>'Workpapers (Pages 1 to 5)'!E22</f>
        <v>558713112.58846164</v>
      </c>
      <c r="F93" s="36"/>
      <c r="G93" s="36" t="s">
        <v>268</v>
      </c>
      <c r="H93" s="83" t="s">
        <v>279</v>
      </c>
      <c r="I93" s="36"/>
      <c r="J93" s="36" t="s">
        <v>279</v>
      </c>
      <c r="K93" s="36"/>
      <c r="L93" s="39"/>
    </row>
    <row r="94" spans="1:16">
      <c r="A94" s="10">
        <v>4</v>
      </c>
      <c r="C94" s="41" t="s">
        <v>270</v>
      </c>
      <c r="D94" s="39" t="s">
        <v>38</v>
      </c>
      <c r="E94" s="59">
        <f>'Workpapers (Pages 1 to 5)'!F22</f>
        <v>31671379.870000005</v>
      </c>
      <c r="F94" s="36"/>
      <c r="G94" s="36" t="s">
        <v>188</v>
      </c>
      <c r="H94" s="83">
        <f>J269</f>
        <v>7.6865905859196282E-2</v>
      </c>
      <c r="I94" s="36"/>
      <c r="J94" s="36">
        <f>+H94*E94</f>
        <v>2434449.3035182646</v>
      </c>
      <c r="K94" s="36"/>
      <c r="L94" s="39"/>
    </row>
    <row r="95" spans="1:16" ht="16.5" thickBot="1">
      <c r="A95" s="10">
        <v>5</v>
      </c>
      <c r="C95" s="41" t="s">
        <v>191</v>
      </c>
      <c r="D95" s="39" t="s">
        <v>217</v>
      </c>
      <c r="E95" s="84">
        <f>'Workpapers (Pages 1 to 5)'!G22</f>
        <v>52797941.743846148</v>
      </c>
      <c r="F95" s="36"/>
      <c r="G95" s="36" t="s">
        <v>192</v>
      </c>
      <c r="H95" s="83">
        <f>L274</f>
        <v>6.8618561444377529E-2</v>
      </c>
      <c r="I95" s="36"/>
      <c r="J95" s="60">
        <f>+H95*E95</f>
        <v>3622918.8096867721</v>
      </c>
      <c r="K95" s="36"/>
      <c r="L95" s="39"/>
    </row>
    <row r="96" spans="1:16">
      <c r="A96" s="10">
        <v>6</v>
      </c>
      <c r="C96" s="104" t="s">
        <v>271</v>
      </c>
      <c r="D96" s="39"/>
      <c r="E96" s="36">
        <f>SUM(E91:E95)</f>
        <v>2537647250.2684612</v>
      </c>
      <c r="F96" s="36"/>
      <c r="G96" s="36" t="s">
        <v>272</v>
      </c>
      <c r="H96" s="38">
        <f>IF(J96&gt;0,J96/E96,0)</f>
        <v>0.17292145014542565</v>
      </c>
      <c r="I96" s="36"/>
      <c r="J96" s="36">
        <f>SUM(J91:J95)</f>
        <v>438813642.47397423</v>
      </c>
      <c r="K96" s="36"/>
      <c r="L96" s="85"/>
    </row>
    <row r="97" spans="1:12">
      <c r="C97" s="41"/>
      <c r="D97" s="36"/>
      <c r="E97" s="36"/>
      <c r="F97" s="36"/>
      <c r="G97" s="36"/>
      <c r="H97" s="38"/>
      <c r="I97" s="36"/>
      <c r="J97" s="36"/>
      <c r="K97" s="36"/>
      <c r="L97" s="85"/>
    </row>
    <row r="98" spans="1:12">
      <c r="C98" s="41" t="s">
        <v>515</v>
      </c>
      <c r="D98" s="36"/>
      <c r="E98" s="36"/>
      <c r="F98" s="36"/>
      <c r="G98" s="36"/>
      <c r="H98" s="36"/>
      <c r="I98" s="36"/>
      <c r="J98" s="36"/>
      <c r="K98" s="36"/>
      <c r="L98" s="39"/>
    </row>
    <row r="99" spans="1:12">
      <c r="A99" s="10">
        <v>7</v>
      </c>
      <c r="C99" s="35" t="str">
        <f>+C91</f>
        <v xml:space="preserve">  Production</v>
      </c>
      <c r="D99" s="36" t="s">
        <v>243</v>
      </c>
      <c r="E99" s="59">
        <f>'Workpapers (Pages 1 to 5)'!C43</f>
        <v>749216410.53692305</v>
      </c>
      <c r="F99" s="36"/>
      <c r="G99" s="36" t="str">
        <f>+G91</f>
        <v>NA</v>
      </c>
      <c r="H99" s="83" t="str">
        <f>+H91</f>
        <v xml:space="preserve"> </v>
      </c>
      <c r="I99" s="36"/>
      <c r="J99" s="36" t="s">
        <v>279</v>
      </c>
      <c r="K99" s="36"/>
      <c r="L99" s="39"/>
    </row>
    <row r="100" spans="1:12">
      <c r="A100" s="10">
        <v>8</v>
      </c>
      <c r="C100" s="35" t="str">
        <f>+C92</f>
        <v xml:space="preserve">  Transmission</v>
      </c>
      <c r="D100" s="36" t="s">
        <v>293</v>
      </c>
      <c r="E100" s="59">
        <f>'Workpapers (Pages 1 to 5)'!D43</f>
        <v>107875499.11076921</v>
      </c>
      <c r="F100" s="36"/>
      <c r="G100" s="36" t="str">
        <f t="shared" ref="G100:H103" si="1">+G92</f>
        <v>TP</v>
      </c>
      <c r="H100" s="83">
        <f t="shared" si="1"/>
        <v>1</v>
      </c>
      <c r="I100" s="36"/>
      <c r="J100" s="36">
        <f>+H100*E100</f>
        <v>107875499.11076921</v>
      </c>
      <c r="K100" s="36"/>
      <c r="L100" s="39"/>
    </row>
    <row r="101" spans="1:12">
      <c r="A101" s="10">
        <v>9</v>
      </c>
      <c r="C101" s="35" t="str">
        <f>+C93</f>
        <v xml:space="preserve">  Distribution</v>
      </c>
      <c r="D101" s="36" t="s">
        <v>294</v>
      </c>
      <c r="E101" s="59">
        <f>'Workpapers (Pages 1 to 5)'!E43</f>
        <v>226939763.10692307</v>
      </c>
      <c r="F101" s="36"/>
      <c r="G101" s="36" t="str">
        <f t="shared" si="1"/>
        <v>NA</v>
      </c>
      <c r="H101" s="83" t="str">
        <f t="shared" si="1"/>
        <v xml:space="preserve"> </v>
      </c>
      <c r="I101" s="36"/>
      <c r="J101" s="36" t="s">
        <v>279</v>
      </c>
      <c r="K101" s="36"/>
      <c r="L101" s="39"/>
    </row>
    <row r="102" spans="1:12">
      <c r="A102" s="10">
        <v>10</v>
      </c>
      <c r="C102" s="35" t="str">
        <f>+C94</f>
        <v xml:space="preserve">  General &amp; Intangible</v>
      </c>
      <c r="D102" s="36" t="s">
        <v>516</v>
      </c>
      <c r="E102" s="59">
        <f>'Workpapers (Pages 1 to 5)'!F43</f>
        <v>16711156.41</v>
      </c>
      <c r="F102" s="36"/>
      <c r="G102" s="36" t="str">
        <f t="shared" si="1"/>
        <v>W/S</v>
      </c>
      <c r="H102" s="83">
        <f t="shared" si="1"/>
        <v>7.6865905859196282E-2</v>
      </c>
      <c r="I102" s="36"/>
      <c r="J102" s="36">
        <f>+H102*E102</f>
        <v>1284518.1754093645</v>
      </c>
      <c r="K102" s="36"/>
      <c r="L102" s="39"/>
    </row>
    <row r="103" spans="1:12" ht="16.5" thickBot="1">
      <c r="A103" s="10">
        <v>11</v>
      </c>
      <c r="C103" s="35" t="str">
        <f>+C95</f>
        <v xml:space="preserve">  Common</v>
      </c>
      <c r="D103" s="36" t="s">
        <v>217</v>
      </c>
      <c r="E103" s="84">
        <f>'Workpapers (Pages 1 to 5)'!G43</f>
        <v>27163571.091538455</v>
      </c>
      <c r="F103" s="36"/>
      <c r="G103" s="36" t="str">
        <f t="shared" si="1"/>
        <v>CE</v>
      </c>
      <c r="H103" s="83">
        <f t="shared" si="1"/>
        <v>6.8618561444377529E-2</v>
      </c>
      <c r="I103" s="36"/>
      <c r="J103" s="60">
        <f>+H103*E103</f>
        <v>1863925.1719934486</v>
      </c>
      <c r="K103" s="36"/>
      <c r="L103" s="39"/>
    </row>
    <row r="104" spans="1:12">
      <c r="A104" s="10">
        <v>12</v>
      </c>
      <c r="C104" s="35" t="s">
        <v>71</v>
      </c>
      <c r="D104" s="36"/>
      <c r="E104" s="36">
        <f>SUM(E99:E103)</f>
        <v>1127906400.2561538</v>
      </c>
      <c r="F104" s="36"/>
      <c r="G104" s="36"/>
      <c r="H104" s="36"/>
      <c r="I104" s="36"/>
      <c r="J104" s="36">
        <f>SUM(J99:J103)</f>
        <v>111023942.45817202</v>
      </c>
      <c r="K104" s="36"/>
      <c r="L104" s="39"/>
    </row>
    <row r="105" spans="1:12">
      <c r="A105" s="10"/>
      <c r="D105" s="36" t="s">
        <v>279</v>
      </c>
      <c r="F105" s="36"/>
      <c r="G105" s="36"/>
      <c r="H105" s="38"/>
      <c r="I105" s="36"/>
      <c r="K105" s="36"/>
      <c r="L105" s="85"/>
    </row>
    <row r="106" spans="1:12">
      <c r="A106" s="10"/>
      <c r="C106" s="41" t="s">
        <v>365</v>
      </c>
      <c r="D106" s="36"/>
      <c r="E106" s="36"/>
      <c r="F106" s="36"/>
      <c r="G106" s="36"/>
      <c r="H106" s="36"/>
      <c r="I106" s="36"/>
      <c r="J106" s="36"/>
      <c r="K106" s="36"/>
      <c r="L106" s="39"/>
    </row>
    <row r="107" spans="1:12">
      <c r="A107" s="10">
        <v>13</v>
      </c>
      <c r="C107" s="35" t="str">
        <f>+C99</f>
        <v xml:space="preserve">  Production</v>
      </c>
      <c r="D107" s="36" t="s">
        <v>72</v>
      </c>
      <c r="E107" s="36">
        <f>E91-E99</f>
        <v>712492131.16846144</v>
      </c>
      <c r="F107" s="36"/>
      <c r="G107" s="36"/>
      <c r="H107" s="38"/>
      <c r="I107" s="36"/>
      <c r="J107" s="36" t="s">
        <v>279</v>
      </c>
      <c r="K107" s="36"/>
      <c r="L107" s="85"/>
    </row>
    <row r="108" spans="1:12">
      <c r="A108" s="10">
        <v>14</v>
      </c>
      <c r="C108" s="35" t="str">
        <f>+C100</f>
        <v xml:space="preserve">  Transmission</v>
      </c>
      <c r="D108" s="36" t="s">
        <v>73</v>
      </c>
      <c r="E108" s="36">
        <f>E92-E100</f>
        <v>324880775.25</v>
      </c>
      <c r="F108" s="36"/>
      <c r="G108" s="36"/>
      <c r="H108" s="83"/>
      <c r="I108" s="36"/>
      <c r="J108" s="36">
        <f>J92-J100</f>
        <v>324880775.25</v>
      </c>
      <c r="K108" s="36"/>
      <c r="L108" s="85"/>
    </row>
    <row r="109" spans="1:12">
      <c r="A109" s="10">
        <v>15</v>
      </c>
      <c r="C109" s="35" t="str">
        <f>+C101</f>
        <v xml:space="preserve">  Distribution</v>
      </c>
      <c r="D109" s="36" t="s">
        <v>74</v>
      </c>
      <c r="E109" s="36">
        <f>E93-E101</f>
        <v>331773349.48153853</v>
      </c>
      <c r="F109" s="36"/>
      <c r="G109" s="36"/>
      <c r="H109" s="38"/>
      <c r="I109" s="36"/>
      <c r="J109" s="36" t="s">
        <v>279</v>
      </c>
      <c r="K109" s="36"/>
      <c r="L109" s="85"/>
    </row>
    <row r="110" spans="1:12">
      <c r="A110" s="10">
        <v>16</v>
      </c>
      <c r="C110" s="35" t="str">
        <f>+C102</f>
        <v xml:space="preserve">  General &amp; Intangible</v>
      </c>
      <c r="D110" s="36" t="s">
        <v>75</v>
      </c>
      <c r="E110" s="36">
        <f>E94-E102</f>
        <v>14960223.460000005</v>
      </c>
      <c r="F110" s="36"/>
      <c r="G110" s="36"/>
      <c r="H110" s="38"/>
      <c r="I110" s="36"/>
      <c r="J110" s="36">
        <f>J94-J102</f>
        <v>1149931.1281089</v>
      </c>
      <c r="K110" s="36"/>
      <c r="L110" s="85"/>
    </row>
    <row r="111" spans="1:12" ht="16.5" thickBot="1">
      <c r="A111" s="10">
        <v>17</v>
      </c>
      <c r="C111" s="35" t="str">
        <f>+C103</f>
        <v xml:space="preserve">  Common</v>
      </c>
      <c r="D111" s="36" t="s">
        <v>76</v>
      </c>
      <c r="E111" s="60">
        <f>E95-E103</f>
        <v>25634370.652307693</v>
      </c>
      <c r="F111" s="36"/>
      <c r="G111" s="36"/>
      <c r="H111" s="38"/>
      <c r="I111" s="36"/>
      <c r="J111" s="60">
        <f>J95-J103</f>
        <v>1758993.6376933234</v>
      </c>
      <c r="K111" s="36"/>
      <c r="L111" s="85"/>
    </row>
    <row r="112" spans="1:12">
      <c r="A112" s="10">
        <v>18</v>
      </c>
      <c r="C112" s="35" t="s">
        <v>77</v>
      </c>
      <c r="D112" s="36"/>
      <c r="E112" s="36">
        <f>SUM(E107:E111)</f>
        <v>1409740850.0123079</v>
      </c>
      <c r="F112" s="36"/>
      <c r="G112" s="36" t="s">
        <v>78</v>
      </c>
      <c r="H112" s="38">
        <f>IF(J112&gt;0,J112/E112,0)</f>
        <v>0.2325176999821921</v>
      </c>
      <c r="I112" s="36"/>
      <c r="J112" s="36">
        <f>SUM(J107:J111)</f>
        <v>327789700.01580226</v>
      </c>
      <c r="K112" s="36"/>
      <c r="L112" s="39"/>
    </row>
    <row r="113" spans="1:13">
      <c r="A113" s="10"/>
      <c r="D113" s="36"/>
      <c r="F113" s="36"/>
      <c r="I113" s="36"/>
      <c r="K113" s="36"/>
      <c r="L113" s="85"/>
    </row>
    <row r="114" spans="1:13" s="42" customFormat="1">
      <c r="A114" s="11" t="s">
        <v>29</v>
      </c>
      <c r="B114" s="177"/>
      <c r="C114" s="178" t="s">
        <v>329</v>
      </c>
      <c r="D114" s="39" t="s">
        <v>1</v>
      </c>
      <c r="E114" s="161">
        <f>'Workpapers (Pages 1 to 5)'!C66</f>
        <v>0</v>
      </c>
      <c r="F114" s="39"/>
      <c r="G114" s="39"/>
      <c r="H114" s="94">
        <f>+H127</f>
        <v>1</v>
      </c>
      <c r="I114" s="39"/>
      <c r="J114" s="39">
        <f>+H114*E114</f>
        <v>0</v>
      </c>
      <c r="K114" s="39"/>
      <c r="L114" s="179"/>
      <c r="M114" s="177"/>
    </row>
    <row r="115" spans="1:13" s="42" customFormat="1">
      <c r="A115" s="176"/>
      <c r="B115" s="177"/>
      <c r="C115" s="178" t="s">
        <v>330</v>
      </c>
      <c r="D115" s="39"/>
      <c r="E115" s="161"/>
      <c r="F115" s="39"/>
      <c r="G115" s="39"/>
      <c r="H115" s="94"/>
      <c r="I115" s="39"/>
      <c r="J115" s="39"/>
      <c r="K115" s="39"/>
      <c r="L115" s="179"/>
      <c r="M115" s="177"/>
    </row>
    <row r="116" spans="1:13" s="42" customFormat="1">
      <c r="A116" s="176"/>
      <c r="B116" s="177"/>
      <c r="C116" s="42" t="s">
        <v>349</v>
      </c>
      <c r="D116" s="39"/>
      <c r="E116" s="161"/>
      <c r="F116" s="39"/>
      <c r="G116" s="39"/>
      <c r="H116" s="94"/>
      <c r="I116" s="39"/>
      <c r="J116" s="39"/>
      <c r="K116" s="39"/>
      <c r="L116" s="179"/>
      <c r="M116" s="177"/>
    </row>
    <row r="117" spans="1:13">
      <c r="A117" s="11"/>
      <c r="B117" s="42"/>
      <c r="C117" s="42"/>
      <c r="D117" s="39"/>
      <c r="E117" s="42"/>
      <c r="F117" s="39"/>
      <c r="G117" s="42"/>
      <c r="H117" s="42"/>
      <c r="I117" s="39"/>
      <c r="J117" s="42"/>
      <c r="K117" s="39"/>
      <c r="L117" s="85"/>
      <c r="M117" s="42"/>
    </row>
    <row r="118" spans="1:13">
      <c r="A118" s="11"/>
      <c r="B118" s="42"/>
      <c r="C118" s="104" t="s">
        <v>364</v>
      </c>
      <c r="D118" s="39"/>
      <c r="E118" s="39"/>
      <c r="F118" s="39"/>
      <c r="G118" s="39"/>
      <c r="H118" s="39"/>
      <c r="I118" s="39"/>
      <c r="J118" s="39"/>
      <c r="K118" s="39"/>
      <c r="L118" s="39"/>
      <c r="M118" s="42"/>
    </row>
    <row r="119" spans="1:13">
      <c r="A119" s="11">
        <v>19</v>
      </c>
      <c r="B119" s="42"/>
      <c r="C119" s="41" t="s">
        <v>218</v>
      </c>
      <c r="D119" s="39" t="s">
        <v>279</v>
      </c>
      <c r="E119" s="186">
        <v>0</v>
      </c>
      <c r="F119" s="39"/>
      <c r="G119" s="39" t="str">
        <f>+G99</f>
        <v>NA</v>
      </c>
      <c r="H119" s="86" t="s">
        <v>301</v>
      </c>
      <c r="I119" s="39"/>
      <c r="J119" s="161">
        <v>0</v>
      </c>
      <c r="K119" s="39"/>
      <c r="L119" s="85"/>
      <c r="M119" s="42"/>
    </row>
    <row r="120" spans="1:13">
      <c r="A120" s="11">
        <v>20</v>
      </c>
      <c r="B120" s="42"/>
      <c r="C120" s="41" t="s">
        <v>79</v>
      </c>
      <c r="D120" s="39" t="s">
        <v>219</v>
      </c>
      <c r="E120" s="186">
        <f>'Workpapers (Pages 1 to 5)'!D90</f>
        <v>-293296625.44846141</v>
      </c>
      <c r="F120" s="39"/>
      <c r="G120" s="39" t="s">
        <v>80</v>
      </c>
      <c r="H120" s="94">
        <f>+H112</f>
        <v>0.2325176999821921</v>
      </c>
      <c r="I120" s="39"/>
      <c r="J120" s="161">
        <f>E120*H120</f>
        <v>-68196656.761814713</v>
      </c>
      <c r="K120" s="39"/>
      <c r="L120" s="85"/>
      <c r="M120" s="42"/>
    </row>
    <row r="121" spans="1:13">
      <c r="A121" s="11">
        <v>21</v>
      </c>
      <c r="B121" s="42"/>
      <c r="C121" s="41" t="s">
        <v>81</v>
      </c>
      <c r="D121" s="39" t="s">
        <v>220</v>
      </c>
      <c r="E121" s="187">
        <f>'Workpapers (Pages 1 to 5)'!E90</f>
        <v>-22433313.563076928</v>
      </c>
      <c r="F121" s="39"/>
      <c r="G121" s="39" t="s">
        <v>80</v>
      </c>
      <c r="H121" s="94">
        <f>+H120</f>
        <v>0.2325176999821921</v>
      </c>
      <c r="I121" s="39"/>
      <c r="J121" s="161">
        <f>E121*H121</f>
        <v>-5216142.4726659618</v>
      </c>
      <c r="K121" s="39"/>
      <c r="L121" s="85"/>
      <c r="M121" s="42"/>
    </row>
    <row r="122" spans="1:13">
      <c r="A122" s="11">
        <v>22</v>
      </c>
      <c r="B122" s="42"/>
      <c r="C122" s="41" t="s">
        <v>221</v>
      </c>
      <c r="D122" s="39" t="s">
        <v>222</v>
      </c>
      <c r="E122" s="187">
        <f>'Workpapers (Pages 1 to 5)'!F90</f>
        <v>27509926.850000001</v>
      </c>
      <c r="F122" s="39"/>
      <c r="G122" s="39" t="str">
        <f>+G121</f>
        <v>NP</v>
      </c>
      <c r="H122" s="94">
        <f>+H121</f>
        <v>0.2325176999821921</v>
      </c>
      <c r="I122" s="39"/>
      <c r="J122" s="161">
        <f>E122*H122</f>
        <v>6396544.9178403514</v>
      </c>
      <c r="K122" s="39"/>
      <c r="L122" s="85"/>
      <c r="M122" s="42"/>
    </row>
    <row r="123" spans="1:13">
      <c r="A123" s="11">
        <v>23</v>
      </c>
      <c r="B123" s="42"/>
      <c r="C123" s="42" t="s">
        <v>82</v>
      </c>
      <c r="D123" s="42" t="s">
        <v>119</v>
      </c>
      <c r="E123" s="187">
        <v>0</v>
      </c>
      <c r="F123" s="39"/>
      <c r="G123" s="39" t="s">
        <v>80</v>
      </c>
      <c r="H123" s="94">
        <f>+H121</f>
        <v>0.2325176999821921</v>
      </c>
      <c r="I123" s="39"/>
      <c r="J123" s="180">
        <f>E123*H123</f>
        <v>0</v>
      </c>
      <c r="K123" s="39"/>
      <c r="L123" s="85"/>
      <c r="M123" s="42"/>
    </row>
    <row r="124" spans="1:13" s="42" customFormat="1" ht="16.5" thickBot="1">
      <c r="A124" s="11" t="s">
        <v>120</v>
      </c>
      <c r="C124" s="42" t="s">
        <v>331</v>
      </c>
      <c r="E124" s="188">
        <v>0</v>
      </c>
      <c r="F124" s="39"/>
      <c r="G124" s="39"/>
      <c r="H124" s="94">
        <v>0</v>
      </c>
      <c r="I124" s="39"/>
      <c r="J124" s="181">
        <f>+H124*E124</f>
        <v>0</v>
      </c>
      <c r="K124" s="39"/>
      <c r="L124" s="179"/>
      <c r="M124" s="177"/>
    </row>
    <row r="125" spans="1:13">
      <c r="A125" s="11">
        <v>24</v>
      </c>
      <c r="B125" s="42"/>
      <c r="C125" s="41" t="s">
        <v>26</v>
      </c>
      <c r="D125" s="39"/>
      <c r="E125" s="161">
        <f>SUM(E119:E124)</f>
        <v>-288220012.1615383</v>
      </c>
      <c r="F125" s="39"/>
      <c r="G125" s="39"/>
      <c r="H125" s="39"/>
      <c r="I125" s="39"/>
      <c r="J125" s="161">
        <f>SUM(J119:J124)</f>
        <v>-67016254.316640325</v>
      </c>
      <c r="K125" s="39"/>
      <c r="L125" s="39"/>
    </row>
    <row r="126" spans="1:13">
      <c r="A126" s="11"/>
      <c r="B126" s="42"/>
      <c r="C126" s="42"/>
      <c r="D126" s="39"/>
      <c r="E126" s="42"/>
      <c r="F126" s="39"/>
      <c r="G126" s="39"/>
      <c r="H126" s="85"/>
      <c r="I126" s="39"/>
      <c r="J126" s="42"/>
      <c r="K126" s="39"/>
      <c r="L126" s="85"/>
    </row>
    <row r="127" spans="1:13">
      <c r="A127" s="11">
        <v>25</v>
      </c>
      <c r="B127" s="42"/>
      <c r="C127" s="104" t="s">
        <v>366</v>
      </c>
      <c r="D127" s="39" t="s">
        <v>198</v>
      </c>
      <c r="E127" s="59">
        <f>'Workpapers (Pages 1 to 5)'!C115</f>
        <v>78737</v>
      </c>
      <c r="F127" s="39"/>
      <c r="G127" s="39" t="str">
        <f>+G100</f>
        <v>TP</v>
      </c>
      <c r="H127" s="94">
        <f>+H100</f>
        <v>1</v>
      </c>
      <c r="I127" s="39"/>
      <c r="J127" s="39">
        <f>+H127*E127</f>
        <v>78737</v>
      </c>
      <c r="K127" s="39"/>
      <c r="L127" s="39"/>
    </row>
    <row r="128" spans="1:13">
      <c r="A128" s="11"/>
      <c r="B128" s="42"/>
      <c r="C128" s="41"/>
      <c r="D128" s="39"/>
      <c r="E128" s="39"/>
      <c r="F128" s="39"/>
      <c r="G128" s="39"/>
      <c r="H128" s="39"/>
      <c r="I128" s="39"/>
      <c r="J128" s="39"/>
      <c r="K128" s="39"/>
      <c r="L128" s="39"/>
    </row>
    <row r="129" spans="1:12">
      <c r="A129" s="11"/>
      <c r="B129" s="42"/>
      <c r="C129" s="41" t="s">
        <v>199</v>
      </c>
      <c r="D129" s="39" t="s">
        <v>279</v>
      </c>
      <c r="E129" s="39"/>
      <c r="F129" s="39"/>
      <c r="G129" s="39"/>
      <c r="H129" s="39"/>
      <c r="I129" s="39"/>
      <c r="J129" s="39"/>
      <c r="K129" s="39"/>
      <c r="L129" s="39"/>
    </row>
    <row r="130" spans="1:12">
      <c r="A130" s="11">
        <v>26</v>
      </c>
      <c r="B130" s="42"/>
      <c r="C130" s="41" t="s">
        <v>200</v>
      </c>
      <c r="D130" s="42" t="s">
        <v>201</v>
      </c>
      <c r="E130" s="39">
        <f>+E178/8</f>
        <v>5405427.1249999991</v>
      </c>
      <c r="F130" s="39"/>
      <c r="G130" s="39"/>
      <c r="H130" s="85"/>
      <c r="I130" s="39"/>
      <c r="J130" s="39">
        <f>+J178/8</f>
        <v>624189.07345375209</v>
      </c>
      <c r="K130" s="49"/>
      <c r="L130" s="85"/>
    </row>
    <row r="131" spans="1:12">
      <c r="A131" s="11">
        <v>27</v>
      </c>
      <c r="B131" s="42"/>
      <c r="C131" s="41" t="s">
        <v>367</v>
      </c>
      <c r="D131" s="39" t="s">
        <v>252</v>
      </c>
      <c r="E131" s="59">
        <f>+'Workpapers (Pages 1 to 5)'!E142</f>
        <v>3387225.5</v>
      </c>
      <c r="F131" s="39"/>
      <c r="G131" s="39" t="s">
        <v>185</v>
      </c>
      <c r="H131" s="94">
        <f>J261</f>
        <v>0.83634492981691466</v>
      </c>
      <c r="I131" s="39"/>
      <c r="J131" s="39">
        <f>+H131*E131</f>
        <v>2832888.8730715639</v>
      </c>
      <c r="K131" s="39" t="s">
        <v>279</v>
      </c>
      <c r="L131" s="85"/>
    </row>
    <row r="132" spans="1:12" ht="16.5" thickBot="1">
      <c r="A132" s="11">
        <v>28</v>
      </c>
      <c r="B132" s="42"/>
      <c r="C132" s="41" t="s">
        <v>368</v>
      </c>
      <c r="D132" s="39" t="s">
        <v>249</v>
      </c>
      <c r="E132" s="84">
        <f>+'Workpapers (Pages 1 to 5)'!C174</f>
        <v>5949542</v>
      </c>
      <c r="F132" s="39"/>
      <c r="G132" s="39" t="s">
        <v>194</v>
      </c>
      <c r="H132" s="94">
        <f>+H96</f>
        <v>0.17292145014542565</v>
      </c>
      <c r="I132" s="39"/>
      <c r="J132" s="107">
        <f>+H132*E132</f>
        <v>1028803.430341116</v>
      </c>
      <c r="K132" s="39"/>
      <c r="L132" s="85"/>
    </row>
    <row r="133" spans="1:12">
      <c r="A133" s="11">
        <v>29</v>
      </c>
      <c r="B133" s="42"/>
      <c r="C133" s="41" t="s">
        <v>83</v>
      </c>
      <c r="D133" s="49"/>
      <c r="E133" s="39">
        <f>E130+E131+E132</f>
        <v>14742194.625</v>
      </c>
      <c r="F133" s="49"/>
      <c r="G133" s="49"/>
      <c r="H133" s="49"/>
      <c r="I133" s="49"/>
      <c r="J133" s="39">
        <f>J130+J131+J132</f>
        <v>4485881.3768664319</v>
      </c>
      <c r="K133" s="49"/>
      <c r="L133" s="49"/>
    </row>
    <row r="134" spans="1:12" ht="16.5" thickBot="1">
      <c r="A134" s="42"/>
      <c r="B134" s="42"/>
      <c r="C134" s="42"/>
      <c r="D134" s="39"/>
      <c r="E134" s="182"/>
      <c r="F134" s="39"/>
      <c r="G134" s="39"/>
      <c r="H134" s="39"/>
      <c r="I134" s="39"/>
      <c r="J134" s="182"/>
      <c r="K134" s="39"/>
      <c r="L134" s="39"/>
    </row>
    <row r="135" spans="1:12" ht="16.5" thickBot="1">
      <c r="A135" s="11">
        <v>30</v>
      </c>
      <c r="B135" s="42"/>
      <c r="C135" s="41" t="s">
        <v>323</v>
      </c>
      <c r="D135" s="39"/>
      <c r="E135" s="162">
        <f>+E133+E127+E125+E114+E112</f>
        <v>1136341769.4757695</v>
      </c>
      <c r="F135" s="39"/>
      <c r="G135" s="39"/>
      <c r="H135" s="85"/>
      <c r="I135" s="39"/>
      <c r="J135" s="162">
        <f>+J133+J127+J125+J114+J112</f>
        <v>265338064.07602838</v>
      </c>
      <c r="K135" s="36"/>
      <c r="L135" s="85"/>
    </row>
    <row r="136" spans="1:12" ht="16.5" thickTop="1">
      <c r="A136" s="10"/>
      <c r="C136" s="35"/>
      <c r="D136" s="36"/>
      <c r="E136" s="37"/>
      <c r="F136" s="36"/>
      <c r="G136" s="36"/>
      <c r="H136" s="38"/>
      <c r="I136" s="36"/>
      <c r="J136" s="37"/>
      <c r="K136" s="36"/>
      <c r="L136" s="85"/>
    </row>
    <row r="137" spans="1:12">
      <c r="A137" s="10"/>
      <c r="C137" s="35"/>
      <c r="D137" s="36"/>
      <c r="E137" s="37"/>
      <c r="F137" s="36"/>
      <c r="G137" s="36"/>
      <c r="H137" s="38"/>
      <c r="I137" s="36"/>
      <c r="J137" s="37"/>
      <c r="K137" s="36"/>
      <c r="L137" s="85"/>
    </row>
    <row r="138" spans="1:12">
      <c r="A138" s="10"/>
      <c r="C138" s="35"/>
      <c r="D138" s="36"/>
      <c r="E138" s="37"/>
      <c r="F138" s="36"/>
      <c r="G138" s="36"/>
      <c r="H138" s="38"/>
      <c r="I138" s="36"/>
      <c r="J138" s="37"/>
      <c r="K138" s="36"/>
      <c r="L138" s="85"/>
    </row>
    <row r="139" spans="1:12">
      <c r="A139" s="10"/>
      <c r="C139" s="35"/>
      <c r="D139" s="36"/>
      <c r="E139" s="37"/>
      <c r="F139" s="36"/>
      <c r="G139" s="36"/>
      <c r="H139" s="38"/>
      <c r="I139" s="36"/>
      <c r="J139" s="37"/>
      <c r="K139" s="36"/>
      <c r="L139" s="85"/>
    </row>
    <row r="140" spans="1:12">
      <c r="A140" s="10"/>
      <c r="C140" s="35"/>
      <c r="D140" s="36"/>
      <c r="E140" s="37"/>
      <c r="F140" s="36"/>
      <c r="G140" s="36"/>
      <c r="H140" s="38"/>
      <c r="I140" s="36"/>
      <c r="J140" s="37"/>
      <c r="K140" s="36"/>
      <c r="L140" s="85"/>
    </row>
    <row r="141" spans="1:12">
      <c r="A141" s="10"/>
      <c r="C141" s="35"/>
      <c r="D141" s="36"/>
      <c r="E141" s="37"/>
      <c r="F141" s="36"/>
      <c r="G141" s="36"/>
      <c r="H141" s="38"/>
      <c r="I141" s="36"/>
      <c r="J141" s="37"/>
      <c r="K141" s="36"/>
      <c r="L141" s="85"/>
    </row>
    <row r="142" spans="1:12">
      <c r="A142" s="10"/>
      <c r="C142" s="35"/>
      <c r="D142" s="36"/>
      <c r="E142" s="37"/>
      <c r="F142" s="36"/>
      <c r="G142" s="36"/>
      <c r="H142" s="38"/>
      <c r="I142" s="36"/>
      <c r="J142" s="37"/>
      <c r="K142" s="36"/>
      <c r="L142" s="85"/>
    </row>
    <row r="143" spans="1:12">
      <c r="A143" s="10"/>
      <c r="C143" s="35"/>
      <c r="D143" s="36"/>
      <c r="E143" s="37"/>
      <c r="F143" s="36"/>
      <c r="G143" s="36"/>
      <c r="H143" s="38"/>
      <c r="I143" s="36"/>
      <c r="J143" s="37"/>
      <c r="K143" s="36"/>
      <c r="L143" s="85"/>
    </row>
    <row r="144" spans="1:12">
      <c r="A144" s="10"/>
      <c r="C144" s="35"/>
      <c r="D144" s="36"/>
      <c r="E144" s="37"/>
      <c r="F144" s="36"/>
      <c r="G144" s="36"/>
      <c r="H144" s="38"/>
      <c r="I144" s="36"/>
      <c r="J144" s="37"/>
      <c r="K144" s="36"/>
      <c r="L144" s="85"/>
    </row>
    <row r="145" spans="1:12">
      <c r="A145" s="10"/>
      <c r="C145" s="35"/>
      <c r="D145" s="36"/>
      <c r="E145" s="37"/>
      <c r="F145" s="36"/>
      <c r="G145" s="36"/>
      <c r="H145" s="38"/>
      <c r="I145" s="36"/>
      <c r="J145" s="37"/>
      <c r="K145" s="36"/>
      <c r="L145" s="85"/>
    </row>
    <row r="146" spans="1:12">
      <c r="A146" s="10"/>
      <c r="C146" s="35"/>
      <c r="D146" s="36"/>
      <c r="E146" s="37"/>
      <c r="F146" s="36"/>
      <c r="G146" s="36"/>
      <c r="H146" s="38"/>
      <c r="I146" s="36"/>
      <c r="J146" s="37"/>
      <c r="K146" s="36"/>
      <c r="L146" s="85"/>
    </row>
    <row r="147" spans="1:12">
      <c r="A147" s="10"/>
      <c r="C147" s="35"/>
      <c r="D147" s="36"/>
      <c r="E147" s="37"/>
      <c r="F147" s="36"/>
      <c r="G147" s="36"/>
      <c r="H147" s="38"/>
      <c r="I147" s="36"/>
      <c r="J147" s="37"/>
      <c r="K147" s="36"/>
      <c r="L147" s="85"/>
    </row>
    <row r="148" spans="1:12">
      <c r="A148" s="10"/>
      <c r="C148" s="35"/>
      <c r="D148" s="36"/>
      <c r="E148" s="37"/>
      <c r="F148" s="36"/>
      <c r="G148" s="36"/>
      <c r="H148" s="38"/>
      <c r="I148" s="36"/>
      <c r="J148" s="37"/>
      <c r="K148" s="36"/>
      <c r="L148" s="85"/>
    </row>
    <row r="149" spans="1:12">
      <c r="A149" s="10"/>
      <c r="C149" s="35"/>
      <c r="D149" s="36"/>
      <c r="E149" s="37"/>
      <c r="F149" s="36"/>
      <c r="G149" s="36"/>
      <c r="H149" s="38"/>
      <c r="I149" s="36"/>
      <c r="J149" s="37"/>
      <c r="K149" s="36"/>
      <c r="L149" s="85"/>
    </row>
    <row r="150" spans="1:12">
      <c r="A150" s="10"/>
      <c r="C150" s="35"/>
      <c r="D150" s="36"/>
      <c r="E150" s="37"/>
      <c r="F150" s="36"/>
      <c r="G150" s="36"/>
      <c r="H150" s="38"/>
      <c r="I150" s="36"/>
      <c r="J150" s="37"/>
      <c r="K150" s="36"/>
      <c r="L150" s="85"/>
    </row>
    <row r="151" spans="1:12">
      <c r="A151" s="10"/>
      <c r="C151" s="35"/>
      <c r="D151" s="36"/>
      <c r="E151" s="37"/>
      <c r="F151" s="36"/>
      <c r="G151" s="36"/>
      <c r="H151" s="38"/>
      <c r="I151" s="36"/>
      <c r="J151" s="37"/>
      <c r="K151" s="36"/>
      <c r="L151" s="85"/>
    </row>
    <row r="152" spans="1:12">
      <c r="A152" s="10"/>
      <c r="C152" s="35"/>
      <c r="D152" s="36"/>
      <c r="E152" s="37"/>
      <c r="F152" s="36"/>
      <c r="G152" s="36"/>
      <c r="H152" s="38"/>
      <c r="I152" s="36"/>
      <c r="J152" s="37"/>
      <c r="K152" s="36"/>
      <c r="L152" s="85"/>
    </row>
    <row r="153" spans="1:12">
      <c r="A153" s="10"/>
      <c r="C153" s="35"/>
      <c r="D153" s="36"/>
      <c r="E153" s="37"/>
      <c r="F153" s="36"/>
      <c r="G153" s="36"/>
      <c r="H153" s="38"/>
      <c r="I153" s="36"/>
      <c r="J153" s="37"/>
      <c r="K153" s="36"/>
      <c r="L153" s="85"/>
    </row>
    <row r="154" spans="1:12">
      <c r="A154" s="10"/>
      <c r="C154" s="35"/>
      <c r="D154" s="36"/>
      <c r="E154" s="37"/>
      <c r="F154" s="36"/>
      <c r="G154" s="36"/>
      <c r="H154" s="38"/>
      <c r="I154" s="36"/>
      <c r="J154" s="37"/>
      <c r="K154" s="36"/>
      <c r="L154" s="85"/>
    </row>
    <row r="156" spans="1:12">
      <c r="A156" s="10"/>
      <c r="C156" s="35"/>
      <c r="D156" s="36"/>
      <c r="E156" s="37"/>
      <c r="F156" s="36"/>
      <c r="G156" s="36"/>
      <c r="H156" s="38"/>
      <c r="I156" s="36"/>
      <c r="J156" s="37"/>
      <c r="K156" s="36"/>
      <c r="L156" s="85"/>
    </row>
    <row r="157" spans="1:12">
      <c r="C157" s="34"/>
      <c r="D157" s="34"/>
      <c r="E157" s="45"/>
      <c r="F157" s="34"/>
      <c r="G157" s="34"/>
      <c r="H157" s="34"/>
      <c r="I157" s="46"/>
      <c r="J157" s="46"/>
      <c r="K157" s="47"/>
      <c r="L157" s="48" t="s">
        <v>202</v>
      </c>
    </row>
    <row r="158" spans="1:12">
      <c r="C158" s="34"/>
      <c r="D158" s="34"/>
      <c r="E158" s="45"/>
      <c r="F158" s="34"/>
      <c r="G158" s="34"/>
      <c r="H158" s="34"/>
      <c r="I158" s="46"/>
      <c r="J158" s="46"/>
      <c r="K158" s="47"/>
      <c r="L158" s="48"/>
    </row>
    <row r="159" spans="1:12">
      <c r="C159" s="34" t="s">
        <v>209</v>
      </c>
      <c r="D159" s="34"/>
      <c r="E159" s="45" t="s">
        <v>278</v>
      </c>
      <c r="F159" s="34"/>
      <c r="G159" s="34"/>
      <c r="H159" s="34"/>
      <c r="I159" s="46"/>
      <c r="J159" s="50" t="str">
        <f>J3</f>
        <v>For the 12 months ended 12/31/13</v>
      </c>
      <c r="K159" s="51"/>
      <c r="L159" s="51"/>
    </row>
    <row r="160" spans="1:12">
      <c r="C160" s="34"/>
      <c r="D160" s="36" t="s">
        <v>279</v>
      </c>
      <c r="E160" s="36" t="s">
        <v>234</v>
      </c>
      <c r="F160" s="36"/>
      <c r="G160" s="36"/>
      <c r="H160" s="36"/>
      <c r="I160" s="46"/>
      <c r="J160" s="46"/>
      <c r="K160" s="47"/>
      <c r="L160" s="49"/>
    </row>
    <row r="161" spans="1:12">
      <c r="C161" s="34"/>
      <c r="D161" s="36"/>
      <c r="E161" s="36"/>
      <c r="F161" s="36"/>
      <c r="G161" s="36"/>
      <c r="H161" s="36"/>
      <c r="I161" s="46"/>
      <c r="J161" s="46"/>
      <c r="K161" s="47"/>
      <c r="L161" s="49"/>
    </row>
    <row r="162" spans="1:12">
      <c r="A162" s="10"/>
      <c r="E162" s="158" t="str">
        <f>E6</f>
        <v>VECTREN</v>
      </c>
      <c r="K162" s="36"/>
      <c r="L162" s="39"/>
    </row>
    <row r="163" spans="1:12">
      <c r="A163" s="10"/>
      <c r="C163" s="74" t="s">
        <v>160</v>
      </c>
      <c r="D163" s="74" t="s">
        <v>161</v>
      </c>
      <c r="E163" s="74" t="s">
        <v>5</v>
      </c>
      <c r="F163" s="36" t="s">
        <v>279</v>
      </c>
      <c r="G163" s="36"/>
      <c r="H163" s="75" t="s">
        <v>6</v>
      </c>
      <c r="I163" s="36"/>
      <c r="J163" s="76" t="s">
        <v>7</v>
      </c>
      <c r="K163" s="36"/>
      <c r="L163" s="39"/>
    </row>
    <row r="164" spans="1:12">
      <c r="A164" s="10"/>
      <c r="C164" s="74"/>
      <c r="D164" s="46"/>
      <c r="E164" s="46"/>
      <c r="F164" s="46"/>
      <c r="G164" s="46"/>
      <c r="H164" s="46"/>
      <c r="I164" s="46"/>
      <c r="J164" s="46"/>
      <c r="K164" s="46"/>
      <c r="L164" s="88"/>
    </row>
    <row r="165" spans="1:12">
      <c r="A165" s="10" t="s">
        <v>280</v>
      </c>
      <c r="C165" s="35"/>
      <c r="D165" s="78" t="s">
        <v>216</v>
      </c>
      <c r="E165" s="36"/>
      <c r="F165" s="36"/>
      <c r="G165" s="36"/>
      <c r="H165" s="10"/>
      <c r="I165" s="36"/>
      <c r="J165" s="79" t="s">
        <v>8</v>
      </c>
      <c r="K165" s="36"/>
      <c r="L165" s="88"/>
    </row>
    <row r="166" spans="1:12" ht="16.5" thickBot="1">
      <c r="A166" s="53" t="s">
        <v>281</v>
      </c>
      <c r="C166" s="35"/>
      <c r="D166" s="80" t="s">
        <v>9</v>
      </c>
      <c r="E166" s="79" t="s">
        <v>10</v>
      </c>
      <c r="F166" s="81"/>
      <c r="G166" s="79" t="s">
        <v>11</v>
      </c>
      <c r="I166" s="81"/>
      <c r="J166" s="10" t="s">
        <v>12</v>
      </c>
      <c r="K166" s="36"/>
      <c r="L166" s="88"/>
    </row>
    <row r="167" spans="1:12">
      <c r="C167" s="35"/>
      <c r="D167" s="36"/>
      <c r="E167" s="89"/>
      <c r="F167" s="90"/>
      <c r="G167" s="91"/>
      <c r="I167" s="90"/>
      <c r="J167" s="89"/>
      <c r="K167" s="36"/>
      <c r="L167" s="39"/>
    </row>
    <row r="168" spans="1:12">
      <c r="A168" s="10"/>
      <c r="C168" s="35" t="s">
        <v>513</v>
      </c>
      <c r="D168" s="36"/>
      <c r="E168" s="36"/>
      <c r="F168" s="36"/>
      <c r="G168" s="36"/>
      <c r="H168" s="36"/>
      <c r="I168" s="36"/>
      <c r="J168" s="36"/>
      <c r="K168" s="36"/>
      <c r="L168" s="39"/>
    </row>
    <row r="169" spans="1:12">
      <c r="A169" s="10">
        <v>1</v>
      </c>
      <c r="C169" s="35" t="s">
        <v>184</v>
      </c>
      <c r="D169" s="36" t="s">
        <v>39</v>
      </c>
      <c r="E169" s="59">
        <f>'Workpapers (Pages 6 and 7)'!E28*1000</f>
        <v>13676301</v>
      </c>
      <c r="F169" s="36"/>
      <c r="G169" s="36" t="s">
        <v>185</v>
      </c>
      <c r="H169" s="83">
        <f>J261</f>
        <v>0.83634492981691466</v>
      </c>
      <c r="I169" s="36"/>
      <c r="J169" s="36">
        <f>+H169*E169</f>
        <v>11438105</v>
      </c>
      <c r="K169" s="47"/>
      <c r="L169" s="39"/>
    </row>
    <row r="170" spans="1:12">
      <c r="A170" s="11" t="s">
        <v>318</v>
      </c>
      <c r="B170" s="42"/>
      <c r="C170" s="41" t="s">
        <v>140</v>
      </c>
      <c r="D170" s="39"/>
      <c r="E170" s="59">
        <f>'Workpapers (Pages 6 and 7)'!E11*1000</f>
        <v>9443152</v>
      </c>
      <c r="F170" s="36"/>
      <c r="G170" s="92"/>
      <c r="H170" s="83">
        <v>1</v>
      </c>
      <c r="I170" s="36"/>
      <c r="J170" s="36">
        <f>+H170*E170</f>
        <v>9443152</v>
      </c>
      <c r="K170" s="47"/>
      <c r="L170" s="39"/>
    </row>
    <row r="171" spans="1:12">
      <c r="A171" s="10">
        <v>2</v>
      </c>
      <c r="C171" s="35" t="s">
        <v>186</v>
      </c>
      <c r="D171" s="36" t="s">
        <v>40</v>
      </c>
      <c r="E171" s="59">
        <v>0</v>
      </c>
      <c r="F171" s="36"/>
      <c r="G171" s="36" t="s">
        <v>185</v>
      </c>
      <c r="H171" s="83">
        <f>+H169</f>
        <v>0.83634492981691466</v>
      </c>
      <c r="I171" s="36"/>
      <c r="J171" s="36">
        <f t="shared" ref="J171:J177" si="2">+H171*E171</f>
        <v>0</v>
      </c>
      <c r="K171" s="47"/>
      <c r="L171" s="39"/>
    </row>
    <row r="172" spans="1:12">
      <c r="A172" s="10">
        <v>3</v>
      </c>
      <c r="C172" s="35" t="s">
        <v>187</v>
      </c>
      <c r="D172" s="36" t="s">
        <v>41</v>
      </c>
      <c r="E172" s="59">
        <f>'Workpapers (Pages 6 and 7)'!E54*1000</f>
        <v>39735460.999999993</v>
      </c>
      <c r="F172" s="36"/>
      <c r="G172" s="36" t="s">
        <v>188</v>
      </c>
      <c r="H172" s="83">
        <f>+H102</f>
        <v>7.6865905859196282E-2</v>
      </c>
      <c r="I172" s="36"/>
      <c r="J172" s="36">
        <f t="shared" si="2"/>
        <v>3054302.2044977648</v>
      </c>
      <c r="K172" s="36"/>
      <c r="L172" s="39" t="s">
        <v>279</v>
      </c>
    </row>
    <row r="173" spans="1:12">
      <c r="A173" s="10">
        <v>4</v>
      </c>
      <c r="C173" s="35" t="s">
        <v>189</v>
      </c>
      <c r="D173" s="36"/>
      <c r="E173" s="59">
        <v>0</v>
      </c>
      <c r="F173" s="36"/>
      <c r="G173" s="36" t="str">
        <f>+G172</f>
        <v>W/S</v>
      </c>
      <c r="H173" s="83">
        <f>+H172</f>
        <v>7.6865905859196282E-2</v>
      </c>
      <c r="I173" s="36"/>
      <c r="J173" s="36">
        <f t="shared" si="2"/>
        <v>0</v>
      </c>
      <c r="K173" s="36"/>
      <c r="L173" s="39"/>
    </row>
    <row r="174" spans="1:12">
      <c r="A174" s="10">
        <v>5</v>
      </c>
      <c r="C174" s="41" t="s">
        <v>58</v>
      </c>
      <c r="D174" s="39"/>
      <c r="E174" s="59">
        <f>'Workpapers (Pages 6 and 7)'!E31*1000</f>
        <v>725193</v>
      </c>
      <c r="F174" s="36"/>
      <c r="G174" s="36" t="str">
        <f>+G173</f>
        <v>W/S</v>
      </c>
      <c r="H174" s="83">
        <f>+H173</f>
        <v>7.6865905859196282E-2</v>
      </c>
      <c r="I174" s="36"/>
      <c r="J174" s="36">
        <f t="shared" si="2"/>
        <v>55742.616867748133</v>
      </c>
      <c r="K174" s="36"/>
      <c r="L174" s="39"/>
    </row>
    <row r="175" spans="1:12">
      <c r="A175" s="10" t="s">
        <v>190</v>
      </c>
      <c r="C175" s="41" t="s">
        <v>59</v>
      </c>
      <c r="D175" s="39"/>
      <c r="E175" s="59">
        <v>0</v>
      </c>
      <c r="F175" s="36"/>
      <c r="G175" s="93" t="str">
        <f>+G169</f>
        <v>TE</v>
      </c>
      <c r="H175" s="94">
        <f>+H169</f>
        <v>0.83634492981691466</v>
      </c>
      <c r="I175" s="36"/>
      <c r="J175" s="36">
        <f>+H175*E175</f>
        <v>0</v>
      </c>
      <c r="K175" s="36"/>
      <c r="L175" s="39"/>
    </row>
    <row r="176" spans="1:12">
      <c r="A176" s="10">
        <v>6</v>
      </c>
      <c r="C176" s="41" t="s">
        <v>191</v>
      </c>
      <c r="D176" s="39" t="str">
        <f>+D103</f>
        <v>356.1</v>
      </c>
      <c r="E176" s="59">
        <v>0</v>
      </c>
      <c r="F176" s="36"/>
      <c r="G176" s="36" t="s">
        <v>192</v>
      </c>
      <c r="H176" s="83">
        <f>+H103</f>
        <v>6.8618561444377529E-2</v>
      </c>
      <c r="I176" s="36"/>
      <c r="J176" s="36">
        <f t="shared" si="2"/>
        <v>0</v>
      </c>
      <c r="K176" s="36"/>
      <c r="L176" s="39"/>
    </row>
    <row r="177" spans="1:13" ht="16.5" thickBot="1">
      <c r="A177" s="10">
        <v>7</v>
      </c>
      <c r="C177" s="35" t="s">
        <v>193</v>
      </c>
      <c r="D177" s="36"/>
      <c r="E177" s="84">
        <v>0</v>
      </c>
      <c r="F177" s="36"/>
      <c r="G177" s="36" t="s">
        <v>279</v>
      </c>
      <c r="H177" s="83">
        <v>1</v>
      </c>
      <c r="I177" s="36"/>
      <c r="J177" s="60">
        <f t="shared" si="2"/>
        <v>0</v>
      </c>
      <c r="K177" s="36"/>
      <c r="L177" s="39"/>
    </row>
    <row r="178" spans="1:13">
      <c r="A178" s="11">
        <v>8</v>
      </c>
      <c r="B178" s="42"/>
      <c r="C178" s="41" t="s">
        <v>369</v>
      </c>
      <c r="D178" s="39"/>
      <c r="E178" s="39">
        <f>+E169-E170-E171+E172-E173-E174+E175+E176+E177</f>
        <v>43243416.999999993</v>
      </c>
      <c r="F178" s="39"/>
      <c r="G178" s="39"/>
      <c r="H178" s="39"/>
      <c r="I178" s="39"/>
      <c r="J178" s="39">
        <f>+J169-J170-J171+J172-J173-J174+J175+J176+J177</f>
        <v>4993512.5876300167</v>
      </c>
      <c r="K178" s="36"/>
      <c r="L178" s="39"/>
    </row>
    <row r="179" spans="1:13">
      <c r="A179" s="11"/>
      <c r="B179" s="42"/>
      <c r="C179" s="42"/>
      <c r="D179" s="39"/>
      <c r="E179" s="42"/>
      <c r="F179" s="39"/>
      <c r="G179" s="39"/>
      <c r="H179" s="39"/>
      <c r="I179" s="39"/>
      <c r="J179" s="42"/>
      <c r="K179" s="36"/>
      <c r="L179" s="39"/>
    </row>
    <row r="180" spans="1:13">
      <c r="A180" s="11"/>
      <c r="B180" s="42"/>
      <c r="C180" s="41" t="s">
        <v>514</v>
      </c>
      <c r="D180" s="39"/>
      <c r="E180" s="39"/>
      <c r="F180" s="39"/>
      <c r="G180" s="39"/>
      <c r="H180" s="39"/>
      <c r="I180" s="39"/>
      <c r="J180" s="39"/>
      <c r="K180" s="36"/>
      <c r="L180" s="39"/>
    </row>
    <row r="181" spans="1:13">
      <c r="A181" s="11">
        <v>9</v>
      </c>
      <c r="B181" s="42"/>
      <c r="C181" s="41" t="str">
        <f>+C169</f>
        <v xml:space="preserve">  Transmission </v>
      </c>
      <c r="D181" s="39" t="s">
        <v>60</v>
      </c>
      <c r="E181" s="59">
        <f>'Workpapers (Pages 6 and 7)'!E58*1000</f>
        <v>8931553</v>
      </c>
      <c r="F181" s="39"/>
      <c r="G181" s="39" t="s">
        <v>14</v>
      </c>
      <c r="H181" s="94">
        <f>+H127</f>
        <v>1</v>
      </c>
      <c r="I181" s="39"/>
      <c r="J181" s="39">
        <f>+H181*E181</f>
        <v>8931553</v>
      </c>
      <c r="K181" s="36"/>
      <c r="L181" s="85"/>
    </row>
    <row r="182" spans="1:13" s="42" customFormat="1">
      <c r="A182" s="11" t="s">
        <v>324</v>
      </c>
      <c r="B182" s="174"/>
      <c r="C182" s="41" t="s">
        <v>332</v>
      </c>
      <c r="D182" s="175"/>
      <c r="E182" s="59">
        <v>0</v>
      </c>
      <c r="F182" s="39"/>
      <c r="G182" s="39"/>
      <c r="H182" s="94">
        <v>1</v>
      </c>
      <c r="I182" s="39"/>
      <c r="J182" s="39">
        <f>+H182*E182</f>
        <v>0</v>
      </c>
      <c r="K182" s="175"/>
      <c r="L182" s="179"/>
      <c r="M182" s="177"/>
    </row>
    <row r="183" spans="1:13">
      <c r="A183" s="10">
        <v>10</v>
      </c>
      <c r="C183" s="35" t="s">
        <v>270</v>
      </c>
      <c r="D183" s="36" t="s">
        <v>512</v>
      </c>
      <c r="E183" s="59">
        <f>'Workpapers (Pages 6 and 7)'!E59*1000</f>
        <v>958414</v>
      </c>
      <c r="F183" s="36"/>
      <c r="G183" s="36" t="s">
        <v>188</v>
      </c>
      <c r="H183" s="83">
        <f>+H172</f>
        <v>7.6865905859196282E-2</v>
      </c>
      <c r="I183" s="36"/>
      <c r="J183" s="36">
        <f>+H183*E183</f>
        <v>73669.36029813574</v>
      </c>
      <c r="K183" s="36"/>
      <c r="L183" s="85"/>
    </row>
    <row r="184" spans="1:13" ht="16.5" thickBot="1">
      <c r="A184" s="10">
        <v>11</v>
      </c>
      <c r="C184" s="35" t="str">
        <f>+C176</f>
        <v xml:space="preserve">  Common</v>
      </c>
      <c r="D184" s="36" t="s">
        <v>253</v>
      </c>
      <c r="E184" s="84">
        <f>'Workpapers (Pages 6 and 7)'!E60*1000</f>
        <v>1269137</v>
      </c>
      <c r="F184" s="36"/>
      <c r="G184" s="36" t="s">
        <v>192</v>
      </c>
      <c r="H184" s="83">
        <f>+H176</f>
        <v>6.8618561444377529E-2</v>
      </c>
      <c r="I184" s="36"/>
      <c r="J184" s="60">
        <f>+H184*E184</f>
        <v>87086.355215832969</v>
      </c>
      <c r="K184" s="36"/>
      <c r="L184" s="85"/>
    </row>
    <row r="185" spans="1:13">
      <c r="A185" s="11">
        <v>12</v>
      </c>
      <c r="B185" s="42"/>
      <c r="C185" s="41" t="s">
        <v>85</v>
      </c>
      <c r="D185" s="39"/>
      <c r="E185" s="39">
        <f>SUM(E181:E184)</f>
        <v>11159104</v>
      </c>
      <c r="F185" s="39"/>
      <c r="G185" s="39"/>
      <c r="H185" s="39"/>
      <c r="I185" s="39"/>
      <c r="J185" s="39">
        <f>SUM(J181:J184)</f>
        <v>9092308.7155139688</v>
      </c>
      <c r="K185" s="36"/>
      <c r="L185" s="39"/>
    </row>
    <row r="186" spans="1:13">
      <c r="A186" s="10"/>
      <c r="C186" s="35"/>
      <c r="D186" s="36"/>
      <c r="E186" s="36"/>
      <c r="F186" s="36"/>
      <c r="G186" s="36"/>
      <c r="H186" s="36"/>
      <c r="I186" s="36"/>
      <c r="J186" s="36"/>
      <c r="K186" s="36"/>
      <c r="L186" s="39"/>
    </row>
    <row r="187" spans="1:13">
      <c r="A187" s="10" t="s">
        <v>279</v>
      </c>
      <c r="C187" s="35" t="s">
        <v>162</v>
      </c>
      <c r="E187" s="36"/>
      <c r="F187" s="36"/>
      <c r="G187" s="36"/>
      <c r="H187" s="36"/>
      <c r="I187" s="36"/>
      <c r="J187" s="36"/>
      <c r="K187" s="36"/>
      <c r="L187" s="39"/>
    </row>
    <row r="188" spans="1:13">
      <c r="A188" s="10"/>
      <c r="C188" s="35" t="s">
        <v>195</v>
      </c>
      <c r="F188" s="36"/>
      <c r="G188" s="36"/>
      <c r="I188" s="36"/>
      <c r="K188" s="36"/>
      <c r="L188" s="85"/>
    </row>
    <row r="189" spans="1:13">
      <c r="A189" s="10">
        <v>13</v>
      </c>
      <c r="C189" s="35" t="s">
        <v>196</v>
      </c>
      <c r="D189" s="36" t="s">
        <v>28</v>
      </c>
      <c r="E189" s="59">
        <v>0</v>
      </c>
      <c r="F189" s="36"/>
      <c r="G189" s="36" t="s">
        <v>188</v>
      </c>
      <c r="H189" s="57">
        <f>+H183</f>
        <v>7.6865905859196282E-2</v>
      </c>
      <c r="I189" s="36"/>
      <c r="J189" s="36">
        <f>+H189*E189</f>
        <v>0</v>
      </c>
      <c r="K189" s="36"/>
      <c r="L189" s="85"/>
    </row>
    <row r="190" spans="1:13">
      <c r="A190" s="10">
        <v>14</v>
      </c>
      <c r="C190" s="35" t="s">
        <v>265</v>
      </c>
      <c r="D190" s="36" t="str">
        <f>+D189</f>
        <v>263.i</v>
      </c>
      <c r="E190" s="59">
        <v>0</v>
      </c>
      <c r="F190" s="36"/>
      <c r="G190" s="36" t="str">
        <f>+G189</f>
        <v>W/S</v>
      </c>
      <c r="H190" s="57">
        <f>+H189</f>
        <v>7.6865905859196282E-2</v>
      </c>
      <c r="I190" s="36"/>
      <c r="J190" s="36">
        <f>+H190*E190</f>
        <v>0</v>
      </c>
      <c r="K190" s="36"/>
      <c r="L190" s="85"/>
    </row>
    <row r="191" spans="1:13">
      <c r="A191" s="10">
        <v>15</v>
      </c>
      <c r="C191" s="35" t="s">
        <v>266</v>
      </c>
      <c r="D191" s="36" t="s">
        <v>279</v>
      </c>
      <c r="F191" s="36"/>
      <c r="G191" s="36"/>
      <c r="I191" s="36"/>
      <c r="K191" s="36"/>
      <c r="L191" s="85"/>
    </row>
    <row r="192" spans="1:13">
      <c r="A192" s="10">
        <v>16</v>
      </c>
      <c r="C192" s="35" t="s">
        <v>299</v>
      </c>
      <c r="D192" s="36" t="s">
        <v>28</v>
      </c>
      <c r="E192" s="59">
        <f>+'Workpapers (Pages 6 and 7)'!E71*1000</f>
        <v>9802883</v>
      </c>
      <c r="F192" s="36"/>
      <c r="G192" s="36" t="s">
        <v>194</v>
      </c>
      <c r="H192" s="57">
        <f>+H96</f>
        <v>0.17292145014542565</v>
      </c>
      <c r="I192" s="36"/>
      <c r="J192" s="36">
        <f>+H192*E192</f>
        <v>1695128.7439659405</v>
      </c>
      <c r="K192" s="36"/>
      <c r="L192" s="85"/>
    </row>
    <row r="193" spans="1:12">
      <c r="A193" s="10">
        <v>17</v>
      </c>
      <c r="C193" s="35" t="s">
        <v>300</v>
      </c>
      <c r="D193" s="36" t="s">
        <v>28</v>
      </c>
      <c r="E193" s="59">
        <f>+'Workpapers (Pages 6 and 7)'!F69*1000</f>
        <v>7686914</v>
      </c>
      <c r="F193" s="36"/>
      <c r="G193" s="39" t="str">
        <f>+G119</f>
        <v>NA</v>
      </c>
      <c r="H193" s="95" t="s">
        <v>301</v>
      </c>
      <c r="I193" s="36"/>
      <c r="J193" s="36">
        <v>0</v>
      </c>
      <c r="K193" s="36"/>
      <c r="L193" s="85"/>
    </row>
    <row r="194" spans="1:12">
      <c r="A194" s="10">
        <v>18</v>
      </c>
      <c r="C194" s="35" t="s">
        <v>302</v>
      </c>
      <c r="D194" s="36" t="str">
        <f>+D193</f>
        <v>263.i</v>
      </c>
      <c r="E194" s="59">
        <v>0</v>
      </c>
      <c r="F194" s="36"/>
      <c r="G194" s="36" t="str">
        <f>+G192</f>
        <v>GP</v>
      </c>
      <c r="H194" s="57">
        <f>+H192</f>
        <v>0.17292145014542565</v>
      </c>
      <c r="I194" s="36"/>
      <c r="J194" s="36">
        <f>+H194*E194</f>
        <v>0</v>
      </c>
      <c r="K194" s="36"/>
      <c r="L194" s="85"/>
    </row>
    <row r="195" spans="1:12" ht="16.5" thickBot="1">
      <c r="A195" s="10">
        <v>19</v>
      </c>
      <c r="C195" s="35" t="s">
        <v>303</v>
      </c>
      <c r="D195" s="36"/>
      <c r="E195" s="84">
        <v>0</v>
      </c>
      <c r="F195" s="36"/>
      <c r="G195" s="36" t="s">
        <v>194</v>
      </c>
      <c r="H195" s="57">
        <f>+H192</f>
        <v>0.17292145014542565</v>
      </c>
      <c r="I195" s="36"/>
      <c r="J195" s="60">
        <f>+H195*E195</f>
        <v>0</v>
      </c>
      <c r="K195" s="36"/>
      <c r="L195" s="85"/>
    </row>
    <row r="196" spans="1:12">
      <c r="A196" s="10">
        <v>20</v>
      </c>
      <c r="C196" s="35" t="s">
        <v>304</v>
      </c>
      <c r="D196" s="36"/>
      <c r="E196" s="36">
        <f>SUM(E189:E195)</f>
        <v>17489797</v>
      </c>
      <c r="F196" s="36"/>
      <c r="G196" s="36"/>
      <c r="H196" s="57"/>
      <c r="I196" s="36"/>
      <c r="J196" s="36">
        <f>SUM(J189:J195)</f>
        <v>1695128.7439659405</v>
      </c>
      <c r="K196" s="36"/>
      <c r="L196" s="39"/>
    </row>
    <row r="197" spans="1:12">
      <c r="A197" s="10"/>
      <c r="C197" s="35"/>
      <c r="D197" s="36"/>
      <c r="E197" s="36"/>
      <c r="F197" s="36"/>
      <c r="G197" s="36"/>
      <c r="H197" s="57"/>
      <c r="I197" s="36"/>
      <c r="J197" s="36"/>
      <c r="K197" s="36"/>
      <c r="L197" s="39"/>
    </row>
    <row r="198" spans="1:12">
      <c r="A198" s="10" t="s">
        <v>163</v>
      </c>
      <c r="C198" s="35"/>
      <c r="D198" s="36"/>
      <c r="E198" s="36"/>
      <c r="F198" s="36"/>
      <c r="G198" s="36"/>
      <c r="H198" s="57"/>
      <c r="I198" s="36"/>
      <c r="J198" s="36"/>
      <c r="K198" s="36"/>
      <c r="L198" s="39"/>
    </row>
    <row r="199" spans="1:12">
      <c r="A199" s="10" t="s">
        <v>279</v>
      </c>
      <c r="C199" s="35" t="s">
        <v>295</v>
      </c>
      <c r="D199" s="36" t="s">
        <v>296</v>
      </c>
      <c r="E199" s="36"/>
      <c r="F199" s="36"/>
      <c r="H199" s="96"/>
      <c r="I199" s="36"/>
      <c r="K199" s="36"/>
    </row>
    <row r="200" spans="1:12">
      <c r="A200" s="10">
        <v>21</v>
      </c>
      <c r="C200" s="97" t="s">
        <v>297</v>
      </c>
      <c r="D200" s="36"/>
      <c r="E200" s="98">
        <f>IF(E347&gt;0,1-(((1-E348)*(1-E347))/(1-E348*E347*E349)),0)</f>
        <v>0.40037500000000004</v>
      </c>
      <c r="F200" s="36"/>
      <c r="H200" s="96"/>
      <c r="I200" s="36"/>
      <c r="K200" s="36"/>
    </row>
    <row r="201" spans="1:12">
      <c r="A201" s="10">
        <v>22</v>
      </c>
      <c r="C201" s="21" t="s">
        <v>298</v>
      </c>
      <c r="D201" s="36"/>
      <c r="E201" s="98">
        <f>IF(J293&gt;0,(E200/(1-E200))*(1-J290/J293),0)</f>
        <v>0.50242844219905802</v>
      </c>
      <c r="F201" s="36"/>
      <c r="H201" s="96"/>
      <c r="I201" s="36"/>
      <c r="K201" s="36"/>
    </row>
    <row r="202" spans="1:12">
      <c r="A202" s="10"/>
      <c r="C202" s="35" t="s">
        <v>511</v>
      </c>
      <c r="D202" s="36"/>
      <c r="E202" s="36"/>
      <c r="F202" s="36"/>
      <c r="H202" s="96"/>
      <c r="I202" s="36"/>
      <c r="K202" s="36"/>
    </row>
    <row r="203" spans="1:12">
      <c r="A203" s="10"/>
      <c r="C203" s="35" t="s">
        <v>121</v>
      </c>
      <c r="D203" s="36"/>
      <c r="E203" s="36"/>
      <c r="F203" s="36"/>
      <c r="H203" s="96"/>
      <c r="I203" s="36"/>
      <c r="K203" s="36"/>
    </row>
    <row r="204" spans="1:12">
      <c r="A204" s="10">
        <v>23</v>
      </c>
      <c r="C204" s="97" t="s">
        <v>122</v>
      </c>
      <c r="D204" s="36"/>
      <c r="E204" s="99">
        <f>IF(E200&gt;0,1/(1-E200),0)</f>
        <v>1.6677089847821556</v>
      </c>
      <c r="F204" s="36"/>
      <c r="H204" s="96"/>
      <c r="I204" s="36"/>
      <c r="K204" s="36"/>
    </row>
    <row r="205" spans="1:12">
      <c r="A205" s="10">
        <v>24</v>
      </c>
      <c r="C205" s="35" t="s">
        <v>123</v>
      </c>
      <c r="D205" s="36"/>
      <c r="E205" s="59">
        <f>-'Workpapers (Pages 6 and 7)'!E73*1000</f>
        <v>-479397</v>
      </c>
      <c r="F205" s="36"/>
      <c r="H205" s="96"/>
      <c r="I205" s="36"/>
      <c r="K205" s="36"/>
    </row>
    <row r="206" spans="1:12">
      <c r="A206" s="10"/>
      <c r="C206" s="35"/>
      <c r="D206" s="36"/>
      <c r="E206" s="36"/>
      <c r="F206" s="36"/>
      <c r="H206" s="96"/>
      <c r="I206" s="36"/>
      <c r="K206" s="36"/>
    </row>
    <row r="207" spans="1:12">
      <c r="A207" s="10">
        <v>25</v>
      </c>
      <c r="C207" s="97" t="s">
        <v>124</v>
      </c>
      <c r="D207" s="100"/>
      <c r="E207" s="36">
        <f>E201*E211</f>
        <v>52876873.617654949</v>
      </c>
      <c r="F207" s="36"/>
      <c r="G207" s="36" t="s">
        <v>268</v>
      </c>
      <c r="H207" s="57"/>
      <c r="I207" s="36"/>
      <c r="J207" s="36">
        <f>E201*J211</f>
        <v>12346855.195311515</v>
      </c>
      <c r="K207" s="36"/>
      <c r="L207" s="101" t="s">
        <v>279</v>
      </c>
    </row>
    <row r="208" spans="1:12" ht="16.5" thickBot="1">
      <c r="A208" s="10">
        <v>26</v>
      </c>
      <c r="C208" s="21" t="s">
        <v>125</v>
      </c>
      <c r="D208" s="100"/>
      <c r="E208" s="159">
        <f>E204*E205</f>
        <v>-799494.68417761102</v>
      </c>
      <c r="F208" s="36"/>
      <c r="G208" s="21" t="s">
        <v>80</v>
      </c>
      <c r="H208" s="57">
        <f>H112</f>
        <v>0.2325176999821921</v>
      </c>
      <c r="I208" s="36"/>
      <c r="J208" s="159">
        <f>H208*E208</f>
        <v>-185896.6651129672</v>
      </c>
      <c r="K208" s="36"/>
      <c r="L208" s="101"/>
    </row>
    <row r="209" spans="1:12">
      <c r="A209" s="10">
        <v>27</v>
      </c>
      <c r="C209" s="102" t="s">
        <v>172</v>
      </c>
      <c r="D209" s="21" t="s">
        <v>173</v>
      </c>
      <c r="E209" s="40">
        <f>+E207+E208</f>
        <v>52077378.933477342</v>
      </c>
      <c r="F209" s="36"/>
      <c r="G209" s="36" t="s">
        <v>279</v>
      </c>
      <c r="H209" s="57" t="s">
        <v>279</v>
      </c>
      <c r="I209" s="36"/>
      <c r="J209" s="40">
        <f>+J207+J208</f>
        <v>12160958.530198548</v>
      </c>
      <c r="K209" s="36"/>
      <c r="L209" s="39"/>
    </row>
    <row r="210" spans="1:12">
      <c r="A210" s="10" t="s">
        <v>279</v>
      </c>
      <c r="D210" s="103"/>
      <c r="E210" s="36"/>
      <c r="F210" s="36"/>
      <c r="G210" s="36"/>
      <c r="H210" s="57"/>
      <c r="I210" s="36"/>
      <c r="J210" s="36"/>
      <c r="K210" s="36"/>
      <c r="L210" s="39"/>
    </row>
    <row r="211" spans="1:12">
      <c r="A211" s="10">
        <v>28</v>
      </c>
      <c r="C211" s="35" t="s">
        <v>174</v>
      </c>
      <c r="D211" s="38"/>
      <c r="E211" s="36">
        <f>+$J293*E135</f>
        <v>105242596.11223516</v>
      </c>
      <c r="F211" s="36"/>
      <c r="G211" s="36" t="s">
        <v>268</v>
      </c>
      <c r="H211" s="96"/>
      <c r="I211" s="36"/>
      <c r="J211" s="36">
        <f>+$J293*J135</f>
        <v>24574355.586381774</v>
      </c>
      <c r="K211" s="36"/>
    </row>
    <row r="212" spans="1:12">
      <c r="A212" s="10"/>
      <c r="C212" s="102" t="s">
        <v>61</v>
      </c>
      <c r="E212" s="36"/>
      <c r="F212" s="36"/>
      <c r="G212" s="36"/>
      <c r="H212" s="96"/>
      <c r="I212" s="36"/>
      <c r="J212" s="36"/>
      <c r="K212" s="36"/>
      <c r="L212" s="85"/>
    </row>
    <row r="213" spans="1:12">
      <c r="A213" s="10"/>
      <c r="C213" s="35"/>
      <c r="E213" s="37"/>
      <c r="F213" s="36"/>
      <c r="G213" s="36"/>
      <c r="H213" s="96"/>
      <c r="I213" s="36"/>
      <c r="J213" s="37"/>
      <c r="K213" s="36"/>
      <c r="L213" s="85"/>
    </row>
    <row r="214" spans="1:12">
      <c r="A214" s="10">
        <v>29</v>
      </c>
      <c r="C214" s="35" t="s">
        <v>62</v>
      </c>
      <c r="D214" s="36"/>
      <c r="E214" s="37">
        <f>+E211+E209+E196+E185+E178</f>
        <v>229212293.0457125</v>
      </c>
      <c r="F214" s="36"/>
      <c r="G214" s="36"/>
      <c r="H214" s="36"/>
      <c r="I214" s="36"/>
      <c r="J214" s="37">
        <f>+J211+J209+J196+J185+J178</f>
        <v>52516264.163690247</v>
      </c>
      <c r="K214" s="47"/>
      <c r="L214" s="49"/>
    </row>
    <row r="215" spans="1:12">
      <c r="A215" s="10"/>
      <c r="C215" s="35"/>
      <c r="D215" s="36"/>
      <c r="E215" s="37"/>
      <c r="F215" s="36"/>
      <c r="G215" s="36"/>
      <c r="H215" s="36"/>
      <c r="I215" s="36"/>
      <c r="J215" s="37"/>
      <c r="K215" s="47"/>
      <c r="L215" s="49"/>
    </row>
    <row r="216" spans="1:12">
      <c r="A216" s="10">
        <v>30</v>
      </c>
      <c r="C216" s="35" t="s">
        <v>383</v>
      </c>
      <c r="D216" s="36"/>
      <c r="E216" s="37"/>
      <c r="F216" s="36"/>
      <c r="G216" s="36"/>
      <c r="H216" s="36"/>
      <c r="I216" s="36"/>
      <c r="J216" s="37"/>
      <c r="K216" s="47"/>
      <c r="L216" s="49"/>
    </row>
    <row r="217" spans="1:12">
      <c r="A217" s="10"/>
      <c r="C217" s="35" t="s">
        <v>371</v>
      </c>
      <c r="D217" s="36"/>
      <c r="E217" s="37"/>
      <c r="F217" s="36"/>
      <c r="G217" s="36"/>
      <c r="H217" s="36"/>
      <c r="I217" s="36"/>
      <c r="J217" s="37"/>
      <c r="K217" s="47"/>
      <c r="L217" s="49"/>
    </row>
    <row r="218" spans="1:12">
      <c r="A218" s="10"/>
      <c r="C218" s="35" t="s">
        <v>372</v>
      </c>
      <c r="D218" s="36"/>
      <c r="E218" s="191">
        <f>+'[3]Attach GG Proj #1- Year 1'!$L$81</f>
        <v>22505885.795474894</v>
      </c>
      <c r="F218" s="36"/>
      <c r="G218" s="36"/>
      <c r="H218" s="36"/>
      <c r="I218" s="36"/>
      <c r="J218" s="191">
        <f>E218</f>
        <v>22505885.795474894</v>
      </c>
      <c r="K218" s="47"/>
      <c r="L218" s="49"/>
    </row>
    <row r="219" spans="1:12">
      <c r="A219" s="10"/>
      <c r="C219" s="35"/>
      <c r="D219" s="36"/>
      <c r="E219" s="37"/>
      <c r="F219" s="36"/>
      <c r="G219" s="36"/>
      <c r="H219" s="36"/>
      <c r="I219" s="36"/>
      <c r="J219" s="37"/>
      <c r="K219" s="47"/>
      <c r="L219" s="49"/>
    </row>
    <row r="220" spans="1:12">
      <c r="A220" s="10" t="s">
        <v>387</v>
      </c>
      <c r="C220" s="35" t="s">
        <v>388</v>
      </c>
      <c r="D220" s="36"/>
      <c r="E220" s="37"/>
      <c r="F220" s="36"/>
      <c r="G220" s="36"/>
      <c r="H220" s="36"/>
      <c r="I220" s="36"/>
      <c r="J220" s="37"/>
      <c r="K220" s="47"/>
      <c r="L220" s="49"/>
    </row>
    <row r="221" spans="1:12">
      <c r="A221" s="10"/>
      <c r="C221" s="35" t="s">
        <v>371</v>
      </c>
      <c r="D221" s="36"/>
      <c r="E221" s="37"/>
      <c r="F221" s="36"/>
      <c r="G221" s="36"/>
      <c r="H221" s="36"/>
      <c r="I221" s="36"/>
      <c r="J221" s="37"/>
      <c r="K221" s="47"/>
      <c r="L221" s="49"/>
    </row>
    <row r="222" spans="1:12">
      <c r="A222" s="10"/>
      <c r="C222" s="35" t="s">
        <v>389</v>
      </c>
      <c r="D222" s="36"/>
      <c r="E222" s="189">
        <v>0</v>
      </c>
      <c r="F222" s="36"/>
      <c r="G222" s="36"/>
      <c r="H222" s="36"/>
      <c r="I222" s="36"/>
      <c r="J222" s="189">
        <f>E222</f>
        <v>0</v>
      </c>
      <c r="K222" s="47"/>
      <c r="L222" s="49"/>
    </row>
    <row r="223" spans="1:12" ht="19.5" customHeight="1" thickBot="1">
      <c r="A223" s="10">
        <v>31</v>
      </c>
      <c r="C223" s="35" t="s">
        <v>373</v>
      </c>
      <c r="D223" s="36"/>
      <c r="E223" s="190">
        <f>E214-E218-E222</f>
        <v>206706407.25023761</v>
      </c>
      <c r="F223" s="36"/>
      <c r="G223" s="36"/>
      <c r="H223" s="36"/>
      <c r="I223" s="36"/>
      <c r="J223" s="190">
        <f>J214-J218-J222</f>
        <v>30010378.368215352</v>
      </c>
      <c r="K223" s="47"/>
      <c r="L223" s="49"/>
    </row>
    <row r="224" spans="1:12" ht="16.5" thickTop="1">
      <c r="A224" s="10"/>
      <c r="C224" s="35" t="s">
        <v>390</v>
      </c>
      <c r="D224" s="36"/>
      <c r="E224" s="37"/>
      <c r="F224" s="36"/>
      <c r="G224" s="36"/>
      <c r="H224" s="36"/>
      <c r="I224" s="36"/>
      <c r="J224" s="37"/>
      <c r="K224" s="47"/>
      <c r="L224" s="49"/>
    </row>
    <row r="225" spans="1:12">
      <c r="A225" s="10"/>
      <c r="C225" s="35"/>
      <c r="D225" s="36"/>
      <c r="E225" s="37"/>
      <c r="F225" s="36"/>
      <c r="G225" s="36"/>
      <c r="H225" s="36"/>
      <c r="I225" s="36"/>
      <c r="J225" s="37"/>
      <c r="K225" s="47"/>
      <c r="L225" s="49"/>
    </row>
    <row r="226" spans="1:12">
      <c r="A226" s="10"/>
      <c r="C226" s="35"/>
      <c r="D226" s="36"/>
      <c r="E226" s="37"/>
      <c r="F226" s="36"/>
      <c r="G226" s="36"/>
      <c r="H226" s="36"/>
      <c r="I226" s="36"/>
      <c r="J226" s="37"/>
      <c r="K226" s="47"/>
      <c r="L226" s="49"/>
    </row>
    <row r="227" spans="1:12">
      <c r="A227" s="10"/>
      <c r="C227" s="35"/>
      <c r="D227" s="36"/>
      <c r="E227" s="37"/>
      <c r="F227" s="36"/>
      <c r="G227" s="36"/>
      <c r="H227" s="36"/>
      <c r="I227" s="36"/>
      <c r="J227" s="37"/>
      <c r="K227" s="47"/>
      <c r="L227" s="49"/>
    </row>
    <row r="228" spans="1:12">
      <c r="A228" s="10"/>
      <c r="C228" s="35"/>
      <c r="D228" s="36"/>
      <c r="E228" s="37"/>
      <c r="F228" s="36"/>
      <c r="G228" s="36"/>
      <c r="H228" s="36"/>
      <c r="I228" s="36"/>
      <c r="J228" s="37"/>
      <c r="K228" s="47"/>
      <c r="L228" s="49"/>
    </row>
    <row r="229" spans="1:12">
      <c r="A229" s="10"/>
      <c r="C229" s="35"/>
      <c r="D229" s="36"/>
      <c r="E229" s="37"/>
      <c r="F229" s="36"/>
      <c r="G229" s="36"/>
      <c r="H229" s="36"/>
      <c r="I229" s="36"/>
      <c r="J229" s="37"/>
      <c r="K229" s="47"/>
      <c r="L229" s="49"/>
    </row>
    <row r="230" spans="1:12">
      <c r="A230" s="10"/>
      <c r="C230" s="35"/>
      <c r="D230" s="36"/>
      <c r="E230" s="37"/>
      <c r="F230" s="36"/>
      <c r="G230" s="36"/>
      <c r="H230" s="36"/>
      <c r="I230" s="36"/>
      <c r="J230" s="37"/>
      <c r="K230" s="47"/>
      <c r="L230" s="49"/>
    </row>
    <row r="231" spans="1:12">
      <c r="A231" s="10"/>
      <c r="C231" s="35"/>
      <c r="D231" s="36"/>
      <c r="E231" s="37"/>
      <c r="F231" s="36"/>
      <c r="G231" s="36"/>
      <c r="H231" s="36"/>
      <c r="I231" s="36"/>
      <c r="J231" s="37"/>
      <c r="K231" s="47"/>
      <c r="L231" s="49"/>
    </row>
    <row r="232" spans="1:12">
      <c r="A232" s="10"/>
      <c r="C232" s="35"/>
      <c r="D232" s="36"/>
      <c r="E232" s="37"/>
      <c r="F232" s="36"/>
      <c r="G232" s="36"/>
      <c r="H232" s="36"/>
      <c r="I232" s="36"/>
      <c r="J232" s="37"/>
      <c r="K232" s="47"/>
      <c r="L232" s="49"/>
    </row>
    <row r="233" spans="1:12">
      <c r="A233" s="10"/>
      <c r="C233" s="35"/>
      <c r="D233" s="36"/>
      <c r="E233" s="37"/>
      <c r="F233" s="36"/>
      <c r="G233" s="36"/>
      <c r="H233" s="36"/>
      <c r="I233" s="36"/>
      <c r="J233" s="37"/>
      <c r="K233" s="47"/>
      <c r="L233" s="49"/>
    </row>
    <row r="234" spans="1:12">
      <c r="A234" s="10"/>
      <c r="C234" s="35"/>
      <c r="D234" s="36"/>
      <c r="E234" s="37"/>
      <c r="F234" s="36"/>
      <c r="G234" s="36"/>
      <c r="H234" s="36"/>
      <c r="I234" s="36"/>
      <c r="J234" s="37"/>
      <c r="K234" s="47"/>
      <c r="L234" s="49"/>
    </row>
    <row r="235" spans="1:12">
      <c r="A235" s="10"/>
      <c r="C235" s="35"/>
      <c r="D235" s="36"/>
      <c r="E235" s="37"/>
      <c r="F235" s="36"/>
      <c r="G235" s="36"/>
      <c r="H235" s="36"/>
      <c r="I235" s="36"/>
      <c r="J235" s="37"/>
      <c r="K235" s="47"/>
      <c r="L235" s="49"/>
    </row>
    <row r="236" spans="1:12">
      <c r="C236" s="34"/>
      <c r="D236" s="34"/>
      <c r="E236" s="45"/>
      <c r="F236" s="34"/>
      <c r="G236" s="34"/>
      <c r="H236" s="34"/>
      <c r="I236" s="46"/>
      <c r="J236" s="46"/>
      <c r="K236" s="47"/>
      <c r="L236" s="48" t="s">
        <v>63</v>
      </c>
    </row>
    <row r="237" spans="1:12">
      <c r="C237" s="34"/>
      <c r="D237" s="34"/>
      <c r="E237" s="45"/>
      <c r="F237" s="34"/>
      <c r="G237" s="34"/>
      <c r="H237" s="34"/>
      <c r="I237" s="46"/>
      <c r="J237" s="46"/>
      <c r="K237" s="47"/>
      <c r="L237" s="48"/>
    </row>
    <row r="238" spans="1:12">
      <c r="C238" s="34" t="s">
        <v>209</v>
      </c>
      <c r="D238" s="34"/>
      <c r="E238" s="45" t="s">
        <v>278</v>
      </c>
      <c r="F238" s="34"/>
      <c r="G238" s="34"/>
      <c r="H238" s="34"/>
      <c r="I238" s="46"/>
      <c r="J238" s="50" t="str">
        <f>J3</f>
        <v>For the 12 months ended 12/31/13</v>
      </c>
      <c r="K238" s="51"/>
      <c r="L238" s="51"/>
    </row>
    <row r="239" spans="1:12">
      <c r="C239" s="34"/>
      <c r="D239" s="36" t="s">
        <v>279</v>
      </c>
      <c r="E239" s="36" t="s">
        <v>234</v>
      </c>
      <c r="F239" s="36"/>
      <c r="G239" s="36"/>
      <c r="H239" s="36"/>
      <c r="I239" s="46"/>
      <c r="J239" s="46"/>
      <c r="K239" s="47"/>
      <c r="L239" s="49"/>
    </row>
    <row r="240" spans="1:12">
      <c r="A240" s="10"/>
      <c r="K240" s="36"/>
      <c r="L240" s="39"/>
    </row>
    <row r="241" spans="1:19">
      <c r="A241" s="10"/>
      <c r="E241" s="158" t="str">
        <f>E6</f>
        <v>VECTREN</v>
      </c>
      <c r="K241" s="36"/>
      <c r="L241" s="39"/>
    </row>
    <row r="242" spans="1:19">
      <c r="A242" s="10"/>
      <c r="D242" s="82" t="s">
        <v>52</v>
      </c>
      <c r="F242" s="47"/>
      <c r="G242" s="47"/>
      <c r="H242" s="47"/>
      <c r="I242" s="47"/>
      <c r="J242" s="47"/>
      <c r="K242" s="36"/>
      <c r="L242" s="39"/>
    </row>
    <row r="243" spans="1:19">
      <c r="A243" s="10" t="s">
        <v>280</v>
      </c>
      <c r="C243" s="82"/>
      <c r="D243" s="47"/>
      <c r="E243" s="47"/>
      <c r="F243" s="47"/>
      <c r="G243" s="47"/>
      <c r="H243" s="47"/>
      <c r="I243" s="47"/>
      <c r="J243" s="47"/>
      <c r="K243" s="36"/>
      <c r="L243" s="39"/>
    </row>
    <row r="244" spans="1:19" ht="16.5" thickBot="1">
      <c r="A244" s="53" t="s">
        <v>281</v>
      </c>
      <c r="C244" s="104" t="s">
        <v>15</v>
      </c>
      <c r="D244" s="49"/>
      <c r="E244" s="49"/>
      <c r="F244" s="49"/>
      <c r="G244" s="49"/>
      <c r="H244" s="49"/>
      <c r="I244" s="42"/>
      <c r="J244" s="42"/>
      <c r="K244" s="39"/>
      <c r="L244" s="39"/>
    </row>
    <row r="245" spans="1:19">
      <c r="A245" s="10"/>
      <c r="C245" s="104"/>
      <c r="D245" s="49"/>
      <c r="E245" s="49"/>
      <c r="F245" s="49"/>
      <c r="G245" s="49"/>
      <c r="H245" s="49"/>
      <c r="I245" s="49"/>
      <c r="J245" s="49"/>
      <c r="K245" s="39"/>
      <c r="L245" s="39"/>
    </row>
    <row r="246" spans="1:19">
      <c r="A246" s="10">
        <v>1</v>
      </c>
      <c r="C246" s="63" t="s">
        <v>175</v>
      </c>
      <c r="D246" s="49"/>
      <c r="E246" s="39"/>
      <c r="F246" s="39"/>
      <c r="G246" s="39"/>
      <c r="H246" s="39"/>
      <c r="I246" s="39"/>
      <c r="J246" s="39">
        <f>E92</f>
        <v>432756274.36076921</v>
      </c>
      <c r="K246" s="39"/>
      <c r="L246" s="39"/>
    </row>
    <row r="247" spans="1:19">
      <c r="A247" s="10">
        <v>2</v>
      </c>
      <c r="C247" s="63" t="s">
        <v>176</v>
      </c>
      <c r="D247" s="42"/>
      <c r="E247" s="42"/>
      <c r="F247" s="42"/>
      <c r="G247" s="42"/>
      <c r="H247" s="42"/>
      <c r="I247" s="42"/>
      <c r="J247" s="59">
        <v>0</v>
      </c>
      <c r="K247" s="39"/>
      <c r="L247" s="39"/>
    </row>
    <row r="248" spans="1:19" ht="16.5" thickBot="1">
      <c r="A248" s="10">
        <v>3</v>
      </c>
      <c r="C248" s="105" t="s">
        <v>206</v>
      </c>
      <c r="D248" s="106"/>
      <c r="E248" s="107"/>
      <c r="F248" s="39"/>
      <c r="G248" s="39"/>
      <c r="H248" s="108"/>
      <c r="I248" s="39"/>
      <c r="J248" s="84">
        <v>0</v>
      </c>
      <c r="K248" s="39"/>
      <c r="L248" s="39"/>
    </row>
    <row r="249" spans="1:19">
      <c r="A249" s="10">
        <v>4</v>
      </c>
      <c r="C249" s="63" t="s">
        <v>207</v>
      </c>
      <c r="D249" s="49"/>
      <c r="E249" s="39"/>
      <c r="F249" s="39"/>
      <c r="G249" s="39"/>
      <c r="H249" s="108"/>
      <c r="I249" s="39"/>
      <c r="J249" s="39">
        <f>J246-J247-J248</f>
        <v>432756274.36076921</v>
      </c>
      <c r="K249" s="39"/>
      <c r="L249" s="39"/>
    </row>
    <row r="250" spans="1:19">
      <c r="A250" s="10"/>
      <c r="C250" s="42"/>
      <c r="D250" s="49"/>
      <c r="E250" s="39"/>
      <c r="F250" s="39"/>
      <c r="G250" s="39"/>
      <c r="H250" s="108"/>
      <c r="I250" s="39"/>
      <c r="J250" s="42"/>
      <c r="K250" s="39"/>
      <c r="L250" s="39"/>
    </row>
    <row r="251" spans="1:19">
      <c r="A251" s="10">
        <v>5</v>
      </c>
      <c r="C251" s="63" t="s">
        <v>208</v>
      </c>
      <c r="D251" s="109"/>
      <c r="E251" s="110"/>
      <c r="F251" s="110"/>
      <c r="G251" s="110"/>
      <c r="H251" s="111"/>
      <c r="I251" s="39" t="s">
        <v>16</v>
      </c>
      <c r="J251" s="86">
        <f>IF(J246&gt;0,J249/J246,0)</f>
        <v>1</v>
      </c>
      <c r="K251" s="39"/>
      <c r="L251" s="39"/>
    </row>
    <row r="252" spans="1:19">
      <c r="A252" s="10"/>
      <c r="C252" s="42"/>
      <c r="D252" s="42"/>
      <c r="E252" s="42"/>
      <c r="F252" s="42"/>
      <c r="G252" s="42"/>
      <c r="H252" s="42"/>
      <c r="I252" s="42"/>
      <c r="J252" s="42"/>
      <c r="K252" s="39"/>
      <c r="L252" s="39"/>
      <c r="N252" s="160" t="s">
        <v>170</v>
      </c>
      <c r="O252" s="160"/>
      <c r="P252" s="160"/>
    </row>
    <row r="253" spans="1:19">
      <c r="A253" s="10"/>
      <c r="C253" s="41" t="s">
        <v>17</v>
      </c>
      <c r="D253" s="42"/>
      <c r="E253" s="42"/>
      <c r="F253" s="42"/>
      <c r="G253" s="42"/>
      <c r="H253" s="42"/>
      <c r="I253" s="42"/>
      <c r="J253" s="42"/>
      <c r="K253" s="39"/>
      <c r="L253" s="39"/>
      <c r="N253" s="9"/>
      <c r="O253" s="5"/>
      <c r="P253" s="8"/>
      <c r="Q253" s="9"/>
      <c r="R253" s="5"/>
      <c r="S253" s="5"/>
    </row>
    <row r="254" spans="1:19">
      <c r="A254" s="10"/>
      <c r="C254" s="42"/>
      <c r="D254" s="42"/>
      <c r="E254" s="42"/>
      <c r="F254" s="42"/>
      <c r="G254" s="42"/>
      <c r="H254" s="42"/>
      <c r="I254" s="42"/>
      <c r="J254" s="42"/>
      <c r="K254" s="39"/>
      <c r="L254" s="39"/>
      <c r="N254" s="423" t="s">
        <v>245</v>
      </c>
      <c r="O254" s="424"/>
      <c r="P254" s="424"/>
      <c r="Q254" s="424"/>
      <c r="R254" s="424"/>
      <c r="S254" s="425"/>
    </row>
    <row r="255" spans="1:19">
      <c r="A255" s="10">
        <v>6</v>
      </c>
      <c r="C255" s="42" t="s">
        <v>117</v>
      </c>
      <c r="D255" s="42"/>
      <c r="E255" s="49"/>
      <c r="F255" s="49"/>
      <c r="G255" s="49"/>
      <c r="H255" s="77"/>
      <c r="I255" s="49"/>
      <c r="J255" s="39">
        <f>E169</f>
        <v>13676301</v>
      </c>
      <c r="K255" s="39"/>
      <c r="L255" s="39"/>
      <c r="N255" s="2"/>
      <c r="O255" s="22"/>
      <c r="P255" s="23"/>
      <c r="Q255" s="24"/>
      <c r="R255" s="22"/>
      <c r="S255" s="25"/>
    </row>
    <row r="256" spans="1:19" ht="16.5" thickBot="1">
      <c r="A256" s="10">
        <v>7</v>
      </c>
      <c r="C256" s="105" t="s">
        <v>118</v>
      </c>
      <c r="D256" s="106"/>
      <c r="E256" s="107"/>
      <c r="F256" s="107"/>
      <c r="G256" s="39"/>
      <c r="H256" s="39"/>
      <c r="I256" s="39"/>
      <c r="J256" s="84">
        <f>('Workpapers (Pages 6 and 7)'!E8+'Workpapers (Pages 6 and 7)'!E9+'Workpapers (Pages 6 and 7)'!E10)*1000</f>
        <v>2238196</v>
      </c>
      <c r="K256" s="39"/>
      <c r="L256" s="39"/>
      <c r="M256" s="63"/>
      <c r="N256" s="43">
        <v>0</v>
      </c>
      <c r="O256" s="15" t="s">
        <v>48</v>
      </c>
      <c r="P256" s="23"/>
      <c r="Q256" s="24"/>
      <c r="R256" s="22"/>
      <c r="S256" s="25"/>
    </row>
    <row r="257" spans="1:19">
      <c r="A257" s="10">
        <v>8</v>
      </c>
      <c r="C257" s="63" t="s">
        <v>64</v>
      </c>
      <c r="D257" s="109"/>
      <c r="E257" s="110"/>
      <c r="F257" s="110"/>
      <c r="G257" s="110"/>
      <c r="H257" s="111"/>
      <c r="I257" s="110"/>
      <c r="J257" s="39">
        <f>+J255-J256</f>
        <v>11438105</v>
      </c>
      <c r="K257" s="42"/>
      <c r="N257" s="292">
        <v>0</v>
      </c>
      <c r="O257" s="6" t="s">
        <v>205</v>
      </c>
      <c r="P257" s="44"/>
      <c r="Q257" s="44"/>
      <c r="R257"/>
      <c r="S257" s="32"/>
    </row>
    <row r="258" spans="1:19">
      <c r="A258" s="10"/>
      <c r="C258" s="63"/>
      <c r="D258" s="49"/>
      <c r="E258" s="39"/>
      <c r="F258" s="39"/>
      <c r="G258" s="39"/>
      <c r="H258" s="39"/>
      <c r="I258" s="42"/>
      <c r="J258" s="42"/>
      <c r="K258" s="42"/>
      <c r="N258" s="1">
        <f>N256-N257</f>
        <v>0</v>
      </c>
      <c r="O258" s="6" t="s">
        <v>49</v>
      </c>
      <c r="P258"/>
      <c r="Q258"/>
      <c r="R258"/>
      <c r="S258" s="32"/>
    </row>
    <row r="259" spans="1:19">
      <c r="A259" s="10">
        <v>9</v>
      </c>
      <c r="C259" s="63" t="s">
        <v>111</v>
      </c>
      <c r="D259" s="49"/>
      <c r="E259" s="39"/>
      <c r="F259" s="39"/>
      <c r="G259" s="39"/>
      <c r="H259" s="39"/>
      <c r="I259" s="39"/>
      <c r="J259" s="94">
        <f>IF(J255&gt;0,J257/J255,0)</f>
        <v>0.83634492981691466</v>
      </c>
      <c r="K259" s="42"/>
      <c r="N259" s="26"/>
      <c r="O259" s="16" t="s">
        <v>50</v>
      </c>
      <c r="P259" s="17"/>
      <c r="Q259" s="17"/>
      <c r="R259" s="22"/>
      <c r="S259" s="25"/>
    </row>
    <row r="260" spans="1:19">
      <c r="A260" s="10">
        <v>10</v>
      </c>
      <c r="C260" s="63" t="s">
        <v>113</v>
      </c>
      <c r="D260" s="49"/>
      <c r="E260" s="39"/>
      <c r="F260" s="39"/>
      <c r="G260" s="39"/>
      <c r="H260" s="39"/>
      <c r="I260" s="49" t="s">
        <v>14</v>
      </c>
      <c r="J260" s="112">
        <f>J251</f>
        <v>1</v>
      </c>
      <c r="K260" s="42"/>
      <c r="N260" s="43">
        <v>0</v>
      </c>
      <c r="O260" s="17" t="s">
        <v>110</v>
      </c>
      <c r="P260" s="3"/>
      <c r="Q260" s="17"/>
      <c r="R260" s="22"/>
      <c r="S260" s="25"/>
    </row>
    <row r="261" spans="1:19">
      <c r="A261" s="10">
        <v>11</v>
      </c>
      <c r="C261" s="63" t="s">
        <v>115</v>
      </c>
      <c r="D261" s="49"/>
      <c r="E261" s="49"/>
      <c r="F261" s="49"/>
      <c r="G261" s="49"/>
      <c r="H261" s="49"/>
      <c r="I261" s="49" t="s">
        <v>273</v>
      </c>
      <c r="J261" s="113">
        <f>+J260*J259</f>
        <v>0.83634492981691466</v>
      </c>
      <c r="K261" s="42"/>
      <c r="N261" s="285">
        <v>0</v>
      </c>
      <c r="O261" s="17" t="s">
        <v>112</v>
      </c>
      <c r="P261" s="3"/>
      <c r="Q261" s="17"/>
      <c r="R261" s="22"/>
      <c r="S261" s="25"/>
    </row>
    <row r="262" spans="1:19">
      <c r="A262" s="10"/>
      <c r="D262" s="47"/>
      <c r="E262" s="36"/>
      <c r="F262" s="36"/>
      <c r="G262" s="36"/>
      <c r="H262" s="114"/>
      <c r="I262" s="36"/>
      <c r="N262" s="27" t="s">
        <v>279</v>
      </c>
      <c r="O262" s="17" t="s">
        <v>114</v>
      </c>
      <c r="P262" s="3"/>
      <c r="Q262" s="18"/>
      <c r="R262" s="22"/>
      <c r="S262" s="25"/>
    </row>
    <row r="263" spans="1:19">
      <c r="A263" s="10" t="s">
        <v>279</v>
      </c>
      <c r="C263" s="35" t="s">
        <v>94</v>
      </c>
      <c r="D263" s="36"/>
      <c r="E263" s="36"/>
      <c r="F263" s="36"/>
      <c r="G263" s="36"/>
      <c r="H263" s="36"/>
      <c r="I263" s="36"/>
      <c r="J263" s="36"/>
      <c r="K263" s="36"/>
      <c r="L263" s="39"/>
      <c r="N263" s="286">
        <f>SUM(N260:N262)</f>
        <v>0</v>
      </c>
      <c r="O263" s="19" t="s">
        <v>116</v>
      </c>
      <c r="P263" s="23"/>
      <c r="Q263" s="24"/>
      <c r="R263" s="22"/>
      <c r="S263" s="25"/>
    </row>
    <row r="264" spans="1:19" ht="16.5" thickBot="1">
      <c r="A264" s="10" t="s">
        <v>279</v>
      </c>
      <c r="C264" s="35"/>
      <c r="D264" s="60" t="s">
        <v>65</v>
      </c>
      <c r="E264" s="115" t="s">
        <v>274</v>
      </c>
      <c r="F264" s="115" t="s">
        <v>14</v>
      </c>
      <c r="G264" s="36"/>
      <c r="H264" s="115" t="s">
        <v>275</v>
      </c>
      <c r="I264" s="36"/>
      <c r="J264" s="36"/>
      <c r="K264" s="36"/>
      <c r="L264" s="39"/>
      <c r="N264" s="287">
        <f>N258-N263</f>
        <v>0</v>
      </c>
      <c r="O264" s="20" t="s">
        <v>51</v>
      </c>
      <c r="P264" s="28"/>
      <c r="Q264" s="29"/>
      <c r="R264" s="31"/>
      <c r="S264" s="30"/>
    </row>
    <row r="265" spans="1:19">
      <c r="A265" s="10">
        <v>12</v>
      </c>
      <c r="C265" s="35" t="s">
        <v>267</v>
      </c>
      <c r="D265" s="36" t="s">
        <v>66</v>
      </c>
      <c r="E265" s="59">
        <f>'Workpapers (Page 8)'!E7*1000</f>
        <v>12298069</v>
      </c>
      <c r="F265" s="116">
        <v>0</v>
      </c>
      <c r="G265" s="116"/>
      <c r="H265" s="36">
        <f>E265*F265</f>
        <v>0</v>
      </c>
      <c r="I265" s="36"/>
      <c r="J265" s="36"/>
      <c r="K265" s="36"/>
      <c r="L265" s="39"/>
    </row>
    <row r="266" spans="1:19">
      <c r="A266" s="10">
        <v>13</v>
      </c>
      <c r="C266" s="35" t="s">
        <v>13</v>
      </c>
      <c r="D266" s="36" t="s">
        <v>287</v>
      </c>
      <c r="E266" s="59">
        <f>'Workpapers (Page 8)'!E8*1000</f>
        <v>1569640</v>
      </c>
      <c r="F266" s="116">
        <f>+J251</f>
        <v>1</v>
      </c>
      <c r="G266" s="116"/>
      <c r="H266" s="36">
        <f>E266*F266</f>
        <v>1569640</v>
      </c>
      <c r="I266" s="36"/>
      <c r="J266" s="36"/>
      <c r="K266" s="36"/>
      <c r="L266" s="39"/>
    </row>
    <row r="267" spans="1:19">
      <c r="A267" s="10">
        <v>14</v>
      </c>
      <c r="C267" s="35" t="s">
        <v>269</v>
      </c>
      <c r="D267" s="36" t="s">
        <v>288</v>
      </c>
      <c r="E267" s="59">
        <f>'Workpapers (Page 8)'!E9*1000</f>
        <v>4473212</v>
      </c>
      <c r="F267" s="116">
        <v>0</v>
      </c>
      <c r="G267" s="116"/>
      <c r="H267" s="36">
        <f>E267*F267</f>
        <v>0</v>
      </c>
      <c r="I267" s="36"/>
      <c r="J267" s="117" t="s">
        <v>276</v>
      </c>
      <c r="K267" s="36"/>
      <c r="L267" s="39"/>
    </row>
    <row r="268" spans="1:19" ht="16.5" thickBot="1">
      <c r="A268" s="10">
        <v>15</v>
      </c>
      <c r="C268" s="35" t="s">
        <v>127</v>
      </c>
      <c r="D268" s="36" t="s">
        <v>289</v>
      </c>
      <c r="E268" s="84">
        <f>'Workpapers (Page 8)'!E10*1000</f>
        <v>2079576</v>
      </c>
      <c r="F268" s="116">
        <v>0</v>
      </c>
      <c r="G268" s="116"/>
      <c r="H268" s="60">
        <f>E268*F268</f>
        <v>0</v>
      </c>
      <c r="I268" s="36"/>
      <c r="J268" s="53" t="s">
        <v>128</v>
      </c>
      <c r="K268" s="36"/>
      <c r="L268" s="39"/>
    </row>
    <row r="269" spans="1:19">
      <c r="A269" s="10">
        <v>16</v>
      </c>
      <c r="C269" s="35" t="s">
        <v>67</v>
      </c>
      <c r="D269" s="36"/>
      <c r="E269" s="36">
        <f>SUM(E265:E268)</f>
        <v>20420497</v>
      </c>
      <c r="F269" s="36"/>
      <c r="G269" s="36"/>
      <c r="H269" s="36">
        <f>SUM(H265:H268)</f>
        <v>1569640</v>
      </c>
      <c r="I269" s="74" t="s">
        <v>129</v>
      </c>
      <c r="J269" s="83">
        <f>IF(H269&gt;0,H269/E269,0)</f>
        <v>7.6865905859196282E-2</v>
      </c>
      <c r="K269" s="114" t="s">
        <v>129</v>
      </c>
      <c r="L269" s="39" t="s">
        <v>68</v>
      </c>
    </row>
    <row r="270" spans="1:19">
      <c r="A270" s="10"/>
      <c r="C270" s="35"/>
      <c r="D270" s="36"/>
      <c r="E270" s="36"/>
      <c r="F270" s="36"/>
      <c r="G270" s="36"/>
      <c r="H270" s="36"/>
      <c r="I270" s="36"/>
      <c r="J270" s="36"/>
      <c r="K270" s="36"/>
      <c r="L270" s="39"/>
    </row>
    <row r="271" spans="1:19">
      <c r="A271" s="10"/>
      <c r="C271" s="35" t="s">
        <v>95</v>
      </c>
      <c r="D271" s="36"/>
      <c r="E271" s="36"/>
      <c r="F271" s="36"/>
      <c r="G271" s="36"/>
      <c r="H271" s="36"/>
      <c r="I271" s="36"/>
      <c r="J271" s="36"/>
      <c r="K271" s="36"/>
      <c r="L271" s="39"/>
    </row>
    <row r="272" spans="1:19">
      <c r="A272" s="10"/>
      <c r="C272" s="35"/>
      <c r="D272" s="36"/>
      <c r="E272" s="78" t="s">
        <v>274</v>
      </c>
      <c r="F272" s="36"/>
      <c r="G272" s="36"/>
      <c r="H272" s="114" t="s">
        <v>130</v>
      </c>
      <c r="I272" s="96" t="s">
        <v>279</v>
      </c>
      <c r="J272" s="38" t="str">
        <f>+J267</f>
        <v>W&amp;S Allocator</v>
      </c>
    </row>
    <row r="273" spans="1:19">
      <c r="A273" s="10">
        <v>17</v>
      </c>
      <c r="C273" s="35" t="s">
        <v>131</v>
      </c>
      <c r="D273" s="36" t="s">
        <v>69</v>
      </c>
      <c r="E273" s="59">
        <f>'Workpapers (Page 8)'!E14*1000000</f>
        <v>2089682773</v>
      </c>
      <c r="F273" s="36"/>
      <c r="H273" s="10" t="s">
        <v>96</v>
      </c>
      <c r="I273" s="118"/>
      <c r="J273" s="10" t="s">
        <v>97</v>
      </c>
      <c r="K273" s="36"/>
      <c r="L273" s="77" t="s">
        <v>192</v>
      </c>
    </row>
    <row r="274" spans="1:19">
      <c r="A274" s="10">
        <v>18</v>
      </c>
      <c r="C274" s="35" t="s">
        <v>132</v>
      </c>
      <c r="D274" s="36" t="s">
        <v>147</v>
      </c>
      <c r="E274" s="59">
        <f>'Workpapers (Page 8)'!E15*1000000</f>
        <v>251161394</v>
      </c>
      <c r="F274" s="36"/>
      <c r="H274" s="57">
        <f>IF(E276&gt;0,E273/E276,0)</f>
        <v>0.89270477824165217</v>
      </c>
      <c r="I274" s="114" t="s">
        <v>133</v>
      </c>
      <c r="J274" s="57">
        <f>J269</f>
        <v>7.6865905859196282E-2</v>
      </c>
      <c r="K274" s="96" t="s">
        <v>129</v>
      </c>
      <c r="L274" s="119">
        <f>J274*H274</f>
        <v>6.8618561444377529E-2</v>
      </c>
    </row>
    <row r="275" spans="1:19" ht="16.5" thickBot="1">
      <c r="A275" s="10">
        <v>19</v>
      </c>
      <c r="C275" s="120" t="s">
        <v>134</v>
      </c>
      <c r="D275" s="60" t="s">
        <v>148</v>
      </c>
      <c r="E275" s="84">
        <v>0</v>
      </c>
      <c r="F275" s="36"/>
      <c r="G275" s="36"/>
      <c r="H275" s="36" t="s">
        <v>279</v>
      </c>
      <c r="I275" s="36"/>
      <c r="J275" s="36"/>
      <c r="K275" s="36"/>
      <c r="L275" s="39"/>
    </row>
    <row r="276" spans="1:19">
      <c r="A276" s="10">
        <v>20</v>
      </c>
      <c r="C276" s="35" t="s">
        <v>319</v>
      </c>
      <c r="D276" s="36"/>
      <c r="E276" s="36">
        <f>E273+E274+E275</f>
        <v>2340844167</v>
      </c>
      <c r="F276" s="36"/>
      <c r="G276" s="36"/>
      <c r="H276" s="36"/>
      <c r="I276" s="36"/>
      <c r="J276" s="36"/>
      <c r="K276" s="36"/>
      <c r="L276" s="39"/>
    </row>
    <row r="277" spans="1:19">
      <c r="A277" s="10"/>
      <c r="C277" s="35"/>
      <c r="D277" s="36"/>
      <c r="F277" s="36"/>
      <c r="G277" s="36"/>
      <c r="H277" s="36"/>
      <c r="I277" s="36"/>
      <c r="J277" s="36"/>
      <c r="K277" s="36"/>
      <c r="L277" s="39"/>
    </row>
    <row r="278" spans="1:19" ht="16.5" thickBot="1">
      <c r="A278" s="10"/>
      <c r="B278" s="46"/>
      <c r="C278" s="34" t="s">
        <v>98</v>
      </c>
      <c r="D278" s="36"/>
      <c r="E278" s="36"/>
      <c r="F278" s="36"/>
      <c r="G278" s="36"/>
      <c r="H278" s="36"/>
      <c r="I278" s="36"/>
      <c r="J278" s="115" t="s">
        <v>274</v>
      </c>
      <c r="K278" s="36"/>
      <c r="L278" s="39"/>
      <c r="N278" s="9"/>
      <c r="O278" s="5"/>
      <c r="P278" s="8"/>
      <c r="Q278" s="9"/>
      <c r="R278" s="5"/>
      <c r="S278" s="5"/>
    </row>
    <row r="279" spans="1:19">
      <c r="A279" s="10">
        <v>21</v>
      </c>
      <c r="B279" s="46"/>
      <c r="C279" s="46"/>
      <c r="D279" s="36" t="s">
        <v>3</v>
      </c>
      <c r="E279" s="36"/>
      <c r="F279" s="36"/>
      <c r="G279" s="36"/>
      <c r="H279" s="36"/>
      <c r="I279" s="36"/>
      <c r="J279" s="121">
        <f>'Workpapers (Page 9)'!E7*1000</f>
        <v>31884082</v>
      </c>
      <c r="K279" s="36"/>
      <c r="L279" s="39"/>
      <c r="N279" s="9"/>
      <c r="O279" s="5"/>
      <c r="P279" s="8"/>
      <c r="Q279" s="9"/>
      <c r="R279" s="5"/>
      <c r="S279" s="5"/>
    </row>
    <row r="280" spans="1:19">
      <c r="A280" s="10"/>
      <c r="C280" s="35"/>
      <c r="D280" s="36"/>
      <c r="E280" s="36"/>
      <c r="F280" s="36"/>
      <c r="G280" s="36"/>
      <c r="H280" s="36"/>
      <c r="I280" s="36"/>
      <c r="J280" s="36"/>
      <c r="K280" s="36"/>
      <c r="L280" s="39"/>
    </row>
    <row r="281" spans="1:19">
      <c r="A281" s="10">
        <v>22</v>
      </c>
      <c r="B281" s="46"/>
      <c r="C281" s="34"/>
      <c r="D281" s="36" t="s">
        <v>250</v>
      </c>
      <c r="E281" s="36"/>
      <c r="F281" s="36"/>
      <c r="G281" s="36"/>
      <c r="H281" s="36"/>
      <c r="I281" s="39"/>
      <c r="J281" s="122">
        <v>0</v>
      </c>
      <c r="K281" s="36"/>
      <c r="L281" s="39"/>
    </row>
    <row r="282" spans="1:19">
      <c r="A282" s="10"/>
      <c r="B282" s="46"/>
      <c r="C282" s="34"/>
      <c r="D282" s="36"/>
      <c r="E282" s="36"/>
      <c r="F282" s="36"/>
      <c r="G282" s="36"/>
      <c r="H282" s="36"/>
      <c r="I282" s="36"/>
      <c r="J282" s="36"/>
      <c r="K282" s="36"/>
      <c r="L282" s="39"/>
    </row>
    <row r="283" spans="1:19">
      <c r="A283" s="10"/>
      <c r="B283" s="46"/>
      <c r="C283" s="34" t="s">
        <v>30</v>
      </c>
      <c r="D283" s="36"/>
      <c r="E283" s="36"/>
      <c r="F283" s="36"/>
      <c r="G283" s="36"/>
      <c r="H283" s="36"/>
      <c r="I283" s="36"/>
      <c r="J283" s="36"/>
      <c r="K283" s="36"/>
      <c r="L283" s="39"/>
    </row>
    <row r="284" spans="1:19">
      <c r="A284" s="10">
        <v>23</v>
      </c>
      <c r="B284" s="46"/>
      <c r="C284" s="34"/>
      <c r="D284" s="36" t="s">
        <v>45</v>
      </c>
      <c r="E284" s="46"/>
      <c r="F284" s="36"/>
      <c r="G284" s="36"/>
      <c r="H284" s="36"/>
      <c r="I284" s="36"/>
      <c r="J284" s="59">
        <f>'Workpapers (Page 9)'!E13*1000</f>
        <v>782899038</v>
      </c>
      <c r="K284" s="36"/>
      <c r="L284" s="39"/>
    </row>
    <row r="285" spans="1:19">
      <c r="A285" s="10">
        <v>24</v>
      </c>
      <c r="B285" s="46"/>
      <c r="C285" s="34"/>
      <c r="D285" s="36" t="s">
        <v>31</v>
      </c>
      <c r="E285" s="36"/>
      <c r="F285" s="36"/>
      <c r="G285" s="36"/>
      <c r="H285" s="36"/>
      <c r="I285" s="36"/>
      <c r="J285" s="123">
        <f>-E291</f>
        <v>0</v>
      </c>
      <c r="K285" s="36"/>
      <c r="L285" s="39"/>
    </row>
    <row r="286" spans="1:19" ht="16.5" thickBot="1">
      <c r="A286" s="10">
        <v>25</v>
      </c>
      <c r="B286" s="46"/>
      <c r="C286" s="34"/>
      <c r="D286" s="36" t="s">
        <v>4</v>
      </c>
      <c r="E286" s="36"/>
      <c r="F286" s="36"/>
      <c r="G286" s="36"/>
      <c r="H286" s="36"/>
      <c r="I286" s="36"/>
      <c r="J286" s="84">
        <v>0</v>
      </c>
      <c r="K286" s="36"/>
      <c r="L286" s="39"/>
    </row>
    <row r="287" spans="1:19">
      <c r="A287" s="10">
        <v>26</v>
      </c>
      <c r="B287" s="46"/>
      <c r="C287" s="46"/>
      <c r="D287" s="36" t="s">
        <v>32</v>
      </c>
      <c r="E287" s="46" t="s">
        <v>33</v>
      </c>
      <c r="F287" s="46"/>
      <c r="G287" s="46"/>
      <c r="H287" s="46"/>
      <c r="I287" s="46"/>
      <c r="J287" s="36">
        <f>+J284+J285+J286</f>
        <v>782899038</v>
      </c>
      <c r="K287" s="36"/>
      <c r="L287" s="39"/>
    </row>
    <row r="288" spans="1:19">
      <c r="A288" s="10"/>
      <c r="C288" s="35"/>
      <c r="D288" s="36"/>
      <c r="E288" s="36"/>
      <c r="F288" s="36"/>
      <c r="G288" s="36"/>
      <c r="H288" s="114" t="s">
        <v>99</v>
      </c>
      <c r="I288" s="36"/>
      <c r="J288" s="36"/>
      <c r="K288" s="36"/>
      <c r="L288" s="39"/>
    </row>
    <row r="289" spans="1:15" ht="16.5" thickBot="1">
      <c r="A289" s="10"/>
      <c r="C289" s="35"/>
      <c r="D289" s="36"/>
      <c r="E289" s="53" t="s">
        <v>274</v>
      </c>
      <c r="F289" s="53" t="s">
        <v>27</v>
      </c>
      <c r="G289" s="36"/>
      <c r="H289" s="53" t="s">
        <v>100</v>
      </c>
      <c r="I289" s="36"/>
      <c r="J289" s="53" t="s">
        <v>101</v>
      </c>
      <c r="K289" s="36"/>
      <c r="L289" s="39"/>
    </row>
    <row r="290" spans="1:15">
      <c r="A290" s="10">
        <v>27</v>
      </c>
      <c r="C290" s="34" t="s">
        <v>290</v>
      </c>
      <c r="E290" s="59">
        <f>'Workpapers (Page 9)'!E6*1000</f>
        <v>607875803</v>
      </c>
      <c r="F290" s="124">
        <f>IF($E$293&gt;0,E290/$E$293,0)</f>
        <v>0.43707707752530445</v>
      </c>
      <c r="G290" s="125"/>
      <c r="H290" s="125">
        <f>IF(E290&gt;0,J279/E290,0)</f>
        <v>5.2451638710810801E-2</v>
      </c>
      <c r="J290" s="125">
        <f>H290*F290</f>
        <v>2.2925408959134311E-2</v>
      </c>
      <c r="K290" s="126" t="s">
        <v>102</v>
      </c>
    </row>
    <row r="291" spans="1:15">
      <c r="A291" s="10">
        <v>28</v>
      </c>
      <c r="C291" s="34" t="s">
        <v>164</v>
      </c>
      <c r="E291" s="59">
        <v>0</v>
      </c>
      <c r="F291" s="124">
        <f>IF($E$293&gt;0,E291/$E$293,0)</f>
        <v>0</v>
      </c>
      <c r="G291" s="125"/>
      <c r="H291" s="125">
        <f>IF(E291&gt;0,J281/E291,0)</f>
        <v>0</v>
      </c>
      <c r="J291" s="125">
        <f>H291*F291</f>
        <v>0</v>
      </c>
      <c r="K291" s="36"/>
    </row>
    <row r="292" spans="1:15" ht="16.5" thickBot="1">
      <c r="A292" s="10">
        <v>29</v>
      </c>
      <c r="C292" s="34" t="s">
        <v>34</v>
      </c>
      <c r="E292" s="60">
        <f>J287</f>
        <v>782899038</v>
      </c>
      <c r="F292" s="124">
        <f>IF($E$293&gt;0,E292/$E$293,0)</f>
        <v>0.56292292247469555</v>
      </c>
      <c r="G292" s="125"/>
      <c r="H292" s="127">
        <v>0.12379999999999999</v>
      </c>
      <c r="J292" s="128">
        <f>H292*F292</f>
        <v>6.9689857802367305E-2</v>
      </c>
      <c r="K292" s="36"/>
    </row>
    <row r="293" spans="1:15">
      <c r="A293" s="10">
        <v>30</v>
      </c>
      <c r="C293" s="35" t="s">
        <v>35</v>
      </c>
      <c r="E293" s="36">
        <f>E292+E291+E290</f>
        <v>1390774841</v>
      </c>
      <c r="F293" s="36" t="s">
        <v>279</v>
      </c>
      <c r="G293" s="36"/>
      <c r="H293" s="36"/>
      <c r="I293" s="36"/>
      <c r="J293" s="125">
        <f>SUM(J290:J292)</f>
        <v>9.2615266761501613E-2</v>
      </c>
      <c r="K293" s="126" t="s">
        <v>103</v>
      </c>
    </row>
    <row r="294" spans="1:15">
      <c r="F294" s="36"/>
      <c r="G294" s="36"/>
      <c r="H294" s="36"/>
      <c r="I294" s="36"/>
    </row>
    <row r="295" spans="1:15">
      <c r="A295" s="10"/>
      <c r="L295" s="39"/>
    </row>
    <row r="296" spans="1:15">
      <c r="A296" s="10"/>
      <c r="C296" s="34" t="s">
        <v>135</v>
      </c>
      <c r="D296" s="46"/>
      <c r="E296" s="46"/>
      <c r="F296" s="46"/>
      <c r="G296" s="46"/>
      <c r="H296" s="46"/>
      <c r="I296" s="46"/>
      <c r="J296" s="46"/>
      <c r="K296" s="46"/>
      <c r="L296" s="63"/>
    </row>
    <row r="297" spans="1:15" ht="16.5" thickBot="1">
      <c r="A297" s="10"/>
      <c r="C297" s="34"/>
      <c r="D297" s="34"/>
      <c r="E297" s="34"/>
      <c r="F297" s="34"/>
      <c r="G297" s="34"/>
      <c r="H297" s="34"/>
      <c r="I297" s="34"/>
      <c r="J297" s="53" t="s">
        <v>136</v>
      </c>
      <c r="K297" s="129"/>
    </row>
    <row r="298" spans="1:15">
      <c r="A298" s="10"/>
      <c r="C298" s="34" t="s">
        <v>137</v>
      </c>
      <c r="D298" s="46"/>
      <c r="E298" s="46" t="s">
        <v>36</v>
      </c>
      <c r="F298" s="46" t="s">
        <v>225</v>
      </c>
      <c r="G298" s="46"/>
      <c r="H298" s="130" t="s">
        <v>279</v>
      </c>
      <c r="I298" s="131"/>
      <c r="J298" s="132"/>
      <c r="K298" s="132"/>
    </row>
    <row r="299" spans="1:15">
      <c r="A299" s="10">
        <v>31</v>
      </c>
      <c r="C299" s="21" t="s">
        <v>37</v>
      </c>
      <c r="D299" s="46"/>
      <c r="E299" s="46"/>
      <c r="G299" s="46"/>
      <c r="I299" s="131"/>
      <c r="J299" s="133">
        <v>0</v>
      </c>
      <c r="K299" s="134"/>
    </row>
    <row r="300" spans="1:15" ht="16.5" thickBot="1">
      <c r="A300" s="10">
        <v>32</v>
      </c>
      <c r="C300" s="87" t="s">
        <v>314</v>
      </c>
      <c r="D300" s="135"/>
      <c r="E300" s="87"/>
      <c r="F300" s="136"/>
      <c r="G300" s="136"/>
      <c r="H300" s="136"/>
      <c r="I300" s="46"/>
      <c r="J300" s="137">
        <v>0</v>
      </c>
      <c r="K300" s="138"/>
    </row>
    <row r="301" spans="1:15">
      <c r="A301" s="10">
        <v>33</v>
      </c>
      <c r="C301" s="21" t="s">
        <v>138</v>
      </c>
      <c r="D301" s="47"/>
      <c r="F301" s="46"/>
      <c r="G301" s="46"/>
      <c r="H301" s="46"/>
      <c r="I301" s="46"/>
      <c r="J301" s="139">
        <f>+J299-J300</f>
        <v>0</v>
      </c>
      <c r="K301" s="134"/>
      <c r="N301" s="33"/>
      <c r="O301" s="33"/>
    </row>
    <row r="302" spans="1:15">
      <c r="A302" s="10"/>
      <c r="C302" s="21" t="s">
        <v>279</v>
      </c>
      <c r="D302" s="47"/>
      <c r="F302" s="46"/>
      <c r="G302" s="46"/>
      <c r="H302" s="72"/>
      <c r="I302" s="46"/>
      <c r="J302" s="140" t="s">
        <v>279</v>
      </c>
      <c r="K302" s="132"/>
      <c r="L302" s="141"/>
      <c r="N302" s="33"/>
      <c r="O302" s="33"/>
    </row>
    <row r="303" spans="1:15">
      <c r="A303" s="10">
        <v>34</v>
      </c>
      <c r="C303" s="34" t="s">
        <v>104</v>
      </c>
      <c r="D303" s="47"/>
      <c r="F303" s="46"/>
      <c r="G303" s="46"/>
      <c r="H303" s="142"/>
      <c r="I303" s="46"/>
      <c r="J303" s="143">
        <v>0</v>
      </c>
      <c r="K303" s="132"/>
      <c r="L303" s="141"/>
      <c r="N303" s="13" t="s">
        <v>165</v>
      </c>
      <c r="O303" s="33"/>
    </row>
    <row r="304" spans="1:15">
      <c r="A304" s="10"/>
      <c r="D304" s="46"/>
      <c r="E304" s="46"/>
      <c r="F304" s="46"/>
      <c r="G304" s="46"/>
      <c r="H304" s="46"/>
      <c r="I304" s="46"/>
      <c r="J304" s="140"/>
      <c r="K304" s="132"/>
      <c r="L304" s="141"/>
      <c r="N304" s="12"/>
      <c r="O304" s="33"/>
    </row>
    <row r="305" spans="1:15">
      <c r="C305" s="34" t="s">
        <v>291</v>
      </c>
      <c r="D305" s="46"/>
      <c r="E305" s="46" t="s">
        <v>315</v>
      </c>
      <c r="F305" s="46"/>
      <c r="G305" s="46"/>
      <c r="H305" s="46"/>
      <c r="I305" s="46"/>
      <c r="L305" s="144"/>
      <c r="N305" s="12"/>
      <c r="O305" s="33"/>
    </row>
    <row r="306" spans="1:15">
      <c r="A306" s="10">
        <v>35</v>
      </c>
      <c r="C306" s="34" t="s">
        <v>139</v>
      </c>
      <c r="D306" s="36"/>
      <c r="E306" s="36"/>
      <c r="F306" s="36"/>
      <c r="G306" s="36"/>
      <c r="H306" s="36"/>
      <c r="I306" s="36"/>
      <c r="J306" s="145">
        <f>+'Workpapers (Page 11)'!C12+'Workpapers (Page 11)'!C15+'Workpapers (Page 11)'!C16+'Workpapers (Page 11)'!C17</f>
        <v>29898555</v>
      </c>
      <c r="K306" s="146"/>
      <c r="L306" s="144"/>
      <c r="N306" s="13" t="s">
        <v>166</v>
      </c>
      <c r="O306" s="33"/>
    </row>
    <row r="307" spans="1:15">
      <c r="A307" s="10">
        <v>36</v>
      </c>
      <c r="C307" s="165" t="s">
        <v>316</v>
      </c>
      <c r="D307" s="166"/>
      <c r="E307" s="166"/>
      <c r="F307" s="166"/>
      <c r="G307" s="166"/>
      <c r="H307" s="46"/>
      <c r="I307" s="46"/>
      <c r="J307" s="145">
        <f>+'Workpapers (Page 11)'!C23+'Workpapers (Page 11)'!C15+'Workpapers (Page 11)'!C16+'Workpapers (Page 11)'!C17</f>
        <v>4663712</v>
      </c>
      <c r="L307" s="147"/>
      <c r="N307" s="13" t="s">
        <v>167</v>
      </c>
      <c r="O307" s="33"/>
    </row>
    <row r="308" spans="1:15">
      <c r="A308" s="10" t="s">
        <v>374</v>
      </c>
      <c r="C308" s="165" t="s">
        <v>510</v>
      </c>
      <c r="D308" s="166"/>
      <c r="E308" s="166"/>
      <c r="F308" s="166"/>
      <c r="G308" s="166"/>
      <c r="H308" s="46"/>
      <c r="I308" s="46"/>
      <c r="J308" s="145">
        <f>'Workpapers (Page 11)'!C26</f>
        <v>22351787</v>
      </c>
      <c r="L308" s="147"/>
      <c r="N308" s="13"/>
      <c r="O308" s="33"/>
    </row>
    <row r="309" spans="1:15" s="131" customFormat="1" ht="16.5" thickBot="1">
      <c r="A309" s="10" t="s">
        <v>391</v>
      </c>
      <c r="B309" s="21"/>
      <c r="C309" s="183" t="s">
        <v>392</v>
      </c>
      <c r="D309" s="184"/>
      <c r="E309" s="184"/>
      <c r="F309" s="184"/>
      <c r="G309" s="184"/>
      <c r="H309" s="184"/>
      <c r="I309" s="46"/>
      <c r="J309" s="185">
        <v>0</v>
      </c>
      <c r="L309" s="167"/>
      <c r="N309" s="168"/>
      <c r="O309" s="169"/>
    </row>
    <row r="310" spans="1:15">
      <c r="A310" s="10">
        <v>37</v>
      </c>
      <c r="C310" s="21" t="s">
        <v>393</v>
      </c>
      <c r="D310" s="10"/>
      <c r="E310" s="36"/>
      <c r="F310" s="36"/>
      <c r="G310" s="36"/>
      <c r="H310" s="36"/>
      <c r="I310" s="46"/>
      <c r="J310" s="149">
        <f>+J306-J309-J308-J307</f>
        <v>2883056</v>
      </c>
      <c r="K310" s="146"/>
      <c r="L310" s="150"/>
      <c r="N310" s="33"/>
      <c r="O310" s="33"/>
    </row>
    <row r="311" spans="1:15">
      <c r="A311" s="10"/>
      <c r="C311" s="148"/>
      <c r="D311" s="10"/>
      <c r="E311" s="36"/>
      <c r="F311" s="36"/>
      <c r="G311" s="36"/>
      <c r="H311" s="36"/>
      <c r="I311" s="46"/>
      <c r="J311" s="149"/>
      <c r="K311" s="146"/>
      <c r="L311" s="150"/>
      <c r="N311" s="33"/>
      <c r="O311" s="33"/>
    </row>
    <row r="312" spans="1:15">
      <c r="A312" s="10"/>
      <c r="C312" s="148"/>
      <c r="D312" s="10"/>
      <c r="E312" s="36"/>
      <c r="F312" s="36"/>
      <c r="G312" s="36"/>
      <c r="H312" s="36"/>
      <c r="I312" s="46"/>
      <c r="J312" s="149"/>
      <c r="K312" s="146"/>
      <c r="L312" s="150"/>
      <c r="N312" s="33"/>
      <c r="O312" s="33"/>
    </row>
    <row r="313" spans="1:15">
      <c r="C313" s="34"/>
      <c r="D313" s="34"/>
      <c r="E313" s="45"/>
      <c r="F313" s="34"/>
      <c r="G313" s="34"/>
      <c r="H313" s="34"/>
      <c r="I313" s="46"/>
      <c r="J313" s="46"/>
      <c r="K313" s="47"/>
      <c r="L313" s="48" t="s">
        <v>317</v>
      </c>
    </row>
    <row r="314" spans="1:15">
      <c r="C314" s="34"/>
      <c r="D314" s="34"/>
      <c r="E314" s="45"/>
      <c r="F314" s="34"/>
      <c r="G314" s="34"/>
      <c r="H314" s="34"/>
      <c r="I314" s="46"/>
      <c r="J314" s="46"/>
      <c r="K314" s="47"/>
      <c r="L314" s="48"/>
    </row>
    <row r="315" spans="1:15">
      <c r="C315" s="34" t="s">
        <v>209</v>
      </c>
      <c r="D315" s="34"/>
      <c r="E315" s="45" t="s">
        <v>278</v>
      </c>
      <c r="F315" s="34"/>
      <c r="G315" s="34"/>
      <c r="H315" s="34"/>
      <c r="I315" s="46"/>
      <c r="J315" s="50" t="str">
        <f>J3</f>
        <v>For the 12 months ended 12/31/13</v>
      </c>
      <c r="K315" s="51"/>
      <c r="L315" s="51"/>
    </row>
    <row r="316" spans="1:15">
      <c r="C316" s="34"/>
      <c r="D316" s="36" t="s">
        <v>279</v>
      </c>
      <c r="E316" s="36" t="s">
        <v>234</v>
      </c>
      <c r="F316" s="36"/>
      <c r="G316" s="36"/>
      <c r="H316" s="36"/>
      <c r="I316" s="46"/>
      <c r="J316" s="46"/>
      <c r="K316" s="47"/>
      <c r="L316" s="49"/>
    </row>
    <row r="317" spans="1:15">
      <c r="A317" s="10"/>
      <c r="B317" s="46"/>
      <c r="C317" s="148"/>
      <c r="D317" s="10"/>
      <c r="E317" s="36"/>
      <c r="F317" s="36"/>
      <c r="G317" s="36"/>
      <c r="H317" s="36"/>
      <c r="I317" s="46"/>
      <c r="J317" s="151"/>
      <c r="K317" s="132"/>
      <c r="L317" s="150"/>
    </row>
    <row r="318" spans="1:15">
      <c r="A318" s="10"/>
      <c r="B318" s="46"/>
      <c r="C318" s="148"/>
      <c r="D318" s="10"/>
      <c r="E318" s="157" t="str">
        <f>E6</f>
        <v>VECTREN</v>
      </c>
      <c r="F318" s="36"/>
      <c r="G318" s="36"/>
      <c r="H318" s="36"/>
      <c r="I318" s="46"/>
      <c r="J318" s="151"/>
      <c r="K318" s="132"/>
      <c r="L318" s="150"/>
    </row>
    <row r="319" spans="1:15">
      <c r="A319" s="10"/>
      <c r="B319" s="46"/>
      <c r="C319" s="148"/>
      <c r="D319" s="10"/>
      <c r="E319" s="36"/>
      <c r="F319" s="36"/>
      <c r="G319" s="36"/>
      <c r="H319" s="36"/>
      <c r="I319" s="46"/>
      <c r="J319" s="151"/>
      <c r="K319" s="132"/>
      <c r="L319" s="150"/>
    </row>
    <row r="320" spans="1:15">
      <c r="A320" s="10"/>
      <c r="B320" s="46"/>
      <c r="C320" s="34" t="s">
        <v>197</v>
      </c>
      <c r="D320" s="10"/>
      <c r="E320" s="36"/>
      <c r="F320" s="36"/>
      <c r="G320" s="36"/>
      <c r="H320" s="36"/>
      <c r="I320" s="46"/>
      <c r="J320" s="36"/>
      <c r="K320" s="46"/>
      <c r="L320" s="39"/>
    </row>
    <row r="321" spans="1:12">
      <c r="A321" s="10"/>
      <c r="B321" s="46"/>
      <c r="C321" s="34" t="s">
        <v>2</v>
      </c>
      <c r="D321" s="10"/>
      <c r="E321" s="36"/>
      <c r="F321" s="36"/>
      <c r="G321" s="36"/>
      <c r="H321" s="36"/>
      <c r="I321" s="46"/>
      <c r="J321" s="36"/>
      <c r="K321" s="46"/>
      <c r="L321" s="39"/>
    </row>
    <row r="322" spans="1:12">
      <c r="A322" s="10" t="s">
        <v>18</v>
      </c>
      <c r="B322" s="46"/>
      <c r="C322" s="34"/>
      <c r="D322" s="46"/>
      <c r="E322" s="36"/>
      <c r="F322" s="36"/>
      <c r="G322" s="36"/>
      <c r="H322" s="36"/>
      <c r="I322" s="46"/>
      <c r="J322" s="36"/>
      <c r="K322" s="46"/>
      <c r="L322" s="39"/>
    </row>
    <row r="323" spans="1:12" ht="16.5" thickBot="1">
      <c r="A323" s="53" t="s">
        <v>19</v>
      </c>
      <c r="B323" s="46"/>
      <c r="C323" s="34"/>
      <c r="D323" s="46"/>
      <c r="E323" s="36"/>
      <c r="F323" s="36"/>
      <c r="G323" s="36"/>
      <c r="H323" s="36"/>
      <c r="I323" s="46"/>
      <c r="J323" s="36"/>
      <c r="K323" s="46"/>
      <c r="L323" s="39"/>
    </row>
    <row r="324" spans="1:12">
      <c r="A324" s="10" t="s">
        <v>20</v>
      </c>
      <c r="B324" s="46"/>
      <c r="C324" s="104" t="s">
        <v>384</v>
      </c>
      <c r="D324" s="63"/>
      <c r="E324" s="39"/>
      <c r="F324" s="39"/>
      <c r="G324" s="39"/>
      <c r="H324" s="39"/>
      <c r="I324" s="63"/>
      <c r="J324" s="39"/>
      <c r="K324" s="63"/>
      <c r="L324" s="39"/>
    </row>
    <row r="325" spans="1:12">
      <c r="A325" s="10" t="s">
        <v>21</v>
      </c>
      <c r="B325" s="46"/>
      <c r="C325" s="104" t="s">
        <v>385</v>
      </c>
      <c r="D325" s="63"/>
      <c r="E325" s="39"/>
      <c r="F325" s="39"/>
      <c r="G325" s="39"/>
      <c r="H325" s="39"/>
      <c r="I325" s="63"/>
      <c r="J325" s="39"/>
      <c r="K325" s="63"/>
      <c r="L325" s="39"/>
    </row>
    <row r="326" spans="1:12">
      <c r="A326" s="10" t="s">
        <v>42</v>
      </c>
      <c r="B326" s="46"/>
      <c r="C326" s="104" t="s">
        <v>386</v>
      </c>
      <c r="D326" s="63"/>
      <c r="E326" s="63"/>
      <c r="F326" s="63"/>
      <c r="G326" s="63"/>
      <c r="H326" s="63"/>
      <c r="I326" s="63"/>
      <c r="J326" s="39"/>
      <c r="K326" s="63"/>
      <c r="L326" s="63"/>
    </row>
    <row r="327" spans="1:12">
      <c r="A327" s="10" t="s">
        <v>43</v>
      </c>
      <c r="B327" s="46"/>
      <c r="C327" s="104" t="s">
        <v>386</v>
      </c>
      <c r="D327" s="63"/>
      <c r="E327" s="63"/>
      <c r="F327" s="63"/>
      <c r="G327" s="63"/>
      <c r="H327" s="63"/>
      <c r="I327" s="63"/>
      <c r="J327" s="39"/>
      <c r="K327" s="63"/>
      <c r="L327" s="63"/>
    </row>
    <row r="328" spans="1:12">
      <c r="A328" s="10" t="s">
        <v>44</v>
      </c>
      <c r="B328" s="46"/>
      <c r="C328" s="63" t="s">
        <v>256</v>
      </c>
      <c r="D328" s="63"/>
      <c r="E328" s="63"/>
      <c r="F328" s="63"/>
      <c r="G328" s="63"/>
      <c r="H328" s="63"/>
      <c r="I328" s="63"/>
      <c r="J328" s="63"/>
      <c r="K328" s="63"/>
      <c r="L328" s="63"/>
    </row>
    <row r="329" spans="1:12">
      <c r="A329" s="10" t="s">
        <v>305</v>
      </c>
      <c r="B329" s="46"/>
      <c r="C329" s="63" t="s">
        <v>247</v>
      </c>
      <c r="D329" s="63"/>
      <c r="E329" s="63"/>
      <c r="F329" s="63"/>
      <c r="G329" s="63"/>
      <c r="H329" s="63"/>
      <c r="I329" s="63"/>
      <c r="J329" s="63"/>
      <c r="K329" s="63"/>
      <c r="L329" s="63"/>
    </row>
    <row r="330" spans="1:12">
      <c r="A330" s="10"/>
      <c r="B330" s="46"/>
      <c r="C330" s="63" t="s">
        <v>248</v>
      </c>
      <c r="D330" s="63"/>
      <c r="E330" s="63"/>
      <c r="F330" s="63"/>
      <c r="G330" s="63"/>
      <c r="H330" s="63"/>
      <c r="I330" s="63"/>
      <c r="J330" s="63"/>
      <c r="K330" s="63"/>
      <c r="L330" s="63"/>
    </row>
    <row r="331" spans="1:12">
      <c r="A331" s="10"/>
      <c r="B331" s="46"/>
      <c r="C331" s="63" t="s">
        <v>56</v>
      </c>
      <c r="D331" s="63"/>
      <c r="E331" s="63"/>
      <c r="F331" s="63"/>
      <c r="G331" s="63"/>
      <c r="H331" s="63"/>
      <c r="I331" s="63"/>
      <c r="J331" s="63"/>
      <c r="K331" s="63"/>
      <c r="L331" s="63"/>
    </row>
    <row r="332" spans="1:12">
      <c r="A332" s="10" t="s">
        <v>306</v>
      </c>
      <c r="B332" s="46"/>
      <c r="C332" s="63" t="s">
        <v>23</v>
      </c>
      <c r="D332" s="63"/>
      <c r="E332" s="63"/>
      <c r="F332" s="63"/>
      <c r="G332" s="63"/>
      <c r="H332" s="63"/>
      <c r="I332" s="63"/>
      <c r="J332" s="63"/>
      <c r="K332" s="63"/>
      <c r="L332" s="63"/>
    </row>
    <row r="333" spans="1:12">
      <c r="A333" s="10" t="s">
        <v>313</v>
      </c>
      <c r="B333" s="46"/>
      <c r="C333" s="63" t="s">
        <v>93</v>
      </c>
      <c r="D333" s="63"/>
      <c r="E333" s="63"/>
      <c r="F333" s="63"/>
      <c r="G333" s="63"/>
      <c r="H333" s="63"/>
      <c r="I333" s="63"/>
      <c r="J333" s="63"/>
      <c r="K333" s="63"/>
      <c r="L333" s="63"/>
    </row>
    <row r="334" spans="1:12">
      <c r="A334" s="10"/>
      <c r="B334" s="46"/>
      <c r="C334" s="63" t="s">
        <v>46</v>
      </c>
      <c r="D334" s="63"/>
      <c r="E334" s="63"/>
      <c r="F334" s="63"/>
      <c r="G334" s="63"/>
      <c r="H334" s="63"/>
      <c r="I334" s="63"/>
      <c r="J334" s="63"/>
      <c r="K334" s="63"/>
      <c r="L334" s="63"/>
    </row>
    <row r="335" spans="1:12">
      <c r="A335" s="10" t="s">
        <v>54</v>
      </c>
      <c r="B335" s="46"/>
      <c r="C335" s="63" t="s">
        <v>24</v>
      </c>
      <c r="D335" s="63"/>
      <c r="E335" s="63"/>
      <c r="F335" s="63"/>
      <c r="G335" s="63"/>
      <c r="H335" s="63"/>
      <c r="I335" s="63"/>
      <c r="J335" s="63"/>
      <c r="K335" s="63"/>
      <c r="L335" s="63"/>
    </row>
    <row r="336" spans="1:12">
      <c r="A336" s="10"/>
      <c r="B336" s="46"/>
      <c r="C336" s="42" t="s">
        <v>326</v>
      </c>
      <c r="D336" s="63"/>
      <c r="E336" s="63"/>
      <c r="F336" s="63"/>
      <c r="G336" s="63"/>
      <c r="H336" s="63"/>
      <c r="I336" s="63"/>
      <c r="J336" s="63"/>
      <c r="K336" s="63"/>
      <c r="L336" s="63"/>
    </row>
    <row r="337" spans="1:14">
      <c r="A337" s="10"/>
      <c r="B337" s="46"/>
      <c r="C337" s="63" t="s">
        <v>327</v>
      </c>
      <c r="D337" s="63"/>
      <c r="E337" s="63"/>
      <c r="F337" s="63"/>
      <c r="G337" s="63"/>
      <c r="H337" s="63"/>
      <c r="I337" s="63"/>
      <c r="J337" s="63"/>
      <c r="K337" s="63"/>
      <c r="L337" s="63"/>
    </row>
    <row r="338" spans="1:14">
      <c r="A338" s="10" t="s">
        <v>55</v>
      </c>
      <c r="B338" s="46"/>
      <c r="C338" s="63" t="s">
        <v>53</v>
      </c>
      <c r="D338" s="63"/>
      <c r="E338" s="63"/>
      <c r="F338" s="63"/>
      <c r="G338" s="63"/>
      <c r="H338" s="63"/>
      <c r="I338" s="63"/>
      <c r="J338" s="63"/>
      <c r="K338" s="63"/>
      <c r="L338" s="63"/>
    </row>
    <row r="339" spans="1:14">
      <c r="A339" s="10"/>
      <c r="B339" s="46"/>
      <c r="C339" s="63" t="s">
        <v>254</v>
      </c>
      <c r="D339" s="63"/>
      <c r="E339" s="63"/>
      <c r="F339" s="63"/>
      <c r="G339" s="63"/>
      <c r="H339" s="63"/>
      <c r="I339" s="63"/>
      <c r="J339" s="63"/>
      <c r="K339" s="63"/>
      <c r="L339" s="63"/>
    </row>
    <row r="340" spans="1:14">
      <c r="A340" s="10"/>
      <c r="B340" s="46"/>
      <c r="C340" s="63" t="s">
        <v>255</v>
      </c>
      <c r="D340" s="63"/>
      <c r="E340" s="63"/>
      <c r="F340" s="63"/>
      <c r="G340" s="63"/>
      <c r="H340" s="63"/>
      <c r="I340" s="63"/>
      <c r="J340" s="63"/>
      <c r="K340" s="63"/>
      <c r="L340" s="63"/>
    </row>
    <row r="341" spans="1:14">
      <c r="A341" s="10" t="s">
        <v>87</v>
      </c>
      <c r="B341" s="46"/>
      <c r="C341" s="63" t="s">
        <v>320</v>
      </c>
      <c r="D341" s="63"/>
      <c r="E341" s="63"/>
      <c r="F341" s="63"/>
      <c r="G341" s="63"/>
      <c r="H341" s="63"/>
      <c r="I341" s="63"/>
      <c r="J341" s="63"/>
      <c r="K341" s="63"/>
      <c r="L341" s="63"/>
    </row>
    <row r="342" spans="1:14">
      <c r="A342" s="10"/>
      <c r="B342" s="46"/>
      <c r="C342" s="63" t="s">
        <v>321</v>
      </c>
      <c r="D342" s="63"/>
      <c r="E342" s="63"/>
      <c r="F342" s="63"/>
      <c r="G342" s="63"/>
      <c r="H342" s="63"/>
      <c r="I342" s="63"/>
      <c r="J342" s="63"/>
      <c r="K342" s="63"/>
      <c r="L342" s="63"/>
    </row>
    <row r="343" spans="1:14">
      <c r="A343" s="10"/>
      <c r="B343" s="46"/>
      <c r="C343" s="63" t="s">
        <v>322</v>
      </c>
      <c r="D343" s="63"/>
      <c r="E343" s="63"/>
      <c r="F343" s="63"/>
      <c r="G343" s="63"/>
      <c r="H343" s="63"/>
      <c r="I343" s="63"/>
      <c r="J343" s="63"/>
      <c r="K343" s="63"/>
      <c r="L343" s="63"/>
    </row>
    <row r="344" spans="1:14">
      <c r="A344" s="10"/>
      <c r="B344" s="46"/>
      <c r="C344" s="63" t="s">
        <v>105</v>
      </c>
      <c r="D344" s="63"/>
      <c r="E344" s="63"/>
      <c r="F344" s="63"/>
      <c r="G344" s="63"/>
      <c r="H344" s="63"/>
      <c r="I344" s="63"/>
      <c r="J344" s="63"/>
      <c r="K344" s="63"/>
      <c r="L344" s="63"/>
    </row>
    <row r="345" spans="1:14">
      <c r="A345" s="10"/>
      <c r="B345" s="46"/>
      <c r="C345" s="63" t="s">
        <v>328</v>
      </c>
      <c r="D345" s="63"/>
      <c r="E345" s="63"/>
      <c r="F345" s="63"/>
      <c r="G345" s="63"/>
      <c r="H345" s="63"/>
      <c r="I345" s="63"/>
      <c r="J345" s="63"/>
      <c r="K345" s="63"/>
      <c r="L345" s="63"/>
    </row>
    <row r="346" spans="1:14">
      <c r="A346" s="10"/>
      <c r="B346" s="46"/>
      <c r="C346" s="63" t="s">
        <v>106</v>
      </c>
      <c r="D346" s="63"/>
      <c r="E346" s="63"/>
      <c r="F346" s="63"/>
      <c r="G346" s="63"/>
      <c r="H346" s="63"/>
      <c r="I346" s="63"/>
      <c r="J346" s="63"/>
      <c r="K346" s="63"/>
      <c r="L346" s="63"/>
    </row>
    <row r="347" spans="1:14">
      <c r="A347" s="10" t="s">
        <v>279</v>
      </c>
      <c r="B347" s="46"/>
      <c r="C347" s="63" t="s">
        <v>107</v>
      </c>
      <c r="D347" s="63" t="s">
        <v>108</v>
      </c>
      <c r="E347" s="152">
        <v>0.35</v>
      </c>
      <c r="F347" s="63"/>
      <c r="G347" s="63"/>
      <c r="H347" s="63"/>
      <c r="I347" s="63"/>
      <c r="J347" s="63"/>
      <c r="K347" s="63"/>
      <c r="L347" s="63"/>
    </row>
    <row r="348" spans="1:14">
      <c r="A348" s="10"/>
      <c r="B348" s="46"/>
      <c r="C348" s="63"/>
      <c r="D348" s="63" t="s">
        <v>109</v>
      </c>
      <c r="E348" s="152">
        <v>7.7499999999999999E-2</v>
      </c>
      <c r="F348" s="63" t="s">
        <v>257</v>
      </c>
      <c r="G348" s="63"/>
      <c r="H348" s="63"/>
      <c r="I348" s="63"/>
      <c r="J348" s="63"/>
      <c r="K348" s="63"/>
      <c r="L348" s="63"/>
      <c r="N348" s="14" t="s">
        <v>171</v>
      </c>
    </row>
    <row r="349" spans="1:14">
      <c r="A349" s="10"/>
      <c r="B349" s="46"/>
      <c r="C349" s="63"/>
      <c r="D349" s="63" t="s">
        <v>258</v>
      </c>
      <c r="E349" s="152">
        <v>0</v>
      </c>
      <c r="F349" s="63" t="s">
        <v>259</v>
      </c>
      <c r="G349" s="63"/>
      <c r="H349" s="63"/>
      <c r="I349" s="63"/>
      <c r="J349" s="63"/>
      <c r="K349" s="63"/>
      <c r="L349" s="63"/>
    </row>
    <row r="350" spans="1:14">
      <c r="A350" s="10" t="s">
        <v>88</v>
      </c>
      <c r="B350" s="46"/>
      <c r="C350" s="63" t="s">
        <v>292</v>
      </c>
      <c r="D350" s="63"/>
      <c r="E350" s="63"/>
      <c r="F350" s="63"/>
      <c r="G350" s="63"/>
      <c r="H350" s="63"/>
      <c r="I350" s="63"/>
      <c r="J350" s="153"/>
      <c r="K350" s="153"/>
      <c r="L350" s="63"/>
    </row>
    <row r="351" spans="1:14">
      <c r="A351" s="10" t="s">
        <v>89</v>
      </c>
      <c r="B351" s="46"/>
      <c r="C351" s="63" t="s">
        <v>47</v>
      </c>
      <c r="D351" s="63"/>
      <c r="E351" s="63"/>
      <c r="F351" s="63"/>
      <c r="G351" s="63"/>
      <c r="H351" s="63"/>
      <c r="I351" s="63"/>
      <c r="J351" s="63"/>
      <c r="K351" s="63"/>
      <c r="L351" s="63"/>
    </row>
    <row r="352" spans="1:14">
      <c r="A352" s="10"/>
      <c r="B352" s="46"/>
      <c r="C352" s="63" t="s">
        <v>86</v>
      </c>
      <c r="D352" s="63"/>
      <c r="E352" s="63"/>
      <c r="F352" s="63"/>
      <c r="G352" s="63"/>
      <c r="H352" s="63"/>
      <c r="I352" s="63"/>
      <c r="J352" s="63"/>
      <c r="K352" s="63"/>
      <c r="L352" s="63"/>
    </row>
    <row r="353" spans="1:12">
      <c r="A353" s="10" t="s">
        <v>90</v>
      </c>
      <c r="B353" s="46"/>
      <c r="C353" s="63" t="s">
        <v>307</v>
      </c>
      <c r="D353" s="63"/>
      <c r="E353" s="63"/>
      <c r="F353" s="63"/>
      <c r="G353" s="63"/>
      <c r="H353" s="63"/>
      <c r="I353" s="63"/>
      <c r="J353" s="63"/>
      <c r="K353" s="63"/>
      <c r="L353" s="63"/>
    </row>
    <row r="354" spans="1:12">
      <c r="A354" s="10"/>
      <c r="B354" s="46"/>
      <c r="C354" s="63" t="s">
        <v>126</v>
      </c>
      <c r="D354" s="63"/>
      <c r="E354" s="63"/>
      <c r="F354" s="63"/>
      <c r="G354" s="63"/>
      <c r="H354" s="63"/>
      <c r="I354" s="63"/>
      <c r="J354" s="63"/>
      <c r="K354" s="63"/>
      <c r="L354" s="63"/>
    </row>
    <row r="355" spans="1:12">
      <c r="A355" s="10"/>
      <c r="B355" s="46"/>
      <c r="C355" s="63" t="s">
        <v>312</v>
      </c>
      <c r="D355" s="63"/>
      <c r="E355" s="63"/>
      <c r="F355" s="63"/>
      <c r="G355" s="63"/>
      <c r="H355" s="63"/>
      <c r="I355" s="63"/>
      <c r="J355" s="63"/>
      <c r="K355" s="63"/>
      <c r="L355" s="63"/>
    </row>
    <row r="356" spans="1:12">
      <c r="A356" s="10" t="s">
        <v>92</v>
      </c>
      <c r="B356" s="46"/>
      <c r="C356" s="63" t="s">
        <v>260</v>
      </c>
      <c r="D356" s="63"/>
      <c r="E356" s="63"/>
      <c r="F356" s="63"/>
      <c r="G356" s="63"/>
      <c r="H356" s="63"/>
      <c r="I356" s="63"/>
      <c r="J356" s="63"/>
      <c r="K356" s="63"/>
      <c r="L356" s="63"/>
    </row>
    <row r="357" spans="1:12">
      <c r="A357" s="10" t="s">
        <v>238</v>
      </c>
      <c r="B357" s="46"/>
      <c r="C357" s="63" t="s">
        <v>212</v>
      </c>
      <c r="D357" s="63"/>
      <c r="E357" s="63"/>
      <c r="F357" s="63"/>
      <c r="G357" s="63"/>
      <c r="H357" s="63"/>
      <c r="I357" s="63"/>
      <c r="J357" s="63"/>
      <c r="K357" s="63"/>
      <c r="L357" s="63"/>
    </row>
    <row r="358" spans="1:12">
      <c r="A358" s="10"/>
      <c r="B358" s="46"/>
      <c r="C358" s="63" t="s">
        <v>213</v>
      </c>
      <c r="D358" s="63"/>
      <c r="E358" s="63"/>
      <c r="F358" s="63"/>
      <c r="G358" s="63"/>
      <c r="H358" s="63"/>
      <c r="I358" s="63"/>
      <c r="J358" s="63"/>
      <c r="K358" s="63"/>
      <c r="L358" s="63"/>
    </row>
    <row r="359" spans="1:12">
      <c r="A359" s="10"/>
      <c r="B359" s="46"/>
      <c r="C359" s="63" t="s">
        <v>214</v>
      </c>
      <c r="D359" s="63"/>
      <c r="E359" s="63"/>
      <c r="F359" s="63"/>
      <c r="G359" s="63"/>
      <c r="H359" s="63"/>
      <c r="I359" s="63"/>
      <c r="J359" s="63"/>
      <c r="K359" s="63"/>
      <c r="L359" s="63"/>
    </row>
    <row r="360" spans="1:12">
      <c r="A360" s="10" t="s">
        <v>240</v>
      </c>
      <c r="B360" s="46"/>
      <c r="C360" s="63" t="s">
        <v>91</v>
      </c>
      <c r="D360" s="63"/>
      <c r="E360" s="63"/>
      <c r="F360" s="63"/>
      <c r="G360" s="63"/>
      <c r="H360" s="63"/>
      <c r="I360" s="63"/>
      <c r="J360" s="63"/>
      <c r="K360" s="63"/>
      <c r="L360" s="63"/>
    </row>
    <row r="361" spans="1:12">
      <c r="A361" s="10"/>
      <c r="B361" s="46"/>
      <c r="C361" s="63" t="s">
        <v>244</v>
      </c>
      <c r="D361" s="63"/>
      <c r="E361" s="63"/>
      <c r="F361" s="63"/>
      <c r="G361" s="63"/>
      <c r="H361" s="63"/>
      <c r="I361" s="63"/>
      <c r="J361" s="63"/>
      <c r="K361" s="63"/>
      <c r="L361" s="63"/>
    </row>
    <row r="362" spans="1:12">
      <c r="A362" s="10" t="s">
        <v>261</v>
      </c>
      <c r="B362" s="46"/>
      <c r="C362" s="63" t="s">
        <v>237</v>
      </c>
      <c r="D362" s="63"/>
      <c r="E362" s="63"/>
      <c r="F362" s="63"/>
      <c r="G362" s="63"/>
      <c r="H362" s="63"/>
      <c r="I362" s="63"/>
      <c r="J362" s="63"/>
      <c r="K362" s="63"/>
      <c r="L362" s="63"/>
    </row>
    <row r="363" spans="1:12">
      <c r="A363" s="10" t="s">
        <v>262</v>
      </c>
      <c r="B363" s="46"/>
      <c r="C363" s="63" t="s">
        <v>239</v>
      </c>
      <c r="D363" s="63"/>
      <c r="E363" s="63"/>
      <c r="F363" s="63"/>
      <c r="G363" s="63"/>
      <c r="H363" s="63"/>
      <c r="I363" s="63"/>
      <c r="J363" s="63"/>
      <c r="K363" s="63"/>
      <c r="L363" s="63"/>
    </row>
    <row r="364" spans="1:12">
      <c r="B364" s="46"/>
      <c r="C364" s="63" t="s">
        <v>235</v>
      </c>
      <c r="D364" s="63"/>
      <c r="E364" s="63"/>
      <c r="F364" s="63"/>
      <c r="G364" s="63"/>
      <c r="H364" s="63"/>
      <c r="I364" s="63"/>
      <c r="J364" s="63"/>
      <c r="K364" s="63"/>
      <c r="L364" s="63"/>
    </row>
    <row r="365" spans="1:12">
      <c r="C365" s="49" t="s">
        <v>231</v>
      </c>
      <c r="D365" s="49"/>
      <c r="E365" s="49"/>
      <c r="F365" s="49"/>
      <c r="G365" s="49"/>
      <c r="H365" s="49"/>
      <c r="I365" s="49"/>
      <c r="J365" s="49"/>
      <c r="K365" s="49"/>
      <c r="L365" s="49"/>
    </row>
    <row r="366" spans="1:12">
      <c r="A366" s="69" t="s">
        <v>232</v>
      </c>
      <c r="C366" s="49" t="s">
        <v>241</v>
      </c>
      <c r="D366" s="49"/>
      <c r="E366" s="49"/>
      <c r="F366" s="49"/>
      <c r="G366" s="49"/>
      <c r="H366" s="49"/>
      <c r="I366" s="49"/>
      <c r="J366" s="49"/>
      <c r="K366" s="49"/>
      <c r="L366" s="49"/>
    </row>
    <row r="367" spans="1:12">
      <c r="C367" s="49" t="s">
        <v>242</v>
      </c>
      <c r="D367" s="154"/>
      <c r="E367" s="49"/>
      <c r="F367" s="49"/>
      <c r="G367" s="49"/>
      <c r="H367" s="49"/>
      <c r="I367" s="49"/>
      <c r="J367" s="49"/>
      <c r="K367" s="49"/>
      <c r="L367" s="49"/>
    </row>
    <row r="368" spans="1:12">
      <c r="C368" s="49" t="s">
        <v>263</v>
      </c>
      <c r="D368" s="49"/>
      <c r="E368" s="49"/>
      <c r="F368" s="49"/>
      <c r="G368" s="49"/>
      <c r="H368" s="49"/>
      <c r="I368" s="49"/>
      <c r="J368" s="49"/>
      <c r="K368" s="49"/>
      <c r="L368" s="49"/>
    </row>
    <row r="369" spans="1:13">
      <c r="C369" s="49" t="s">
        <v>264</v>
      </c>
      <c r="D369" s="49"/>
      <c r="E369" s="154"/>
      <c r="F369" s="49"/>
      <c r="G369" s="49"/>
      <c r="H369" s="49"/>
      <c r="I369" s="49"/>
      <c r="J369" s="49"/>
      <c r="K369" s="49"/>
      <c r="L369" s="49"/>
    </row>
    <row r="370" spans="1:13">
      <c r="A370" s="69" t="s">
        <v>25</v>
      </c>
      <c r="C370" s="49" t="s">
        <v>236</v>
      </c>
      <c r="D370" s="47"/>
      <c r="E370" s="47"/>
      <c r="F370" s="47"/>
      <c r="G370" s="47"/>
      <c r="H370" s="47"/>
      <c r="I370" s="47"/>
      <c r="J370" s="49"/>
      <c r="K370" s="49"/>
      <c r="L370" s="49"/>
    </row>
    <row r="371" spans="1:13" s="42" customFormat="1">
      <c r="A371" s="155" t="s">
        <v>177</v>
      </c>
      <c r="C371" s="49" t="s">
        <v>569</v>
      </c>
      <c r="D371" s="49"/>
      <c r="E371" s="49"/>
      <c r="F371" s="49"/>
      <c r="G371" s="49"/>
      <c r="H371" s="49"/>
      <c r="I371" s="49"/>
      <c r="J371" s="49"/>
      <c r="K371" s="49"/>
      <c r="L371" s="49"/>
    </row>
    <row r="372" spans="1:13" s="42" customFormat="1">
      <c r="A372" s="155"/>
      <c r="C372" s="49" t="s">
        <v>308</v>
      </c>
      <c r="D372" s="49"/>
      <c r="E372" s="49"/>
      <c r="F372" s="49"/>
      <c r="G372" s="49"/>
      <c r="H372" s="49"/>
      <c r="I372" s="49"/>
      <c r="J372" s="49"/>
      <c r="K372" s="49"/>
      <c r="L372" s="49"/>
    </row>
    <row r="373" spans="1:13">
      <c r="A373" s="155" t="s">
        <v>325</v>
      </c>
      <c r="B373" s="42"/>
      <c r="C373" s="49" t="s">
        <v>335</v>
      </c>
      <c r="D373" s="49"/>
      <c r="E373" s="49"/>
      <c r="F373" s="49"/>
      <c r="G373" s="49"/>
      <c r="H373" s="49"/>
      <c r="I373" s="49"/>
      <c r="J373" s="49"/>
      <c r="K373" s="171"/>
      <c r="L373" s="171"/>
      <c r="M373" s="177"/>
    </row>
    <row r="374" spans="1:13">
      <c r="A374" s="155"/>
      <c r="B374" s="42"/>
      <c r="C374" s="49" t="s">
        <v>333</v>
      </c>
      <c r="D374" s="49"/>
      <c r="E374" s="49"/>
      <c r="F374" s="49"/>
      <c r="G374" s="49"/>
      <c r="H374" s="49"/>
      <c r="I374" s="49"/>
      <c r="J374" s="49"/>
      <c r="K374" s="171"/>
      <c r="L374" s="171"/>
      <c r="M374" s="177"/>
    </row>
    <row r="375" spans="1:13">
      <c r="A375" s="155"/>
      <c r="B375" s="42"/>
      <c r="C375" s="49" t="s">
        <v>334</v>
      </c>
      <c r="D375" s="49"/>
      <c r="E375" s="49"/>
      <c r="F375" s="49"/>
      <c r="G375" s="49"/>
      <c r="H375" s="49"/>
      <c r="I375" s="49"/>
      <c r="J375" s="49"/>
      <c r="K375" s="171"/>
      <c r="L375" s="171"/>
      <c r="M375" s="177"/>
    </row>
    <row r="376" spans="1:13">
      <c r="A376" s="155" t="s">
        <v>350</v>
      </c>
      <c r="B376" s="42"/>
      <c r="C376" s="49" t="s">
        <v>353</v>
      </c>
      <c r="D376" s="49"/>
      <c r="E376" s="49"/>
      <c r="F376" s="49"/>
      <c r="G376" s="49"/>
      <c r="H376" s="49"/>
      <c r="I376" s="49"/>
      <c r="J376" s="49"/>
      <c r="K376" s="49"/>
      <c r="L376" s="49"/>
    </row>
    <row r="377" spans="1:13">
      <c r="A377" s="155" t="s">
        <v>351</v>
      </c>
      <c r="B377" s="42"/>
      <c r="C377" s="49" t="s">
        <v>354</v>
      </c>
      <c r="D377" s="49"/>
      <c r="E377" s="49"/>
      <c r="F377" s="49"/>
      <c r="G377" s="49"/>
      <c r="H377" s="49"/>
      <c r="I377" s="49"/>
      <c r="J377" s="49"/>
      <c r="K377" s="49"/>
      <c r="L377" s="49"/>
    </row>
    <row r="378" spans="1:13">
      <c r="A378" s="155" t="s">
        <v>352</v>
      </c>
      <c r="B378" s="42"/>
      <c r="C378" s="49" t="s">
        <v>355</v>
      </c>
      <c r="D378" s="49"/>
      <c r="E378" s="49"/>
      <c r="F378" s="49"/>
      <c r="G378" s="49"/>
      <c r="H378" s="49"/>
      <c r="I378" s="49"/>
      <c r="J378" s="49"/>
      <c r="K378" s="49"/>
      <c r="L378" s="49"/>
    </row>
    <row r="379" spans="1:13">
      <c r="A379" s="155"/>
      <c r="B379" s="42"/>
      <c r="C379" s="49" t="s">
        <v>356</v>
      </c>
      <c r="D379" s="49"/>
      <c r="E379" s="49" t="s">
        <v>361</v>
      </c>
      <c r="F379" s="49"/>
      <c r="G379" s="278">
        <v>1027750</v>
      </c>
      <c r="H379" s="49"/>
      <c r="I379" s="49"/>
      <c r="J379" s="49"/>
      <c r="K379" s="49"/>
      <c r="L379" s="49"/>
    </row>
    <row r="380" spans="1:13">
      <c r="A380" s="155"/>
      <c r="B380" s="42"/>
      <c r="C380" s="49" t="s">
        <v>357</v>
      </c>
      <c r="D380" s="49"/>
      <c r="E380" s="49" t="s">
        <v>361</v>
      </c>
      <c r="F380" s="172"/>
      <c r="G380" s="279">
        <v>966000</v>
      </c>
      <c r="H380" s="49"/>
      <c r="I380" s="49"/>
      <c r="J380" s="49"/>
      <c r="K380" s="49"/>
      <c r="L380" s="49"/>
    </row>
    <row r="381" spans="1:13">
      <c r="A381" s="155"/>
      <c r="B381" s="42"/>
      <c r="C381" s="49" t="s">
        <v>358</v>
      </c>
      <c r="D381" s="49"/>
      <c r="E381" s="49"/>
      <c r="F381" s="173"/>
      <c r="G381" s="280">
        <f>+G380-G379</f>
        <v>-61750</v>
      </c>
      <c r="H381" s="49"/>
      <c r="I381" s="49"/>
      <c r="J381" s="49"/>
      <c r="K381" s="49"/>
      <c r="L381" s="49"/>
    </row>
    <row r="382" spans="1:13">
      <c r="A382" s="155"/>
      <c r="B382" s="42"/>
      <c r="C382" s="49" t="s">
        <v>359</v>
      </c>
      <c r="D382" s="49"/>
      <c r="E382" s="49" t="s">
        <v>362</v>
      </c>
      <c r="F382" s="49"/>
      <c r="G382" s="281">
        <v>28.021999999999998</v>
      </c>
      <c r="H382" s="49"/>
      <c r="I382" s="49"/>
      <c r="J382" s="49"/>
      <c r="K382" s="49"/>
      <c r="L382" s="49"/>
    </row>
    <row r="383" spans="1:13">
      <c r="A383" s="155"/>
      <c r="B383" s="42"/>
      <c r="C383" s="49" t="s">
        <v>360</v>
      </c>
      <c r="D383" s="49"/>
      <c r="E383" s="49"/>
      <c r="F383" s="49"/>
      <c r="G383" s="278">
        <f>+G381*G382</f>
        <v>-1730358.5</v>
      </c>
      <c r="H383" s="49"/>
      <c r="I383" s="49"/>
      <c r="J383" s="49"/>
      <c r="K383" s="49"/>
      <c r="L383" s="49"/>
    </row>
    <row r="384" spans="1:13" s="164" customFormat="1">
      <c r="A384" s="69" t="s">
        <v>375</v>
      </c>
      <c r="B384" s="21"/>
      <c r="C384" s="49" t="s">
        <v>376</v>
      </c>
      <c r="D384" s="47"/>
      <c r="E384" s="47"/>
      <c r="F384" s="47"/>
      <c r="G384" s="47"/>
      <c r="H384" s="47"/>
      <c r="I384" s="47"/>
      <c r="J384" s="49"/>
      <c r="K384" s="170"/>
      <c r="L384" s="170"/>
    </row>
    <row r="385" spans="1:12" s="164" customFormat="1">
      <c r="A385" s="69"/>
      <c r="B385" s="21"/>
      <c r="C385" s="49" t="s">
        <v>377</v>
      </c>
      <c r="D385" s="47"/>
      <c r="E385" s="47"/>
      <c r="F385" s="47"/>
      <c r="G385" s="47"/>
      <c r="H385" s="47"/>
      <c r="I385" s="47"/>
      <c r="J385" s="49"/>
      <c r="K385" s="170"/>
      <c r="L385" s="170"/>
    </row>
    <row r="386" spans="1:12" s="164" customFormat="1">
      <c r="A386" s="69" t="s">
        <v>378</v>
      </c>
      <c r="B386" s="21"/>
      <c r="C386" s="49" t="s">
        <v>570</v>
      </c>
      <c r="D386" s="47"/>
      <c r="E386" s="47"/>
      <c r="F386" s="47"/>
      <c r="G386" s="47"/>
      <c r="H386" s="47"/>
      <c r="I386" s="47"/>
      <c r="J386" s="49"/>
      <c r="K386" s="170"/>
      <c r="L386" s="170"/>
    </row>
    <row r="387" spans="1:12" s="164" customFormat="1">
      <c r="A387" s="69"/>
      <c r="B387" s="21"/>
      <c r="C387" s="49" t="s">
        <v>379</v>
      </c>
      <c r="D387" s="47"/>
      <c r="E387" s="47"/>
      <c r="F387" s="47"/>
      <c r="G387" s="47"/>
      <c r="H387" s="47"/>
      <c r="I387" s="47"/>
      <c r="J387" s="49"/>
      <c r="K387" s="170"/>
      <c r="L387" s="170"/>
    </row>
    <row r="388" spans="1:12">
      <c r="A388" s="69" t="s">
        <v>394</v>
      </c>
      <c r="C388" s="49" t="s">
        <v>396</v>
      </c>
      <c r="D388" s="47"/>
      <c r="E388" s="47"/>
      <c r="F388" s="47"/>
      <c r="G388" s="47"/>
      <c r="H388" s="47"/>
      <c r="I388" s="47"/>
      <c r="J388" s="49"/>
      <c r="K388" s="49"/>
      <c r="L388" s="49"/>
    </row>
    <row r="389" spans="1:12">
      <c r="A389" s="69"/>
      <c r="C389" s="49" t="s">
        <v>397</v>
      </c>
      <c r="D389" s="47"/>
      <c r="E389" s="47"/>
      <c r="F389" s="47"/>
      <c r="G389" s="47"/>
      <c r="H389" s="47"/>
      <c r="I389" s="47"/>
      <c r="J389" s="49"/>
      <c r="K389" s="49"/>
      <c r="L389" s="49"/>
    </row>
    <row r="390" spans="1:12">
      <c r="A390" s="69" t="s">
        <v>395</v>
      </c>
      <c r="C390" s="49" t="s">
        <v>398</v>
      </c>
      <c r="D390" s="47"/>
      <c r="E390" s="47"/>
      <c r="F390" s="47"/>
      <c r="G390" s="47"/>
      <c r="H390" s="47"/>
      <c r="I390" s="47"/>
      <c r="J390" s="49"/>
      <c r="K390" s="49"/>
      <c r="L390" s="49"/>
    </row>
    <row r="391" spans="1:12">
      <c r="A391" s="69"/>
      <c r="C391" s="49" t="s">
        <v>399</v>
      </c>
      <c r="D391" s="47"/>
      <c r="E391" s="47"/>
      <c r="F391" s="47"/>
      <c r="G391" s="47"/>
      <c r="H391" s="47"/>
      <c r="I391" s="47"/>
      <c r="J391" s="49"/>
      <c r="K391" s="49"/>
      <c r="L391" s="49"/>
    </row>
    <row r="392" spans="1:12">
      <c r="A392" s="288" t="s">
        <v>506</v>
      </c>
      <c r="B392" s="288"/>
      <c r="C392" s="289" t="s">
        <v>507</v>
      </c>
      <c r="D392" s="47"/>
      <c r="E392" s="47"/>
      <c r="F392" s="47"/>
      <c r="G392" s="47"/>
      <c r="H392" s="47"/>
      <c r="I392" s="47"/>
      <c r="J392" s="47"/>
      <c r="K392" s="47"/>
      <c r="L392" s="49"/>
    </row>
    <row r="393" spans="1:12">
      <c r="A393" s="288" t="s">
        <v>508</v>
      </c>
      <c r="B393" s="290"/>
      <c r="C393" s="291" t="s">
        <v>509</v>
      </c>
      <c r="D393" s="47"/>
      <c r="E393" s="47"/>
      <c r="F393" s="47"/>
      <c r="G393" s="47"/>
      <c r="H393" s="47"/>
      <c r="I393" s="47"/>
      <c r="J393" s="47"/>
      <c r="K393" s="47"/>
      <c r="L393" s="49"/>
    </row>
    <row r="394" spans="1:12">
      <c r="C394" s="42"/>
    </row>
  </sheetData>
  <mergeCells count="1">
    <mergeCell ref="N254:S254"/>
  </mergeCells>
  <phoneticPr fontId="0" type="noConversion"/>
  <pageMargins left="0.5" right="0.3" top="0.79" bottom="0.75" header="0.5" footer="0.5"/>
  <pageSetup scale="53" fitToHeight="6" orientation="portrait" r:id="rId1"/>
  <headerFooter alignWithMargins="0"/>
  <rowBreaks count="4" manualBreakCount="4">
    <brk id="78" max="11" man="1"/>
    <brk id="156" max="11" man="1"/>
    <brk id="235" max="11" man="1"/>
    <brk id="31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78"/>
  <sheetViews>
    <sheetView topLeftCell="A70" zoomScale="80" zoomScaleNormal="80" workbookViewId="0">
      <selection activeCell="D84" sqref="D84"/>
    </sheetView>
  </sheetViews>
  <sheetFormatPr defaultRowHeight="17.25"/>
  <cols>
    <col min="1" max="1" width="6.5546875" style="193" customWidth="1"/>
    <col min="2" max="2" width="23.33203125" style="193" customWidth="1"/>
    <col min="3" max="7" width="18.77734375" style="193" customWidth="1"/>
    <col min="8" max="8" width="12.6640625" style="193" bestFit="1" customWidth="1"/>
    <col min="9" max="16384" width="8.88671875" style="193"/>
  </cols>
  <sheetData>
    <row r="1" spans="1:8" ht="18.75">
      <c r="A1" s="192" t="s">
        <v>400</v>
      </c>
    </row>
    <row r="2" spans="1:8">
      <c r="A2" s="193" t="s">
        <v>573</v>
      </c>
    </row>
    <row r="3" spans="1:8">
      <c r="A3" s="193" t="s">
        <v>571</v>
      </c>
    </row>
    <row r="4" spans="1:8" ht="18.75">
      <c r="A4" s="192"/>
    </row>
    <row r="5" spans="1:8">
      <c r="B5" s="193" t="s">
        <v>401</v>
      </c>
    </row>
    <row r="7" spans="1:8" ht="17.25" customHeight="1">
      <c r="C7" s="339" t="s">
        <v>402</v>
      </c>
      <c r="D7" s="339" t="s">
        <v>8</v>
      </c>
      <c r="E7" s="339" t="s">
        <v>403</v>
      </c>
      <c r="F7" s="340" t="s">
        <v>404</v>
      </c>
      <c r="G7" s="339" t="s">
        <v>405</v>
      </c>
      <c r="H7" s="194"/>
    </row>
    <row r="8" spans="1:8">
      <c r="B8" s="195">
        <v>41244</v>
      </c>
      <c r="C8" s="196">
        <v>1446532077</v>
      </c>
      <c r="D8" s="196">
        <v>429888216</v>
      </c>
      <c r="E8" s="196">
        <v>548375450</v>
      </c>
      <c r="F8" s="196">
        <v>31203468</v>
      </c>
      <c r="G8" s="196">
        <v>52010441.299999997</v>
      </c>
      <c r="H8" s="194"/>
    </row>
    <row r="9" spans="1:8">
      <c r="B9" s="195">
        <v>41275</v>
      </c>
      <c r="C9" s="197">
        <v>1444513687</v>
      </c>
      <c r="D9" s="197">
        <v>429772965.17000008</v>
      </c>
      <c r="E9" s="197">
        <v>549859987.70000005</v>
      </c>
      <c r="F9" s="197">
        <v>31802042.599999998</v>
      </c>
      <c r="G9" s="197">
        <v>52288031.490000002</v>
      </c>
      <c r="H9" s="194"/>
    </row>
    <row r="10" spans="1:8">
      <c r="B10" s="195">
        <v>41306</v>
      </c>
      <c r="C10" s="197">
        <v>1445023131.6399999</v>
      </c>
      <c r="D10" s="197">
        <v>429932900.97000003</v>
      </c>
      <c r="E10" s="197">
        <v>552562074.49000001</v>
      </c>
      <c r="F10" s="197">
        <v>31921777.18</v>
      </c>
      <c r="G10" s="197">
        <v>52489482.810000002</v>
      </c>
      <c r="H10" s="194"/>
    </row>
    <row r="11" spans="1:8">
      <c r="B11" s="195">
        <v>41334</v>
      </c>
      <c r="C11" s="197">
        <f>1346361522+99870936</f>
        <v>1446232458</v>
      </c>
      <c r="D11" s="197">
        <v>430154726</v>
      </c>
      <c r="E11" s="197">
        <v>554308523</v>
      </c>
      <c r="F11" s="197">
        <f>3511748+28431318</f>
        <v>31943066</v>
      </c>
      <c r="G11" s="197">
        <v>52501732</v>
      </c>
      <c r="H11" s="194"/>
    </row>
    <row r="12" spans="1:8">
      <c r="B12" s="195">
        <v>41365</v>
      </c>
      <c r="C12" s="197">
        <v>1463939679.01</v>
      </c>
      <c r="D12" s="197">
        <v>430841036.35000014</v>
      </c>
      <c r="E12" s="197">
        <v>556538684.2300005</v>
      </c>
      <c r="F12" s="197">
        <v>31948165.000000011</v>
      </c>
      <c r="G12" s="197">
        <v>52567056.049999997</v>
      </c>
    </row>
    <row r="13" spans="1:8">
      <c r="B13" s="195">
        <v>41395</v>
      </c>
      <c r="C13" s="197">
        <v>1464902614.27</v>
      </c>
      <c r="D13" s="197">
        <v>431787309.3900001</v>
      </c>
      <c r="E13" s="197">
        <v>557272660.99000049</v>
      </c>
      <c r="F13" s="197">
        <v>32062671.930000011</v>
      </c>
      <c r="G13" s="197">
        <v>52525925.280000001</v>
      </c>
    </row>
    <row r="14" spans="1:8">
      <c r="B14" s="195">
        <v>41426</v>
      </c>
      <c r="C14" s="197">
        <f>1368059959+100442616</f>
        <v>1468502575</v>
      </c>
      <c r="D14" s="197">
        <v>431630560</v>
      </c>
      <c r="E14" s="197">
        <v>558608656</v>
      </c>
      <c r="F14" s="197">
        <f>3517377+27985501</f>
        <v>31502878</v>
      </c>
      <c r="G14" s="197">
        <v>52525925</v>
      </c>
    </row>
    <row r="15" spans="1:8">
      <c r="B15" s="195">
        <v>41456</v>
      </c>
      <c r="C15" s="197">
        <v>1467958677.26</v>
      </c>
      <c r="D15" s="197">
        <v>433516062.60000002</v>
      </c>
      <c r="E15" s="197">
        <v>560182646</v>
      </c>
      <c r="F15" s="197">
        <v>31018708.420000013</v>
      </c>
      <c r="G15" s="197">
        <v>52884048.799999997</v>
      </c>
    </row>
    <row r="16" spans="1:8">
      <c r="B16" s="195">
        <v>41487</v>
      </c>
      <c r="C16" s="197">
        <v>1468286520.3900001</v>
      </c>
      <c r="D16" s="197">
        <v>433260429</v>
      </c>
      <c r="E16" s="197">
        <v>561851081.73000002</v>
      </c>
      <c r="F16" s="197">
        <v>31396746.300000016</v>
      </c>
      <c r="G16" s="197">
        <v>52933820.850000001</v>
      </c>
    </row>
    <row r="17" spans="2:7">
      <c r="B17" s="195">
        <v>41518</v>
      </c>
      <c r="C17" s="197">
        <f>1369185860+100442616</f>
        <v>1469628476</v>
      </c>
      <c r="D17" s="197">
        <v>434020956</v>
      </c>
      <c r="E17" s="197">
        <v>563491948</v>
      </c>
      <c r="F17" s="197">
        <f>3647289+27508012</f>
        <v>31155301</v>
      </c>
      <c r="G17" s="197">
        <v>53406692</v>
      </c>
    </row>
    <row r="18" spans="2:7">
      <c r="B18" s="195">
        <v>41548</v>
      </c>
      <c r="C18" s="197">
        <v>1470111881.52</v>
      </c>
      <c r="D18" s="197">
        <v>435955945.42000002</v>
      </c>
      <c r="E18" s="197">
        <v>564764695.19000006</v>
      </c>
      <c r="F18" s="197">
        <v>31497583.939999998</v>
      </c>
      <c r="G18" s="197">
        <v>53411445.850000001</v>
      </c>
    </row>
    <row r="19" spans="2:7">
      <c r="B19" s="195">
        <v>41579</v>
      </c>
      <c r="C19" s="197">
        <v>1473655228.0799999</v>
      </c>
      <c r="D19" s="197">
        <v>435856059.79000002</v>
      </c>
      <c r="E19" s="197">
        <v>566902375.32000005</v>
      </c>
      <c r="F19" s="197">
        <v>31727223.940000001</v>
      </c>
      <c r="G19" s="197">
        <v>53394881.240000002</v>
      </c>
    </row>
    <row r="20" spans="2:7">
      <c r="B20" s="195">
        <v>41609</v>
      </c>
      <c r="C20" s="197">
        <v>1472924037</v>
      </c>
      <c r="D20" s="197">
        <v>439214400</v>
      </c>
      <c r="E20" s="197">
        <v>568551681</v>
      </c>
      <c r="F20" s="197">
        <v>32548306</v>
      </c>
      <c r="G20" s="197">
        <v>53433760</v>
      </c>
    </row>
    <row r="21" spans="2:7">
      <c r="B21" s="195"/>
      <c r="C21" s="196"/>
      <c r="D21" s="196"/>
      <c r="E21" s="196"/>
      <c r="F21" s="196"/>
      <c r="G21" s="196"/>
    </row>
    <row r="22" spans="2:7">
      <c r="B22" s="198" t="s">
        <v>406</v>
      </c>
      <c r="C22" s="197">
        <f>SUM(C8:C20)/13</f>
        <v>1461708541.7053845</v>
      </c>
      <c r="D22" s="197">
        <f>SUM(D8:D20)/13</f>
        <v>432756274.36076921</v>
      </c>
      <c r="E22" s="197">
        <f>SUM(E8:E20)/13</f>
        <v>558713112.58846164</v>
      </c>
      <c r="F22" s="197">
        <f>SUM(F8:F20)/13</f>
        <v>31671379.870000005</v>
      </c>
      <c r="G22" s="197">
        <f>SUM(G8:G20)/13</f>
        <v>52797941.743846148</v>
      </c>
    </row>
    <row r="24" spans="2:7">
      <c r="C24" s="203"/>
      <c r="D24" s="203"/>
      <c r="E24" s="203"/>
      <c r="F24" s="203"/>
      <c r="G24" s="203"/>
    </row>
    <row r="25" spans="2:7">
      <c r="C25" s="203"/>
      <c r="D25" s="203"/>
      <c r="E25" s="203"/>
      <c r="F25" s="203"/>
      <c r="G25" s="203"/>
    </row>
    <row r="26" spans="2:7">
      <c r="B26" s="193" t="s">
        <v>407</v>
      </c>
    </row>
    <row r="28" spans="2:7" ht="17.25" customHeight="1">
      <c r="C28" s="339" t="s">
        <v>402</v>
      </c>
      <c r="D28" s="339" t="s">
        <v>8</v>
      </c>
      <c r="E28" s="339" t="s">
        <v>403</v>
      </c>
      <c r="F28" s="340" t="s">
        <v>404</v>
      </c>
      <c r="G28" s="339" t="s">
        <v>405</v>
      </c>
    </row>
    <row r="29" spans="2:7">
      <c r="B29" s="195">
        <v>41244</v>
      </c>
      <c r="C29" s="197">
        <v>733126831.68999994</v>
      </c>
      <c r="D29" s="197">
        <v>104818710.09999999</v>
      </c>
      <c r="E29" s="197">
        <v>219958407.22999999</v>
      </c>
      <c r="F29" s="197">
        <v>16694447.920000002</v>
      </c>
      <c r="G29" s="197">
        <v>26495838.940000001</v>
      </c>
    </row>
    <row r="30" spans="2:7">
      <c r="B30" s="195">
        <v>41275</v>
      </c>
      <c r="C30" s="197">
        <v>735970896.73000002</v>
      </c>
      <c r="D30" s="197">
        <v>105494244.64</v>
      </c>
      <c r="E30" s="197">
        <v>220667965.00999999</v>
      </c>
      <c r="F30" s="197">
        <v>16824003.870000001</v>
      </c>
      <c r="G30" s="197">
        <v>26628179.109999999</v>
      </c>
    </row>
    <row r="31" spans="2:7">
      <c r="B31" s="195">
        <v>41306</v>
      </c>
      <c r="C31" s="197">
        <v>739989291.68000007</v>
      </c>
      <c r="D31" s="197">
        <v>106205554.03</v>
      </c>
      <c r="E31" s="197">
        <v>221684814.94</v>
      </c>
      <c r="F31" s="197">
        <v>16956844.050000001</v>
      </c>
      <c r="G31" s="197">
        <v>26760888.739999998</v>
      </c>
    </row>
    <row r="32" spans="2:7">
      <c r="B32" s="195">
        <v>41334</v>
      </c>
      <c r="C32" s="197">
        <f>683113260+59273260</f>
        <v>742386520</v>
      </c>
      <c r="D32" s="197">
        <v>106896544</v>
      </c>
      <c r="E32" s="197">
        <v>222998029</v>
      </c>
      <c r="F32" s="197">
        <f>1191712+15882058</f>
        <v>17073770</v>
      </c>
      <c r="G32" s="197">
        <v>26881472</v>
      </c>
    </row>
    <row r="33" spans="1:7">
      <c r="B33" s="195">
        <v>41365</v>
      </c>
      <c r="C33" s="197">
        <v>738734909.80000019</v>
      </c>
      <c r="D33" s="197">
        <v>107157005.45000002</v>
      </c>
      <c r="E33" s="197">
        <v>224183737.81</v>
      </c>
      <c r="F33" s="197">
        <v>17206236.330000002</v>
      </c>
      <c r="G33" s="197">
        <v>27014344.940000001</v>
      </c>
    </row>
    <row r="34" spans="1:7">
      <c r="B34" s="195">
        <v>41395</v>
      </c>
      <c r="C34" s="197">
        <v>743142528.50000024</v>
      </c>
      <c r="D34" s="197">
        <v>107846016.91000001</v>
      </c>
      <c r="E34" s="197">
        <v>225657653.09</v>
      </c>
      <c r="F34" s="197">
        <v>17304094.480000004</v>
      </c>
      <c r="G34" s="197">
        <v>27123454.030000001</v>
      </c>
    </row>
    <row r="35" spans="1:7">
      <c r="B35" s="195">
        <v>41426</v>
      </c>
      <c r="C35" s="197">
        <f>684818139+60528134</f>
        <v>745346273</v>
      </c>
      <c r="D35" s="197">
        <v>108532047</v>
      </c>
      <c r="E35" s="197">
        <v>226832923</v>
      </c>
      <c r="F35" s="197">
        <f>1279228+15687633</f>
        <v>16966861</v>
      </c>
      <c r="G35" s="197">
        <v>27123454</v>
      </c>
    </row>
    <row r="36" spans="1:7">
      <c r="B36" s="195">
        <v>41456</v>
      </c>
      <c r="C36" s="197">
        <v>749249974.33000028</v>
      </c>
      <c r="D36" s="197">
        <v>109162945.92000002</v>
      </c>
      <c r="E36" s="197">
        <v>228099315.11000001</v>
      </c>
      <c r="F36" s="197">
        <v>16574713.440000001</v>
      </c>
      <c r="G36" s="197">
        <v>27256368.030000001</v>
      </c>
    </row>
    <row r="37" spans="1:7">
      <c r="B37" s="195">
        <v>41487</v>
      </c>
      <c r="C37" s="197">
        <v>754157982.83000004</v>
      </c>
      <c r="D37" s="197">
        <v>108674137.86</v>
      </c>
      <c r="E37" s="197">
        <v>229713346</v>
      </c>
      <c r="F37" s="197">
        <v>16101411.08</v>
      </c>
      <c r="G37" s="197">
        <v>27377080.91</v>
      </c>
    </row>
    <row r="38" spans="1:7">
      <c r="B38" s="195">
        <v>41518</v>
      </c>
      <c r="C38" s="197">
        <f>697085987+61215478</f>
        <v>758301465</v>
      </c>
      <c r="D38" s="197">
        <v>108950670</v>
      </c>
      <c r="E38" s="197">
        <v>230983727</v>
      </c>
      <c r="F38" s="197">
        <f>1367611+14920344</f>
        <v>16287955</v>
      </c>
      <c r="G38" s="197">
        <v>27430001</v>
      </c>
    </row>
    <row r="39" spans="1:7">
      <c r="B39" s="195">
        <v>41548</v>
      </c>
      <c r="C39" s="197">
        <v>762652632.88</v>
      </c>
      <c r="D39" s="197">
        <v>108942429.17</v>
      </c>
      <c r="E39" s="197">
        <v>232240872.44999999</v>
      </c>
      <c r="F39" s="197">
        <v>16421542.629999999</v>
      </c>
      <c r="G39" s="197">
        <v>27560846.77</v>
      </c>
    </row>
    <row r="40" spans="1:7">
      <c r="B40" s="195">
        <v>41579</v>
      </c>
      <c r="C40" s="197">
        <v>767033425.53999996</v>
      </c>
      <c r="D40" s="197">
        <v>109648807.36</v>
      </c>
      <c r="E40" s="197">
        <v>233338792.75</v>
      </c>
      <c r="F40" s="197">
        <v>16344661.530000001</v>
      </c>
      <c r="G40" s="197">
        <v>27667288.719999999</v>
      </c>
    </row>
    <row r="41" spans="1:7">
      <c r="B41" s="195">
        <v>41609</v>
      </c>
      <c r="C41" s="197">
        <v>769720605</v>
      </c>
      <c r="D41" s="197">
        <v>110052376</v>
      </c>
      <c r="E41" s="197">
        <v>233857337</v>
      </c>
      <c r="F41" s="197">
        <v>16488492</v>
      </c>
      <c r="G41" s="197">
        <v>27807207</v>
      </c>
    </row>
    <row r="42" spans="1:7">
      <c r="B42" s="195"/>
      <c r="C42" s="196"/>
      <c r="D42" s="196"/>
      <c r="E42" s="196"/>
      <c r="F42" s="196"/>
      <c r="G42" s="196"/>
    </row>
    <row r="43" spans="1:7">
      <c r="B43" s="198" t="s">
        <v>406</v>
      </c>
      <c r="C43" s="197">
        <f>SUM(C29:C41)/13</f>
        <v>749216410.53692305</v>
      </c>
      <c r="D43" s="197">
        <f>SUM(D29:D41)/13</f>
        <v>107875499.11076921</v>
      </c>
      <c r="E43" s="197">
        <f>SUM(E29:E41)/13</f>
        <v>226939763.10692307</v>
      </c>
      <c r="F43" s="197">
        <f>SUM(F29:F41)/13</f>
        <v>16711156.41</v>
      </c>
      <c r="G43" s="197">
        <f>SUM(G29:G41)/13</f>
        <v>27163571.091538455</v>
      </c>
    </row>
    <row r="44" spans="1:7">
      <c r="B44" s="198"/>
      <c r="C44" s="199"/>
      <c r="D44" s="199"/>
      <c r="E44" s="199"/>
      <c r="F44" s="199"/>
      <c r="G44" s="199"/>
    </row>
    <row r="45" spans="1:7">
      <c r="C45" s="203"/>
      <c r="D45" s="203"/>
      <c r="E45" s="203"/>
      <c r="F45" s="203"/>
      <c r="G45" s="203"/>
    </row>
    <row r="46" spans="1:7">
      <c r="C46" s="298"/>
      <c r="D46" s="298"/>
      <c r="E46" s="298"/>
      <c r="F46" s="298"/>
      <c r="G46" s="298"/>
    </row>
    <row r="47" spans="1:7" ht="18.75">
      <c r="A47" s="192" t="s">
        <v>400</v>
      </c>
      <c r="C47" s="203"/>
      <c r="D47" s="203"/>
      <c r="E47" s="203"/>
      <c r="F47" s="203"/>
      <c r="G47" s="203"/>
    </row>
    <row r="48" spans="1:7">
      <c r="A48" s="193" t="s">
        <v>574</v>
      </c>
    </row>
    <row r="49" spans="1:7">
      <c r="A49" s="193" t="s">
        <v>572</v>
      </c>
    </row>
    <row r="50" spans="1:7">
      <c r="E50" s="194"/>
      <c r="F50" s="194"/>
      <c r="G50" s="194"/>
    </row>
    <row r="51" spans="1:7">
      <c r="B51" s="200"/>
      <c r="E51" s="194"/>
      <c r="F51" s="194"/>
      <c r="G51" s="194"/>
    </row>
    <row r="52" spans="1:7">
      <c r="B52" s="195">
        <v>41244</v>
      </c>
      <c r="C52" s="201">
        <v>0</v>
      </c>
      <c r="E52" s="201"/>
      <c r="F52" s="202"/>
      <c r="G52" s="194"/>
    </row>
    <row r="53" spans="1:7">
      <c r="B53" s="195">
        <v>41275</v>
      </c>
      <c r="C53" s="201">
        <f t="shared" ref="C53:C61" si="0">+C52+D53</f>
        <v>0</v>
      </c>
      <c r="D53" s="203">
        <v>0</v>
      </c>
      <c r="E53" s="201"/>
      <c r="F53" s="202"/>
      <c r="G53" s="194"/>
    </row>
    <row r="54" spans="1:7">
      <c r="B54" s="195">
        <v>41306</v>
      </c>
      <c r="C54" s="201">
        <f t="shared" si="0"/>
        <v>0</v>
      </c>
      <c r="D54" s="203">
        <v>0</v>
      </c>
      <c r="E54" s="201"/>
      <c r="F54" s="202"/>
      <c r="G54" s="194"/>
    </row>
    <row r="55" spans="1:7">
      <c r="B55" s="195">
        <v>41334</v>
      </c>
      <c r="C55" s="201">
        <f t="shared" si="0"/>
        <v>0</v>
      </c>
      <c r="D55" s="203">
        <v>0</v>
      </c>
      <c r="E55" s="201"/>
      <c r="F55" s="202"/>
      <c r="G55" s="194"/>
    </row>
    <row r="56" spans="1:7">
      <c r="B56" s="195">
        <v>41365</v>
      </c>
      <c r="C56" s="201">
        <f t="shared" si="0"/>
        <v>0</v>
      </c>
      <c r="D56" s="203">
        <v>0</v>
      </c>
      <c r="E56" s="201"/>
      <c r="F56" s="202"/>
      <c r="G56" s="194"/>
    </row>
    <row r="57" spans="1:7">
      <c r="B57" s="195">
        <v>41395</v>
      </c>
      <c r="C57" s="201">
        <f t="shared" si="0"/>
        <v>0</v>
      </c>
      <c r="D57" s="203">
        <v>0</v>
      </c>
      <c r="E57" s="201"/>
      <c r="F57" s="202"/>
      <c r="G57" s="194"/>
    </row>
    <row r="58" spans="1:7">
      <c r="B58" s="195">
        <v>41426</v>
      </c>
      <c r="C58" s="201">
        <f t="shared" si="0"/>
        <v>0</v>
      </c>
      <c r="D58" s="203">
        <v>0</v>
      </c>
      <c r="E58" s="201"/>
      <c r="F58" s="202"/>
      <c r="G58" s="194"/>
    </row>
    <row r="59" spans="1:7">
      <c r="B59" s="195">
        <v>41456</v>
      </c>
      <c r="C59" s="201">
        <f t="shared" si="0"/>
        <v>0</v>
      </c>
      <c r="D59" s="203">
        <v>0</v>
      </c>
      <c r="E59" s="201"/>
      <c r="F59" s="202"/>
      <c r="G59" s="194"/>
    </row>
    <row r="60" spans="1:7">
      <c r="B60" s="195">
        <v>41487</v>
      </c>
      <c r="C60" s="201">
        <f t="shared" si="0"/>
        <v>0</v>
      </c>
      <c r="D60" s="203">
        <v>0</v>
      </c>
      <c r="E60" s="201"/>
      <c r="F60" s="202"/>
      <c r="G60" s="194"/>
    </row>
    <row r="61" spans="1:7">
      <c r="B61" s="195">
        <v>41518</v>
      </c>
      <c r="C61" s="201">
        <f t="shared" si="0"/>
        <v>0</v>
      </c>
      <c r="D61" s="203">
        <v>0</v>
      </c>
      <c r="E61" s="201"/>
      <c r="F61" s="202"/>
      <c r="G61" s="194"/>
    </row>
    <row r="62" spans="1:7">
      <c r="B62" s="195">
        <v>41548</v>
      </c>
      <c r="C62" s="201">
        <v>0</v>
      </c>
      <c r="D62" s="203">
        <v>0</v>
      </c>
      <c r="E62" s="201"/>
      <c r="F62" s="202"/>
      <c r="G62" s="194"/>
    </row>
    <row r="63" spans="1:7">
      <c r="B63" s="195">
        <v>41579</v>
      </c>
      <c r="C63" s="201">
        <v>0</v>
      </c>
      <c r="D63" s="203">
        <v>0</v>
      </c>
      <c r="E63" s="201"/>
      <c r="F63" s="202"/>
      <c r="G63" s="194"/>
    </row>
    <row r="64" spans="1:7">
      <c r="B64" s="195">
        <v>41609</v>
      </c>
      <c r="C64" s="201">
        <v>0</v>
      </c>
      <c r="D64" s="203">
        <v>0</v>
      </c>
      <c r="E64" s="201"/>
      <c r="F64" s="202"/>
      <c r="G64" s="194"/>
    </row>
    <row r="65" spans="1:7">
      <c r="B65" s="204"/>
      <c r="C65" s="200"/>
      <c r="E65" s="205"/>
      <c r="F65" s="206"/>
      <c r="G65" s="194"/>
    </row>
    <row r="66" spans="1:7">
      <c r="B66" s="198" t="s">
        <v>406</v>
      </c>
      <c r="C66" s="207">
        <f>AVERAGE(C52:C64)</f>
        <v>0</v>
      </c>
      <c r="D66" s="193">
        <f>SUM(D52:D65)</f>
        <v>0</v>
      </c>
      <c r="E66" s="208"/>
      <c r="F66" s="209"/>
      <c r="G66" s="194"/>
    </row>
    <row r="67" spans="1:7">
      <c r="E67" s="194"/>
      <c r="F67" s="194"/>
      <c r="G67" s="194"/>
    </row>
    <row r="70" spans="1:7" ht="18.75">
      <c r="A70" s="192" t="s">
        <v>400</v>
      </c>
    </row>
    <row r="71" spans="1:7">
      <c r="A71" s="193" t="s">
        <v>597</v>
      </c>
    </row>
    <row r="72" spans="1:7">
      <c r="A72" s="193" t="s">
        <v>572</v>
      </c>
    </row>
    <row r="74" spans="1:7">
      <c r="D74" s="210">
        <v>282</v>
      </c>
      <c r="E74" s="210">
        <v>283</v>
      </c>
      <c r="F74" s="210">
        <v>190</v>
      </c>
      <c r="G74" s="210">
        <v>255</v>
      </c>
    </row>
    <row r="75" spans="1:7">
      <c r="B75" s="193" t="s">
        <v>599</v>
      </c>
    </row>
    <row r="76" spans="1:7">
      <c r="B76" s="195">
        <v>41244</v>
      </c>
      <c r="C76" s="211">
        <v>0</v>
      </c>
      <c r="D76" s="212">
        <v>-284760485.90999997</v>
      </c>
      <c r="E76" s="212">
        <v>-21072584.340000004</v>
      </c>
      <c r="F76" s="212">
        <v>25988021.700000003</v>
      </c>
      <c r="G76" s="211">
        <v>0</v>
      </c>
    </row>
    <row r="77" spans="1:7">
      <c r="B77" s="195">
        <v>41275</v>
      </c>
      <c r="C77" s="213">
        <v>0</v>
      </c>
      <c r="D77" s="203">
        <v>-286101307.90999997</v>
      </c>
      <c r="E77" s="203">
        <v>-20813367.600000005</v>
      </c>
      <c r="F77" s="203">
        <v>26063493.160000004</v>
      </c>
      <c r="G77" s="211">
        <v>0</v>
      </c>
    </row>
    <row r="78" spans="1:7">
      <c r="B78" s="195">
        <v>41306</v>
      </c>
      <c r="C78" s="213">
        <v>0</v>
      </c>
      <c r="D78" s="203">
        <v>-287571726.90999997</v>
      </c>
      <c r="E78" s="203">
        <v>-21016472.510000005</v>
      </c>
      <c r="F78" s="203">
        <v>26329217.340000004</v>
      </c>
      <c r="G78" s="211">
        <v>0</v>
      </c>
    </row>
    <row r="79" spans="1:7">
      <c r="B79" s="195">
        <v>41334</v>
      </c>
      <c r="C79" s="213">
        <v>0</v>
      </c>
      <c r="D79" s="203">
        <v>-288493216.90999997</v>
      </c>
      <c r="E79" s="203">
        <v>-21501622.900000006</v>
      </c>
      <c r="F79" s="203">
        <v>26333209.240000002</v>
      </c>
      <c r="G79" s="211">
        <v>0</v>
      </c>
    </row>
    <row r="80" spans="1:7">
      <c r="B80" s="195">
        <v>41365</v>
      </c>
      <c r="C80" s="213">
        <v>0</v>
      </c>
      <c r="D80" s="203">
        <v>-289694262.90999997</v>
      </c>
      <c r="E80" s="203">
        <v>-21655273.620000005</v>
      </c>
      <c r="F80" s="203">
        <v>26388979.790000003</v>
      </c>
      <c r="G80" s="211">
        <v>0</v>
      </c>
    </row>
    <row r="81" spans="1:7">
      <c r="B81" s="195">
        <v>41395</v>
      </c>
      <c r="C81" s="213">
        <v>0</v>
      </c>
      <c r="D81" s="203">
        <v>-290895306.90999997</v>
      </c>
      <c r="E81" s="203">
        <v>-22197766.980000004</v>
      </c>
      <c r="F81" s="203">
        <v>26444780.610000003</v>
      </c>
      <c r="G81" s="211">
        <v>0</v>
      </c>
    </row>
    <row r="82" spans="1:7">
      <c r="B82" s="195">
        <v>41426</v>
      </c>
      <c r="C82" s="213">
        <v>0</v>
      </c>
      <c r="D82" s="203">
        <v>-292096352.90999997</v>
      </c>
      <c r="E82" s="203">
        <v>-22214720.020000003</v>
      </c>
      <c r="F82" s="203">
        <v>26539285.050000004</v>
      </c>
      <c r="G82" s="211">
        <v>0</v>
      </c>
    </row>
    <row r="83" spans="1:7">
      <c r="B83" s="195">
        <v>41456</v>
      </c>
      <c r="C83" s="213">
        <v>0</v>
      </c>
      <c r="D83" s="203">
        <v>-293297396.91000003</v>
      </c>
      <c r="E83" s="203">
        <v>-21849289.030000005</v>
      </c>
      <c r="F83" s="203">
        <v>26594898.400000002</v>
      </c>
      <c r="G83" s="211">
        <v>0</v>
      </c>
    </row>
    <row r="84" spans="1:7">
      <c r="B84" s="195">
        <v>41487</v>
      </c>
      <c r="C84" s="213">
        <v>0</v>
      </c>
      <c r="D84" s="203">
        <v>-294498441.91000003</v>
      </c>
      <c r="E84" s="203">
        <v>-21998054.420000006</v>
      </c>
      <c r="F84" s="203">
        <v>26650491.240000002</v>
      </c>
      <c r="G84" s="211">
        <v>0</v>
      </c>
    </row>
    <row r="85" spans="1:7">
      <c r="B85" s="195">
        <v>41518</v>
      </c>
      <c r="C85" s="213">
        <v>0</v>
      </c>
      <c r="D85" s="203">
        <v>-303287799.91000003</v>
      </c>
      <c r="E85" s="203">
        <v>-20957829.290000003</v>
      </c>
      <c r="F85" s="203">
        <v>28970083.410000004</v>
      </c>
      <c r="G85" s="211">
        <v>0</v>
      </c>
    </row>
    <row r="86" spans="1:7">
      <c r="B86" s="195">
        <v>41548</v>
      </c>
      <c r="C86" s="213">
        <v>0</v>
      </c>
      <c r="D86" s="203">
        <v>-304373018.91000003</v>
      </c>
      <c r="E86" s="203">
        <v>-20680090.120000005</v>
      </c>
      <c r="F86" s="203">
        <v>29053970.510000002</v>
      </c>
      <c r="G86" s="211">
        <v>0</v>
      </c>
    </row>
    <row r="87" spans="1:7">
      <c r="B87" s="195">
        <v>41579</v>
      </c>
      <c r="C87" s="213">
        <v>0</v>
      </c>
      <c r="D87" s="203">
        <v>-305643853.91000003</v>
      </c>
      <c r="E87" s="203">
        <v>-20605577.870000005</v>
      </c>
      <c r="F87" s="203">
        <v>29437078.210000001</v>
      </c>
      <c r="G87" s="211">
        <v>0</v>
      </c>
    </row>
    <row r="88" spans="1:7">
      <c r="B88" s="195">
        <v>41609</v>
      </c>
      <c r="C88" s="214">
        <v>0</v>
      </c>
      <c r="D88" s="197">
        <v>-292142958.91000003</v>
      </c>
      <c r="E88" s="212">
        <v>-35070427.620000005</v>
      </c>
      <c r="F88" s="197">
        <f>32591111.39+244429</f>
        <v>32835540.390000001</v>
      </c>
      <c r="G88" s="212">
        <v>0</v>
      </c>
    </row>
    <row r="89" spans="1:7">
      <c r="B89" s="195"/>
      <c r="C89" s="215"/>
      <c r="D89" s="215"/>
      <c r="E89" s="215"/>
      <c r="F89" s="215"/>
      <c r="G89" s="215"/>
    </row>
    <row r="90" spans="1:7">
      <c r="B90" s="198" t="s">
        <v>406</v>
      </c>
      <c r="C90" s="216">
        <f>SUM(C76:C88)/13</f>
        <v>0</v>
      </c>
      <c r="D90" s="197">
        <f>SUM(D76:D88)/13</f>
        <v>-293296625.44846141</v>
      </c>
      <c r="E90" s="197">
        <f>SUM(E76:E88)/13</f>
        <v>-22433313.563076928</v>
      </c>
      <c r="F90" s="197">
        <f>SUM(F76:F88)/13</f>
        <v>27509926.850000001</v>
      </c>
      <c r="G90" s="216">
        <f>SUM(G76:G88)/13</f>
        <v>0</v>
      </c>
    </row>
    <row r="91" spans="1:7">
      <c r="B91" s="198"/>
      <c r="C91" s="216"/>
      <c r="D91" s="197"/>
      <c r="E91" s="197"/>
      <c r="F91" s="197"/>
      <c r="G91" s="216"/>
    </row>
    <row r="92" spans="1:7">
      <c r="B92" s="345" t="s">
        <v>600</v>
      </c>
      <c r="C92" s="216"/>
      <c r="D92" s="197"/>
      <c r="E92" s="197"/>
      <c r="F92" s="197"/>
      <c r="G92" s="216"/>
    </row>
    <row r="95" spans="1:7" ht="18.75">
      <c r="A95" s="192" t="s">
        <v>400</v>
      </c>
    </row>
    <row r="96" spans="1:7">
      <c r="A96" s="193" t="s">
        <v>577</v>
      </c>
    </row>
    <row r="97" spans="1:7">
      <c r="A97" s="193" t="s">
        <v>408</v>
      </c>
    </row>
    <row r="99" spans="1:7">
      <c r="B99" s="193" t="s">
        <v>410</v>
      </c>
      <c r="G99" s="341" t="s">
        <v>9</v>
      </c>
    </row>
    <row r="100" spans="1:7">
      <c r="C100" s="217" t="s">
        <v>411</v>
      </c>
      <c r="E100" s="340" t="s">
        <v>8</v>
      </c>
      <c r="F100" s="340" t="s">
        <v>575</v>
      </c>
      <c r="G100" s="340" t="s">
        <v>576</v>
      </c>
    </row>
    <row r="101" spans="1:7">
      <c r="B101" s="195">
        <v>41244</v>
      </c>
      <c r="C101" s="197">
        <v>78737</v>
      </c>
      <c r="D101" s="203"/>
      <c r="E101" s="197">
        <v>78737</v>
      </c>
      <c r="F101" s="197">
        <f>990657-78737</f>
        <v>911920</v>
      </c>
      <c r="G101" s="197">
        <f>+E101+F101</f>
        <v>990657</v>
      </c>
    </row>
    <row r="102" spans="1:7">
      <c r="B102" s="195">
        <v>41275</v>
      </c>
      <c r="C102" s="203">
        <v>0</v>
      </c>
      <c r="D102" s="203"/>
      <c r="E102" s="203">
        <v>0</v>
      </c>
      <c r="F102" s="203">
        <v>0</v>
      </c>
      <c r="G102" s="203"/>
    </row>
    <row r="103" spans="1:7">
      <c r="B103" s="195">
        <v>41306</v>
      </c>
      <c r="C103" s="203">
        <v>0</v>
      </c>
      <c r="D103" s="203"/>
      <c r="E103" s="203">
        <v>0</v>
      </c>
      <c r="F103" s="203">
        <v>0</v>
      </c>
      <c r="G103" s="203"/>
    </row>
    <row r="104" spans="1:7">
      <c r="B104" s="195">
        <v>41334</v>
      </c>
      <c r="C104" s="203">
        <v>0</v>
      </c>
      <c r="D104" s="203"/>
      <c r="E104" s="203">
        <v>0</v>
      </c>
      <c r="F104" s="203">
        <v>0</v>
      </c>
      <c r="G104" s="203"/>
    </row>
    <row r="105" spans="1:7">
      <c r="B105" s="195">
        <v>41365</v>
      </c>
      <c r="C105" s="203">
        <v>0</v>
      </c>
      <c r="D105" s="203"/>
      <c r="E105" s="203">
        <v>0</v>
      </c>
      <c r="F105" s="203">
        <v>0</v>
      </c>
      <c r="G105" s="203"/>
    </row>
    <row r="106" spans="1:7">
      <c r="B106" s="195">
        <v>41395</v>
      </c>
      <c r="C106" s="203">
        <v>0</v>
      </c>
      <c r="D106" s="203"/>
      <c r="E106" s="203">
        <v>0</v>
      </c>
      <c r="F106" s="203">
        <v>0</v>
      </c>
      <c r="G106" s="203"/>
    </row>
    <row r="107" spans="1:7">
      <c r="B107" s="195">
        <v>41426</v>
      </c>
      <c r="C107" s="203">
        <v>0</v>
      </c>
      <c r="D107" s="203"/>
      <c r="E107" s="203">
        <v>0</v>
      </c>
      <c r="F107" s="203">
        <v>0</v>
      </c>
      <c r="G107" s="203"/>
    </row>
    <row r="108" spans="1:7">
      <c r="B108" s="195">
        <v>41456</v>
      </c>
      <c r="C108" s="203">
        <v>0</v>
      </c>
      <c r="D108" s="203"/>
      <c r="E108" s="203">
        <v>0</v>
      </c>
      <c r="F108" s="203">
        <v>0</v>
      </c>
      <c r="G108" s="203"/>
    </row>
    <row r="109" spans="1:7">
      <c r="B109" s="195">
        <v>41487</v>
      </c>
      <c r="C109" s="203">
        <v>0</v>
      </c>
      <c r="D109" s="203"/>
      <c r="E109" s="203">
        <v>0</v>
      </c>
      <c r="F109" s="203">
        <v>0</v>
      </c>
      <c r="G109" s="203"/>
    </row>
    <row r="110" spans="1:7">
      <c r="B110" s="195">
        <v>41518</v>
      </c>
      <c r="C110" s="203">
        <v>0</v>
      </c>
      <c r="D110" s="203"/>
      <c r="E110" s="203">
        <v>0</v>
      </c>
      <c r="F110" s="203">
        <v>0</v>
      </c>
      <c r="G110" s="203"/>
    </row>
    <row r="111" spans="1:7">
      <c r="B111" s="195">
        <v>41548</v>
      </c>
      <c r="C111" s="203">
        <v>0</v>
      </c>
      <c r="D111" s="203"/>
      <c r="E111" s="203"/>
      <c r="F111" s="203"/>
      <c r="G111" s="203"/>
    </row>
    <row r="112" spans="1:7">
      <c r="B112" s="195">
        <v>41579</v>
      </c>
      <c r="C112" s="203">
        <v>0</v>
      </c>
      <c r="D112" s="203"/>
      <c r="E112" s="203">
        <v>0</v>
      </c>
      <c r="F112" s="203">
        <v>0</v>
      </c>
      <c r="G112" s="203"/>
    </row>
    <row r="113" spans="1:7">
      <c r="B113" s="195">
        <v>41609</v>
      </c>
      <c r="C113" s="342">
        <f>+C101</f>
        <v>78737</v>
      </c>
      <c r="D113" s="197"/>
      <c r="E113" s="203">
        <v>78737</v>
      </c>
      <c r="F113" s="203">
        <v>911920</v>
      </c>
      <c r="G113" s="197">
        <f>+E113+F113</f>
        <v>990657</v>
      </c>
    </row>
    <row r="114" spans="1:7">
      <c r="B114" s="195"/>
      <c r="C114" s="203"/>
      <c r="D114" s="203"/>
      <c r="E114" s="196"/>
      <c r="F114" s="196"/>
      <c r="G114" s="196"/>
    </row>
    <row r="115" spans="1:7">
      <c r="B115" s="198" t="s">
        <v>409</v>
      </c>
      <c r="C115" s="203">
        <f>(C101+C113)/2</f>
        <v>78737</v>
      </c>
      <c r="D115" s="203"/>
      <c r="E115" s="203">
        <f>(E101+E113)/2</f>
        <v>78737</v>
      </c>
      <c r="F115" s="203">
        <f>(F101+F113)/2</f>
        <v>911920</v>
      </c>
      <c r="G115" s="203">
        <f>(G101+G113)/2</f>
        <v>990657</v>
      </c>
    </row>
    <row r="116" spans="1:7">
      <c r="B116" s="220"/>
      <c r="C116" s="199"/>
    </row>
    <row r="117" spans="1:7">
      <c r="B117" s="220" t="s">
        <v>412</v>
      </c>
    </row>
    <row r="121" spans="1:7" ht="18.75">
      <c r="A121" s="192" t="s">
        <v>400</v>
      </c>
    </row>
    <row r="122" spans="1:7">
      <c r="A122" s="193" t="s">
        <v>413</v>
      </c>
    </row>
    <row r="123" spans="1:7">
      <c r="A123" s="193" t="s">
        <v>408</v>
      </c>
    </row>
    <row r="125" spans="1:7">
      <c r="B125" s="221" t="s">
        <v>414</v>
      </c>
    </row>
    <row r="127" spans="1:7">
      <c r="C127" s="222" t="s">
        <v>415</v>
      </c>
      <c r="D127" s="222" t="s">
        <v>416</v>
      </c>
    </row>
    <row r="128" spans="1:7">
      <c r="B128" s="195">
        <v>41244</v>
      </c>
      <c r="C128" s="201">
        <v>2945986</v>
      </c>
      <c r="D128" s="201">
        <v>717989</v>
      </c>
    </row>
    <row r="129" spans="2:5">
      <c r="B129" s="195">
        <v>41275</v>
      </c>
      <c r="C129" s="203">
        <v>0</v>
      </c>
      <c r="D129" s="203">
        <v>0</v>
      </c>
    </row>
    <row r="130" spans="2:5">
      <c r="B130" s="195">
        <v>41306</v>
      </c>
      <c r="C130" s="203">
        <v>0</v>
      </c>
      <c r="D130" s="203">
        <v>0</v>
      </c>
    </row>
    <row r="131" spans="2:5">
      <c r="B131" s="195">
        <v>41334</v>
      </c>
      <c r="C131" s="203">
        <v>0</v>
      </c>
      <c r="D131" s="203">
        <v>0</v>
      </c>
    </row>
    <row r="132" spans="2:5">
      <c r="B132" s="195">
        <v>41365</v>
      </c>
      <c r="C132" s="203">
        <v>0</v>
      </c>
      <c r="D132" s="203">
        <v>0</v>
      </c>
    </row>
    <row r="133" spans="2:5">
      <c r="B133" s="195">
        <v>41395</v>
      </c>
      <c r="C133" s="203">
        <v>0</v>
      </c>
      <c r="D133" s="203">
        <v>0</v>
      </c>
    </row>
    <row r="134" spans="2:5">
      <c r="B134" s="195">
        <v>41426</v>
      </c>
      <c r="C134" s="203">
        <v>0</v>
      </c>
      <c r="D134" s="203">
        <v>0</v>
      </c>
    </row>
    <row r="135" spans="2:5">
      <c r="B135" s="195">
        <v>41456</v>
      </c>
      <c r="C135" s="203">
        <v>0</v>
      </c>
      <c r="D135" s="203">
        <v>0</v>
      </c>
    </row>
    <row r="136" spans="2:5">
      <c r="B136" s="195">
        <v>41487</v>
      </c>
      <c r="C136" s="203">
        <v>0</v>
      </c>
      <c r="D136" s="203">
        <v>0</v>
      </c>
    </row>
    <row r="137" spans="2:5">
      <c r="B137" s="195">
        <v>41518</v>
      </c>
      <c r="C137" s="203">
        <v>0</v>
      </c>
      <c r="D137" s="203">
        <v>0</v>
      </c>
    </row>
    <row r="138" spans="2:5">
      <c r="B138" s="195">
        <v>41548</v>
      </c>
      <c r="C138" s="203">
        <v>0</v>
      </c>
      <c r="D138" s="203">
        <v>0</v>
      </c>
    </row>
    <row r="139" spans="2:5">
      <c r="B139" s="195">
        <v>41579</v>
      </c>
      <c r="C139" s="203">
        <v>0</v>
      </c>
      <c r="D139" s="203">
        <v>0</v>
      </c>
    </row>
    <row r="140" spans="2:5">
      <c r="B140" s="195">
        <v>41609</v>
      </c>
      <c r="C140" s="201">
        <v>2537452</v>
      </c>
      <c r="D140" s="201">
        <v>573024</v>
      </c>
    </row>
    <row r="141" spans="2:5">
      <c r="B141" s="195"/>
    </row>
    <row r="142" spans="2:5">
      <c r="B142" s="198" t="s">
        <v>409</v>
      </c>
      <c r="C142" s="199">
        <f>(C140+C128)/2</f>
        <v>2741719</v>
      </c>
      <c r="D142" s="199">
        <f>(D140+D128)/2</f>
        <v>645506.5</v>
      </c>
      <c r="E142" s="218">
        <f>+C142+D142</f>
        <v>3387225.5</v>
      </c>
    </row>
    <row r="144" spans="2:5">
      <c r="C144" s="223"/>
      <c r="D144" s="223"/>
    </row>
    <row r="145" spans="1:7">
      <c r="A145" s="194"/>
      <c r="B145" s="194"/>
      <c r="C145" s="194"/>
      <c r="D145" s="194"/>
      <c r="E145" s="194"/>
      <c r="F145" s="194"/>
      <c r="G145" s="194"/>
    </row>
    <row r="146" spans="1:7">
      <c r="A146" s="194"/>
      <c r="B146" s="208"/>
      <c r="C146" s="224"/>
      <c r="D146" s="224"/>
      <c r="E146" s="194"/>
      <c r="F146" s="194"/>
      <c r="G146" s="194"/>
    </row>
    <row r="147" spans="1:7">
      <c r="A147" s="194"/>
      <c r="B147" s="194"/>
      <c r="C147" s="225"/>
      <c r="D147" s="226"/>
      <c r="E147" s="194"/>
      <c r="F147" s="194"/>
      <c r="G147" s="194"/>
    </row>
    <row r="148" spans="1:7">
      <c r="A148" s="194"/>
      <c r="B148" s="194"/>
      <c r="C148" s="224"/>
      <c r="D148" s="194"/>
      <c r="E148" s="194"/>
      <c r="F148" s="194"/>
      <c r="G148" s="194"/>
    </row>
    <row r="149" spans="1:7">
      <c r="A149" s="194"/>
      <c r="B149" s="194"/>
      <c r="C149" s="224"/>
      <c r="D149" s="194"/>
      <c r="E149" s="194"/>
      <c r="F149" s="194"/>
      <c r="G149" s="194"/>
    </row>
    <row r="150" spans="1:7">
      <c r="A150" s="194"/>
      <c r="B150" s="226"/>
      <c r="C150" s="194"/>
      <c r="D150" s="194"/>
      <c r="E150" s="194"/>
      <c r="F150" s="194"/>
      <c r="G150" s="194"/>
    </row>
    <row r="152" spans="1:7" ht="18.75">
      <c r="A152" s="192" t="s">
        <v>400</v>
      </c>
    </row>
    <row r="153" spans="1:7">
      <c r="A153" s="193" t="s">
        <v>417</v>
      </c>
    </row>
    <row r="154" spans="1:7">
      <c r="A154" s="193" t="s">
        <v>408</v>
      </c>
    </row>
    <row r="156" spans="1:7">
      <c r="B156" s="193" t="s">
        <v>418</v>
      </c>
    </row>
    <row r="157" spans="1:7">
      <c r="B157" s="221" t="s">
        <v>419</v>
      </c>
    </row>
    <row r="159" spans="1:7">
      <c r="C159" s="217" t="s">
        <v>417</v>
      </c>
      <c r="D159" s="227"/>
    </row>
    <row r="160" spans="1:7">
      <c r="B160" s="195">
        <v>41244</v>
      </c>
      <c r="C160" s="197">
        <v>11899084</v>
      </c>
      <c r="D160" s="228"/>
    </row>
    <row r="161" spans="2:4">
      <c r="B161" s="195">
        <v>41275</v>
      </c>
      <c r="C161" s="203">
        <v>0</v>
      </c>
      <c r="D161" s="201"/>
    </row>
    <row r="162" spans="2:4">
      <c r="B162" s="195">
        <v>41306</v>
      </c>
      <c r="C162" s="203">
        <v>0</v>
      </c>
      <c r="D162" s="201"/>
    </row>
    <row r="163" spans="2:4">
      <c r="B163" s="195">
        <v>41334</v>
      </c>
      <c r="C163" s="203">
        <v>0</v>
      </c>
      <c r="D163" s="201"/>
    </row>
    <row r="164" spans="2:4">
      <c r="B164" s="195">
        <v>41365</v>
      </c>
      <c r="C164" s="203">
        <v>0</v>
      </c>
      <c r="D164" s="201"/>
    </row>
    <row r="165" spans="2:4">
      <c r="B165" s="195">
        <v>41395</v>
      </c>
      <c r="C165" s="203">
        <v>0</v>
      </c>
      <c r="D165" s="201"/>
    </row>
    <row r="166" spans="2:4">
      <c r="B166" s="195">
        <v>41426</v>
      </c>
      <c r="C166" s="203">
        <v>0</v>
      </c>
      <c r="D166" s="201"/>
    </row>
    <row r="167" spans="2:4">
      <c r="B167" s="195">
        <v>41456</v>
      </c>
      <c r="C167" s="203">
        <v>0</v>
      </c>
      <c r="D167" s="201"/>
    </row>
    <row r="168" spans="2:4">
      <c r="B168" s="195">
        <v>41487</v>
      </c>
      <c r="C168" s="203">
        <v>0</v>
      </c>
      <c r="D168" s="201"/>
    </row>
    <row r="169" spans="2:4">
      <c r="B169" s="195">
        <v>41518</v>
      </c>
      <c r="C169" s="203">
        <v>0</v>
      </c>
      <c r="D169" s="201"/>
    </row>
    <row r="170" spans="2:4">
      <c r="B170" s="195">
        <v>41548</v>
      </c>
      <c r="C170" s="203">
        <v>0</v>
      </c>
      <c r="D170" s="201"/>
    </row>
    <row r="171" spans="2:4">
      <c r="B171" s="195">
        <v>41579</v>
      </c>
      <c r="C171" s="203">
        <v>0</v>
      </c>
      <c r="D171" s="201"/>
    </row>
    <row r="172" spans="2:4">
      <c r="B172" s="195">
        <v>41609</v>
      </c>
      <c r="C172" s="219">
        <v>0</v>
      </c>
      <c r="D172" s="201"/>
    </row>
    <row r="173" spans="2:4">
      <c r="B173" s="195"/>
      <c r="D173" s="194"/>
    </row>
    <row r="174" spans="2:4">
      <c r="B174" s="198" t="s">
        <v>409</v>
      </c>
      <c r="C174" s="199">
        <f>(C160+C172)/2</f>
        <v>5949542</v>
      </c>
      <c r="D174" s="224"/>
    </row>
    <row r="175" spans="2:4">
      <c r="C175" s="225"/>
    </row>
    <row r="176" spans="2:4">
      <c r="C176" s="224"/>
    </row>
    <row r="177" spans="2:3">
      <c r="C177" s="199"/>
    </row>
    <row r="178" spans="2:3">
      <c r="B178" s="220"/>
    </row>
  </sheetData>
  <phoneticPr fontId="52" type="noConversion"/>
  <pageMargins left="0.5" right="0.75" top="1" bottom="1" header="0.5" footer="0.5"/>
  <pageSetup scale="60" fitToHeight="4" orientation="portrait" r:id="rId1"/>
  <headerFooter alignWithMargins="0"/>
  <rowBreaks count="3" manualBreakCount="3">
    <brk id="46" max="16383" man="1"/>
    <brk id="69" max="16383" man="1"/>
    <brk id="1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8"/>
  <sheetViews>
    <sheetView topLeftCell="A52" zoomScaleNormal="100" workbookViewId="0">
      <selection activeCell="E73" sqref="E73"/>
    </sheetView>
  </sheetViews>
  <sheetFormatPr defaultRowHeight="17.25"/>
  <cols>
    <col min="1" max="1" width="8.88671875" style="229"/>
    <col min="2" max="2" width="9" style="229" bestFit="1" customWidth="1"/>
    <col min="3" max="3" width="3.33203125" style="229" customWidth="1"/>
    <col min="4" max="4" width="52.6640625" style="229" customWidth="1"/>
    <col min="5" max="5" width="11.6640625" style="230" bestFit="1" customWidth="1"/>
    <col min="6" max="6" width="9.21875" style="230" bestFit="1" customWidth="1"/>
    <col min="7" max="16384" width="8.88671875" style="229"/>
  </cols>
  <sheetData>
    <row r="1" spans="1:7" ht="18.75">
      <c r="A1" s="192" t="s">
        <v>400</v>
      </c>
    </row>
    <row r="2" spans="1:7">
      <c r="A2" s="193" t="s">
        <v>420</v>
      </c>
    </row>
    <row r="3" spans="1:7">
      <c r="A3" s="193" t="s">
        <v>518</v>
      </c>
    </row>
    <row r="5" spans="1:7" ht="34.5">
      <c r="B5" s="231" t="s">
        <v>421</v>
      </c>
    </row>
    <row r="6" spans="1:7">
      <c r="B6" s="231"/>
      <c r="C6" s="232" t="s">
        <v>422</v>
      </c>
      <c r="G6" s="230"/>
    </row>
    <row r="7" spans="1:7">
      <c r="B7" s="203">
        <v>560</v>
      </c>
      <c r="D7" s="230" t="s">
        <v>423</v>
      </c>
      <c r="E7" s="197">
        <v>25.795000000000002</v>
      </c>
      <c r="G7" s="230"/>
    </row>
    <row r="8" spans="1:7">
      <c r="B8" s="233">
        <v>561.1</v>
      </c>
      <c r="D8" s="229" t="s">
        <v>424</v>
      </c>
      <c r="E8" s="203">
        <v>1039.31</v>
      </c>
      <c r="G8" s="230"/>
    </row>
    <row r="9" spans="1:7">
      <c r="B9" s="233">
        <v>561.20000000000005</v>
      </c>
      <c r="C9" s="230"/>
      <c r="D9" s="230" t="s">
        <v>425</v>
      </c>
      <c r="E9" s="203">
        <v>1045.538</v>
      </c>
      <c r="G9" s="230"/>
    </row>
    <row r="10" spans="1:7">
      <c r="B10" s="233">
        <v>561.29999999999995</v>
      </c>
      <c r="C10" s="230"/>
      <c r="D10" s="230" t="s">
        <v>426</v>
      </c>
      <c r="E10" s="203">
        <v>153.34800000000001</v>
      </c>
      <c r="G10" s="230"/>
    </row>
    <row r="11" spans="1:7" ht="16.5" customHeight="1">
      <c r="B11" s="233">
        <v>561.4</v>
      </c>
      <c r="C11" s="230"/>
      <c r="D11" s="230" t="s">
        <v>427</v>
      </c>
      <c r="E11" s="203">
        <v>9443.152</v>
      </c>
      <c r="G11" s="230"/>
    </row>
    <row r="12" spans="1:7">
      <c r="B12" s="233">
        <v>562</v>
      </c>
      <c r="C12" s="230"/>
      <c r="D12" s="230" t="s">
        <v>428</v>
      </c>
      <c r="E12" s="203">
        <v>196.00899999999999</v>
      </c>
      <c r="G12" s="230"/>
    </row>
    <row r="13" spans="1:7">
      <c r="B13" s="233">
        <v>563</v>
      </c>
      <c r="C13" s="230"/>
      <c r="D13" s="230" t="s">
        <v>429</v>
      </c>
      <c r="E13" s="203">
        <v>14.999000000000001</v>
      </c>
      <c r="G13" s="230"/>
    </row>
    <row r="14" spans="1:7">
      <c r="B14" s="233">
        <v>566</v>
      </c>
      <c r="C14" s="230"/>
      <c r="D14" s="230" t="s">
        <v>430</v>
      </c>
      <c r="E14" s="203">
        <v>8.0760000000000005</v>
      </c>
      <c r="G14" s="230"/>
    </row>
    <row r="15" spans="1:7">
      <c r="B15" s="233">
        <v>567</v>
      </c>
      <c r="C15" s="234"/>
      <c r="D15" s="234" t="s">
        <v>431</v>
      </c>
      <c r="E15" s="219">
        <v>26.105</v>
      </c>
      <c r="G15" s="230"/>
    </row>
    <row r="16" spans="1:7">
      <c r="B16" s="233"/>
      <c r="C16" s="230"/>
      <c r="D16" s="230" t="s">
        <v>432</v>
      </c>
      <c r="E16" s="218">
        <f>SUM(E7:E15)</f>
        <v>11952.331999999999</v>
      </c>
      <c r="G16" s="230"/>
    </row>
    <row r="17" spans="2:7">
      <c r="B17" s="233"/>
      <c r="C17" s="230"/>
      <c r="D17" s="230"/>
      <c r="G17" s="230"/>
    </row>
    <row r="18" spans="2:7">
      <c r="B18" s="235"/>
      <c r="C18" s="236" t="s">
        <v>433</v>
      </c>
      <c r="D18" s="230"/>
      <c r="E18" s="218"/>
      <c r="G18" s="230"/>
    </row>
    <row r="19" spans="2:7">
      <c r="B19" s="203">
        <v>568</v>
      </c>
      <c r="C19" s="230"/>
      <c r="D19" s="230" t="s">
        <v>423</v>
      </c>
      <c r="E19" s="197">
        <v>38.043999999999997</v>
      </c>
      <c r="G19" s="230"/>
    </row>
    <row r="20" spans="2:7">
      <c r="B20" s="233">
        <v>569</v>
      </c>
      <c r="C20" s="230"/>
      <c r="D20" s="230" t="s">
        <v>434</v>
      </c>
      <c r="E20" s="203">
        <v>176.41900000000001</v>
      </c>
      <c r="G20" s="230"/>
    </row>
    <row r="21" spans="2:7">
      <c r="B21" s="233">
        <v>569.1</v>
      </c>
      <c r="C21" s="230"/>
      <c r="D21" s="230" t="s">
        <v>435</v>
      </c>
      <c r="E21" s="203">
        <v>23.911999999999999</v>
      </c>
      <c r="G21" s="230"/>
    </row>
    <row r="22" spans="2:7">
      <c r="B22" s="233">
        <v>569.20000000000005</v>
      </c>
      <c r="C22" s="230"/>
      <c r="D22" s="230" t="s">
        <v>436</v>
      </c>
      <c r="E22" s="203">
        <v>217.833</v>
      </c>
      <c r="G22" s="230"/>
    </row>
    <row r="23" spans="2:7">
      <c r="B23" s="233">
        <v>569.29999999999995</v>
      </c>
      <c r="C23" s="230"/>
      <c r="D23" s="230" t="s">
        <v>437</v>
      </c>
      <c r="E23" s="203">
        <v>235.47399999999999</v>
      </c>
      <c r="G23" s="230"/>
    </row>
    <row r="24" spans="2:7">
      <c r="B24" s="233">
        <v>570</v>
      </c>
      <c r="C24" s="230"/>
      <c r="D24" s="230" t="s">
        <v>438</v>
      </c>
      <c r="E24" s="203">
        <v>258.94</v>
      </c>
      <c r="G24" s="230"/>
    </row>
    <row r="25" spans="2:7">
      <c r="B25" s="233">
        <v>571</v>
      </c>
      <c r="C25" s="230"/>
      <c r="D25" s="234" t="s">
        <v>439</v>
      </c>
      <c r="E25" s="219">
        <v>773.34699999999998</v>
      </c>
      <c r="G25" s="230"/>
    </row>
    <row r="26" spans="2:7">
      <c r="B26" s="230"/>
      <c r="C26" s="230"/>
      <c r="D26" s="230" t="s">
        <v>440</v>
      </c>
      <c r="E26" s="218">
        <f>SUM(E18:E25)</f>
        <v>1723.9690000000001</v>
      </c>
      <c r="G26" s="230"/>
    </row>
    <row r="27" spans="2:7">
      <c r="B27" s="230"/>
      <c r="C27" s="230"/>
      <c r="D27" s="230"/>
      <c r="G27" s="230"/>
    </row>
    <row r="28" spans="2:7">
      <c r="B28" s="230"/>
      <c r="C28" s="230" t="s">
        <v>441</v>
      </c>
      <c r="D28" s="230"/>
      <c r="E28" s="218">
        <f>E26+E16</f>
        <v>13676.300999999999</v>
      </c>
      <c r="G28" s="230"/>
    </row>
    <row r="29" spans="2:7">
      <c r="B29" s="230"/>
      <c r="C29" s="230"/>
      <c r="D29" s="230"/>
      <c r="E29" s="218"/>
      <c r="G29" s="230"/>
    </row>
    <row r="30" spans="2:7">
      <c r="B30" s="230"/>
      <c r="C30" s="230" t="s">
        <v>442</v>
      </c>
      <c r="D30" s="230"/>
      <c r="G30" s="230"/>
    </row>
    <row r="31" spans="2:7">
      <c r="B31" s="233">
        <v>928</v>
      </c>
      <c r="C31" s="230"/>
      <c r="D31" s="230" t="s">
        <v>443</v>
      </c>
      <c r="E31" s="197">
        <v>725.19299999999998</v>
      </c>
      <c r="G31" s="230"/>
    </row>
    <row r="32" spans="2:7">
      <c r="B32" s="230"/>
      <c r="C32" s="230"/>
      <c r="D32" s="230"/>
      <c r="E32" s="218"/>
      <c r="G32" s="230"/>
    </row>
    <row r="33" spans="1:7">
      <c r="B33" s="230"/>
      <c r="C33" s="230"/>
      <c r="D33" s="230"/>
      <c r="E33" s="218"/>
      <c r="G33" s="230"/>
    </row>
    <row r="34" spans="1:7">
      <c r="B34" s="230"/>
      <c r="C34" s="230"/>
      <c r="D34" s="230"/>
      <c r="E34" s="218"/>
      <c r="G34" s="230"/>
    </row>
    <row r="35" spans="1:7">
      <c r="B35" s="230"/>
      <c r="C35" s="230"/>
      <c r="D35" s="230"/>
      <c r="E35" s="218"/>
      <c r="G35" s="230"/>
    </row>
    <row r="36" spans="1:7" ht="18.75">
      <c r="A36" s="192" t="s">
        <v>400</v>
      </c>
      <c r="B36" s="230"/>
      <c r="C36" s="230"/>
      <c r="D36" s="230"/>
      <c r="E36" s="218"/>
      <c r="G36" s="230"/>
    </row>
    <row r="37" spans="1:7">
      <c r="A37" s="193" t="s">
        <v>444</v>
      </c>
      <c r="B37" s="230"/>
      <c r="C37" s="230"/>
      <c r="D37" s="230"/>
      <c r="E37" s="218"/>
      <c r="G37" s="230"/>
    </row>
    <row r="38" spans="1:7">
      <c r="A38" s="193" t="s">
        <v>445</v>
      </c>
      <c r="B38" s="230"/>
      <c r="C38" s="230"/>
      <c r="D38" s="230"/>
      <c r="E38" s="218"/>
      <c r="G38" s="230"/>
    </row>
    <row r="39" spans="1:7">
      <c r="A39" s="193" t="s">
        <v>518</v>
      </c>
      <c r="B39" s="230"/>
      <c r="C39" s="230"/>
      <c r="D39" s="230"/>
      <c r="G39" s="230"/>
    </row>
    <row r="40" spans="1:7">
      <c r="B40" s="230"/>
      <c r="C40" s="230"/>
      <c r="D40" s="230"/>
      <c r="G40" s="230"/>
    </row>
    <row r="41" spans="1:7" ht="34.5">
      <c r="B41" s="235" t="s">
        <v>421</v>
      </c>
      <c r="C41" s="230"/>
      <c r="D41" s="230"/>
      <c r="G41" s="230"/>
    </row>
    <row r="42" spans="1:7">
      <c r="B42" s="235"/>
      <c r="C42" s="236" t="s">
        <v>446</v>
      </c>
      <c r="D42" s="230"/>
      <c r="G42" s="230"/>
    </row>
    <row r="43" spans="1:7">
      <c r="B43" s="233">
        <v>920</v>
      </c>
      <c r="C43" s="230"/>
      <c r="D43" s="230" t="s">
        <v>447</v>
      </c>
      <c r="E43" s="197">
        <v>15755.388000000001</v>
      </c>
      <c r="G43" s="230"/>
    </row>
    <row r="44" spans="1:7">
      <c r="B44" s="233">
        <v>921</v>
      </c>
      <c r="C44" s="230"/>
      <c r="D44" s="230" t="s">
        <v>448</v>
      </c>
      <c r="E44" s="203">
        <v>5895.0559999999996</v>
      </c>
      <c r="G44" s="230"/>
    </row>
    <row r="45" spans="1:7">
      <c r="A45" s="237" t="s">
        <v>449</v>
      </c>
      <c r="B45" s="233">
        <v>922</v>
      </c>
      <c r="C45" s="230"/>
      <c r="D45" s="230" t="s">
        <v>450</v>
      </c>
      <c r="E45" s="203">
        <v>-1933.44</v>
      </c>
      <c r="G45" s="230"/>
    </row>
    <row r="46" spans="1:7">
      <c r="B46" s="233">
        <v>923</v>
      </c>
      <c r="C46" s="230"/>
      <c r="D46" s="230" t="s">
        <v>451</v>
      </c>
      <c r="E46" s="203">
        <v>13024.999</v>
      </c>
      <c r="G46" s="230"/>
    </row>
    <row r="47" spans="1:7">
      <c r="B47" s="233">
        <v>924</v>
      </c>
      <c r="C47" s="230"/>
      <c r="D47" s="230" t="s">
        <v>452</v>
      </c>
      <c r="E47" s="203">
        <v>896.26400000000001</v>
      </c>
      <c r="G47" s="230"/>
    </row>
    <row r="48" spans="1:7">
      <c r="B48" s="233">
        <v>925</v>
      </c>
      <c r="C48" s="230"/>
      <c r="D48" s="230" t="s">
        <v>453</v>
      </c>
      <c r="E48" s="203">
        <v>1476.4069999999999</v>
      </c>
      <c r="G48" s="230"/>
    </row>
    <row r="49" spans="2:7">
      <c r="B49" s="233">
        <v>926</v>
      </c>
      <c r="C49" s="230"/>
      <c r="D49" s="230" t="s">
        <v>454</v>
      </c>
      <c r="E49" s="203">
        <v>11.423999999999999</v>
      </c>
      <c r="G49" s="230"/>
    </row>
    <row r="50" spans="2:7">
      <c r="B50" s="233">
        <v>928</v>
      </c>
      <c r="C50" s="230"/>
      <c r="D50" s="230" t="s">
        <v>455</v>
      </c>
      <c r="E50" s="203">
        <v>1097.4839999999999</v>
      </c>
      <c r="G50" s="230"/>
    </row>
    <row r="51" spans="2:7">
      <c r="B51" s="233">
        <v>930.2</v>
      </c>
      <c r="C51" s="230"/>
      <c r="D51" s="230" t="s">
        <v>456</v>
      </c>
      <c r="E51" s="203">
        <v>2858.7359999999999</v>
      </c>
      <c r="G51" s="230"/>
    </row>
    <row r="52" spans="2:7">
      <c r="B52" s="233">
        <v>931</v>
      </c>
      <c r="C52" s="230"/>
      <c r="D52" s="230" t="s">
        <v>431</v>
      </c>
      <c r="E52" s="203">
        <v>14.896000000000001</v>
      </c>
      <c r="G52" s="230"/>
    </row>
    <row r="53" spans="2:7">
      <c r="B53" s="233">
        <v>935</v>
      </c>
      <c r="C53" s="230"/>
      <c r="D53" s="234" t="s">
        <v>457</v>
      </c>
      <c r="E53" s="219">
        <v>638.24699999999996</v>
      </c>
      <c r="G53" s="230"/>
    </row>
    <row r="54" spans="2:7">
      <c r="B54" s="233"/>
      <c r="C54" s="230"/>
      <c r="D54" s="230" t="s">
        <v>458</v>
      </c>
      <c r="E54" s="197">
        <f>SUM(E43:E53)</f>
        <v>39735.460999999996</v>
      </c>
      <c r="G54" s="230"/>
    </row>
    <row r="55" spans="2:7">
      <c r="B55" s="233"/>
      <c r="C55" s="230"/>
      <c r="D55" s="230"/>
      <c r="G55" s="230"/>
    </row>
    <row r="56" spans="2:7">
      <c r="B56" s="230"/>
      <c r="C56" s="230"/>
      <c r="D56" s="230"/>
      <c r="G56" s="230"/>
    </row>
    <row r="57" spans="2:7">
      <c r="B57" s="230"/>
      <c r="C57" s="236" t="s">
        <v>84</v>
      </c>
      <c r="D57" s="230"/>
      <c r="G57" s="230"/>
    </row>
    <row r="58" spans="2:7">
      <c r="B58" s="230"/>
      <c r="C58" s="230"/>
      <c r="D58" s="230" t="s">
        <v>8</v>
      </c>
      <c r="E58" s="197">
        <v>8931.5529999999999</v>
      </c>
      <c r="G58" s="230"/>
    </row>
    <row r="59" spans="2:7">
      <c r="B59" s="230"/>
      <c r="C59" s="230"/>
      <c r="D59" s="230" t="s">
        <v>459</v>
      </c>
      <c r="E59" s="203">
        <v>958.41399999999999</v>
      </c>
      <c r="G59" s="230"/>
    </row>
    <row r="60" spans="2:7">
      <c r="B60" s="230"/>
      <c r="C60" s="230"/>
      <c r="D60" s="230" t="s">
        <v>405</v>
      </c>
      <c r="E60" s="203">
        <v>1269.1369999999999</v>
      </c>
      <c r="G60" s="230"/>
    </row>
    <row r="61" spans="2:7">
      <c r="B61" s="230"/>
      <c r="C61" s="230"/>
      <c r="D61" s="230"/>
      <c r="G61" s="230"/>
    </row>
    <row r="62" spans="2:7">
      <c r="B62" s="237"/>
      <c r="G62" s="230"/>
    </row>
    <row r="63" spans="2:7">
      <c r="C63" s="238" t="s">
        <v>460</v>
      </c>
      <c r="G63" s="230"/>
    </row>
    <row r="64" spans="2:7">
      <c r="C64" s="238"/>
      <c r="F64" s="344" t="s">
        <v>580</v>
      </c>
      <c r="G64" s="230"/>
    </row>
    <row r="65" spans="4:7">
      <c r="D65" s="230"/>
      <c r="E65" s="343" t="s">
        <v>461</v>
      </c>
      <c r="F65" s="343" t="s">
        <v>581</v>
      </c>
      <c r="G65" s="293"/>
    </row>
    <row r="66" spans="4:7">
      <c r="D66" s="229" t="s">
        <v>578</v>
      </c>
      <c r="E66" s="203">
        <f>9067883/1000</f>
        <v>9067.8829999999998</v>
      </c>
      <c r="F66" s="203"/>
      <c r="G66" s="203"/>
    </row>
    <row r="67" spans="4:7">
      <c r="D67" s="229" t="s">
        <v>579</v>
      </c>
      <c r="E67" s="203">
        <f>735000/1000</f>
        <v>735</v>
      </c>
      <c r="F67" s="203"/>
      <c r="G67" s="203"/>
    </row>
    <row r="68" spans="4:7">
      <c r="D68" s="229" t="s">
        <v>582</v>
      </c>
      <c r="E68" s="203"/>
      <c r="F68" s="203">
        <f>7686914/1000</f>
        <v>7686.9139999999998</v>
      </c>
      <c r="G68" s="203"/>
    </row>
    <row r="69" spans="4:7">
      <c r="E69" s="239">
        <f>SUM(E66:E68)</f>
        <v>9802.8829999999998</v>
      </c>
      <c r="F69" s="239">
        <f>SUM(F66:F68)</f>
        <v>7686.9139999999998</v>
      </c>
      <c r="G69" s="228"/>
    </row>
    <row r="70" spans="4:7">
      <c r="E70" s="219">
        <v>0</v>
      </c>
      <c r="G70" s="230"/>
    </row>
    <row r="71" spans="4:7">
      <c r="E71" s="218">
        <f>+E69+E70</f>
        <v>9802.8829999999998</v>
      </c>
      <c r="F71" s="335">
        <f>+F69</f>
        <v>7686.9139999999998</v>
      </c>
      <c r="G71" s="230"/>
    </row>
    <row r="72" spans="4:7">
      <c r="G72" s="230"/>
    </row>
    <row r="73" spans="4:7">
      <c r="D73" s="240" t="s">
        <v>474</v>
      </c>
      <c r="E73" s="203">
        <v>479.39699999999999</v>
      </c>
      <c r="G73" s="230"/>
    </row>
    <row r="74" spans="4:7">
      <c r="G74" s="230"/>
    </row>
    <row r="75" spans="4:7">
      <c r="G75" s="230"/>
    </row>
    <row r="76" spans="4:7">
      <c r="G76" s="230"/>
    </row>
    <row r="77" spans="4:7">
      <c r="G77" s="230"/>
    </row>
    <row r="78" spans="4:7">
      <c r="G78" s="230"/>
    </row>
  </sheetData>
  <phoneticPr fontId="52" type="noConversion"/>
  <pageMargins left="0.75" right="0.75" top="1" bottom="1" header="0.5" footer="0.5"/>
  <pageSetup scale="59" fitToHeight="2" orientation="portrait" r:id="rId1"/>
  <headerFooter alignWithMargins="0"/>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7"/>
  <sheetViews>
    <sheetView zoomScaleNormal="100" workbookViewId="0"/>
  </sheetViews>
  <sheetFormatPr defaultRowHeight="17.25"/>
  <cols>
    <col min="1" max="2" width="8.88671875" style="229"/>
    <col min="3" max="3" width="3.33203125" style="229" customWidth="1"/>
    <col min="4" max="4" width="43.5546875" style="229" customWidth="1"/>
    <col min="5" max="5" width="22.33203125" style="230" bestFit="1" customWidth="1"/>
    <col min="6" max="16384" width="8.88671875" style="229"/>
  </cols>
  <sheetData>
    <row r="1" spans="1:5" ht="18.75">
      <c r="A1" s="192" t="s">
        <v>400</v>
      </c>
    </row>
    <row r="2" spans="1:5">
      <c r="A2" s="229" t="s">
        <v>475</v>
      </c>
    </row>
    <row r="5" spans="1:5">
      <c r="C5" s="241" t="s">
        <v>94</v>
      </c>
    </row>
    <row r="6" spans="1:5">
      <c r="C6" s="193" t="s">
        <v>518</v>
      </c>
      <c r="E6" s="230" t="s">
        <v>476</v>
      </c>
    </row>
    <row r="7" spans="1:5">
      <c r="B7" s="242"/>
      <c r="D7" s="240" t="s">
        <v>267</v>
      </c>
      <c r="E7" s="218">
        <v>12298.069</v>
      </c>
    </row>
    <row r="8" spans="1:5">
      <c r="B8" s="242"/>
      <c r="D8" s="240" t="s">
        <v>13</v>
      </c>
      <c r="E8" s="203">
        <v>1569.64</v>
      </c>
    </row>
    <row r="9" spans="1:5">
      <c r="B9" s="242"/>
      <c r="D9" s="240" t="s">
        <v>269</v>
      </c>
      <c r="E9" s="203">
        <v>4473.2120000000004</v>
      </c>
    </row>
    <row r="10" spans="1:5">
      <c r="B10" s="242"/>
      <c r="D10" s="240" t="s">
        <v>127</v>
      </c>
      <c r="E10" s="203">
        <v>2079.576</v>
      </c>
    </row>
    <row r="11" spans="1:5">
      <c r="B11" s="242"/>
      <c r="D11" s="240"/>
      <c r="E11" s="203"/>
    </row>
    <row r="12" spans="1:5">
      <c r="B12" s="242"/>
      <c r="C12" s="241" t="s">
        <v>477</v>
      </c>
      <c r="E12" s="230" t="s">
        <v>478</v>
      </c>
    </row>
    <row r="13" spans="1:5">
      <c r="C13" s="243" t="s">
        <v>520</v>
      </c>
      <c r="D13" s="240"/>
      <c r="E13" s="203"/>
    </row>
    <row r="14" spans="1:5">
      <c r="B14" s="244"/>
      <c r="D14" s="240" t="s">
        <v>131</v>
      </c>
      <c r="E14" s="218">
        <v>2089.682773</v>
      </c>
    </row>
    <row r="15" spans="1:5">
      <c r="B15" s="244"/>
      <c r="D15" s="240" t="s">
        <v>132</v>
      </c>
      <c r="E15" s="203">
        <v>251.161394</v>
      </c>
    </row>
    <row r="16" spans="1:5">
      <c r="B16" s="245"/>
      <c r="D16" s="246" t="s">
        <v>134</v>
      </c>
      <c r="E16" s="219">
        <v>0</v>
      </c>
    </row>
    <row r="17" spans="5:5">
      <c r="E17" s="218">
        <f>SUM(E14:E16)</f>
        <v>2340.8441670000002</v>
      </c>
    </row>
  </sheetData>
  <phoneticPr fontId="52" type="noConversion"/>
  <pageMargins left="0.75" right="1" top="1" bottom="1" header="0.5" footer="0.5"/>
  <pageSetup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30"/>
  <sheetViews>
    <sheetView zoomScaleNormal="100" workbookViewId="0"/>
  </sheetViews>
  <sheetFormatPr defaultRowHeight="17.25"/>
  <cols>
    <col min="1" max="1" width="8.5546875" style="247" customWidth="1"/>
    <col min="2" max="2" width="7.33203125" style="247" customWidth="1"/>
    <col min="3" max="3" width="17" style="247" bestFit="1" customWidth="1"/>
    <col min="4" max="4" width="2" style="247" customWidth="1"/>
    <col min="5" max="5" width="15.21875" style="200" customWidth="1"/>
    <col min="6" max="6" width="9.33203125" style="247" customWidth="1"/>
    <col min="7" max="7" width="8.88671875" style="247"/>
    <col min="8" max="8" width="10.6640625" style="247" customWidth="1"/>
    <col min="9" max="9" width="8.88671875" style="247"/>
    <col min="10" max="10" width="15.33203125" style="247" customWidth="1"/>
    <col min="11" max="16384" width="8.88671875" style="247"/>
  </cols>
  <sheetData>
    <row r="1" spans="1:7" ht="18.75">
      <c r="A1" s="192" t="s">
        <v>400</v>
      </c>
    </row>
    <row r="2" spans="1:7">
      <c r="A2" s="229" t="s">
        <v>479</v>
      </c>
    </row>
    <row r="3" spans="1:7">
      <c r="A3" s="229" t="s">
        <v>521</v>
      </c>
    </row>
    <row r="5" spans="1:7">
      <c r="B5" s="248" t="s">
        <v>480</v>
      </c>
      <c r="C5" s="248"/>
      <c r="F5" s="200"/>
      <c r="G5" s="200"/>
    </row>
    <row r="6" spans="1:7">
      <c r="C6" s="249" t="s">
        <v>481</v>
      </c>
      <c r="E6" s="332">
        <v>607875.80299999996</v>
      </c>
      <c r="F6" s="200"/>
      <c r="G6" s="200"/>
    </row>
    <row r="7" spans="1:7">
      <c r="C7" s="249" t="s">
        <v>482</v>
      </c>
      <c r="E7" s="250">
        <v>31884.081999999999</v>
      </c>
      <c r="F7" s="200"/>
      <c r="G7" s="200"/>
    </row>
    <row r="8" spans="1:7">
      <c r="C8" s="251" t="s">
        <v>483</v>
      </c>
      <c r="E8" s="252">
        <f>+E7/E6</f>
        <v>5.2451638710810801E-2</v>
      </c>
      <c r="F8" s="200"/>
      <c r="G8" s="200"/>
    </row>
    <row r="9" spans="1:7">
      <c r="F9" s="200"/>
      <c r="G9" s="200"/>
    </row>
    <row r="10" spans="1:7">
      <c r="F10" s="200"/>
      <c r="G10" s="200"/>
    </row>
    <row r="11" spans="1:7">
      <c r="F11" s="200"/>
      <c r="G11" s="200"/>
    </row>
    <row r="12" spans="1:7">
      <c r="B12" s="248" t="s">
        <v>484</v>
      </c>
      <c r="C12" s="248"/>
      <c r="F12" s="200"/>
      <c r="G12" s="200"/>
    </row>
    <row r="13" spans="1:7">
      <c r="C13" s="247" t="s">
        <v>484</v>
      </c>
      <c r="E13" s="332">
        <v>782899.03799999994</v>
      </c>
      <c r="F13" s="200"/>
      <c r="G13" s="200"/>
    </row>
    <row r="14" spans="1:7" hidden="1">
      <c r="C14" s="247" t="s">
        <v>485</v>
      </c>
      <c r="E14" s="253">
        <v>0</v>
      </c>
      <c r="F14" s="200"/>
      <c r="G14" s="200"/>
    </row>
    <row r="15" spans="1:7" hidden="1">
      <c r="C15" s="248" t="s">
        <v>486</v>
      </c>
      <c r="D15" s="248"/>
      <c r="E15" s="254">
        <v>0</v>
      </c>
      <c r="F15" s="200"/>
      <c r="G15" s="200"/>
    </row>
    <row r="16" spans="1:7" ht="18" thickBot="1">
      <c r="E16" s="255">
        <f>SUM(E13:E15)</f>
        <v>782899.03799999994</v>
      </c>
      <c r="F16" s="200"/>
      <c r="G16" s="200"/>
    </row>
    <row r="17" spans="2:10" ht="18" thickTop="1">
      <c r="F17" s="200"/>
      <c r="G17" s="200"/>
    </row>
    <row r="18" spans="2:10">
      <c r="F18" s="200"/>
      <c r="G18" s="200"/>
    </row>
    <row r="19" spans="2:10">
      <c r="F19" s="200"/>
      <c r="G19" s="200"/>
    </row>
    <row r="20" spans="2:10">
      <c r="B20" s="247" t="s">
        <v>479</v>
      </c>
      <c r="E20" s="200" t="s">
        <v>487</v>
      </c>
      <c r="F20" s="200" t="s">
        <v>488</v>
      </c>
      <c r="G20" s="200" t="s">
        <v>99</v>
      </c>
      <c r="H20" s="247" t="s">
        <v>101</v>
      </c>
    </row>
    <row r="21" spans="2:10">
      <c r="C21" s="247" t="s">
        <v>480</v>
      </c>
      <c r="E21" s="256">
        <f>E6</f>
        <v>607875.80299999996</v>
      </c>
      <c r="F21" s="257">
        <f>E21/E24</f>
        <v>0.43707707752530445</v>
      </c>
      <c r="G21" s="257">
        <f>E8</f>
        <v>5.2451638710810801E-2</v>
      </c>
      <c r="H21" s="258">
        <f>G21*F21</f>
        <v>2.2925408959134311E-2</v>
      </c>
    </row>
    <row r="22" spans="2:10" hidden="1">
      <c r="C22" s="247" t="s">
        <v>489</v>
      </c>
      <c r="E22" s="259">
        <v>0</v>
      </c>
      <c r="F22" s="252">
        <v>0</v>
      </c>
      <c r="G22" s="260">
        <v>0</v>
      </c>
      <c r="H22" s="261">
        <f>G22*F22</f>
        <v>0</v>
      </c>
    </row>
    <row r="23" spans="2:10">
      <c r="C23" s="247" t="s">
        <v>484</v>
      </c>
      <c r="E23" s="262">
        <f>E16</f>
        <v>782899.03799999994</v>
      </c>
      <c r="F23" s="263">
        <f>E23/E24</f>
        <v>0.56292292247469544</v>
      </c>
      <c r="G23" s="263">
        <v>0.12379999999999999</v>
      </c>
      <c r="H23" s="264">
        <f>F23*G23</f>
        <v>6.9689857802367292E-2</v>
      </c>
    </row>
    <row r="24" spans="2:10">
      <c r="C24" s="247" t="s">
        <v>490</v>
      </c>
      <c r="E24" s="256">
        <f>SUM(E21:E23)</f>
        <v>1390774.841</v>
      </c>
      <c r="F24" s="257">
        <f>SUM(F21:F23)</f>
        <v>0.99999999999999989</v>
      </c>
      <c r="G24" s="200"/>
      <c r="H24" s="265">
        <f>SUM(H21:H23)</f>
        <v>9.26152667615016E-2</v>
      </c>
      <c r="J24" s="266"/>
    </row>
    <row r="30" spans="2:10">
      <c r="C30" s="267"/>
    </row>
  </sheetData>
  <phoneticPr fontId="52" type="noConversion"/>
  <pageMargins left="0.75" right="0.75" top="1" bottom="1" header="0.5" footer="0.5"/>
  <pageSetup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5"/>
  <sheetViews>
    <sheetView zoomScaleNormal="100" workbookViewId="0"/>
  </sheetViews>
  <sheetFormatPr defaultRowHeight="17.25"/>
  <cols>
    <col min="1" max="1" width="8.88671875" style="229"/>
    <col min="2" max="2" width="3.21875" style="229" customWidth="1"/>
    <col min="3" max="3" width="16.5546875" style="229" customWidth="1"/>
    <col min="4" max="4" width="12.44140625" style="230" bestFit="1" customWidth="1"/>
    <col min="5" max="8" width="8.88671875" style="229"/>
    <col min="9" max="9" width="9.5546875" style="229" customWidth="1"/>
    <col min="10" max="10" width="8.88671875" style="229"/>
    <col min="11" max="11" width="5.33203125" style="229" customWidth="1"/>
    <col min="12" max="12" width="4" style="229" customWidth="1"/>
    <col min="13" max="13" width="8.88671875" style="229"/>
    <col min="14" max="14" width="10.109375" style="229" customWidth="1"/>
    <col min="15" max="15" width="8.88671875" style="229"/>
    <col min="16" max="16" width="3.77734375" style="229" customWidth="1"/>
    <col min="17" max="17" width="3.21875" style="229" customWidth="1"/>
    <col min="18" max="18" width="8.88671875" style="229"/>
    <col min="19" max="19" width="10.5546875" style="229" customWidth="1"/>
    <col min="20" max="20" width="8.88671875" style="229"/>
    <col min="21" max="21" width="3.88671875" style="229" customWidth="1"/>
    <col min="22" max="16384" width="8.88671875" style="229"/>
  </cols>
  <sheetData>
    <row r="1" spans="1:5" ht="18.75">
      <c r="A1" s="192" t="s">
        <v>400</v>
      </c>
    </row>
    <row r="2" spans="1:5">
      <c r="A2" s="247" t="s">
        <v>491</v>
      </c>
    </row>
    <row r="3" spans="1:5">
      <c r="A3" s="268"/>
    </row>
    <row r="5" spans="1:5">
      <c r="B5" s="232" t="s">
        <v>492</v>
      </c>
    </row>
    <row r="6" spans="1:5">
      <c r="C6" s="247" t="s">
        <v>491</v>
      </c>
      <c r="D6" s="200"/>
    </row>
    <row r="7" spans="1:5">
      <c r="C7" s="247" t="s">
        <v>522</v>
      </c>
      <c r="D7" s="200"/>
    </row>
    <row r="8" spans="1:5">
      <c r="C8" s="247"/>
      <c r="D8" s="200"/>
    </row>
    <row r="9" spans="1:5" ht="21" customHeight="1">
      <c r="C9" s="247" t="s">
        <v>462</v>
      </c>
      <c r="D9" s="250">
        <v>927</v>
      </c>
      <c r="E9" s="269"/>
    </row>
    <row r="10" spans="1:5" ht="22.5">
      <c r="C10" s="247" t="s">
        <v>463</v>
      </c>
      <c r="D10" s="250">
        <v>925</v>
      </c>
      <c r="E10" s="269"/>
    </row>
    <row r="11" spans="1:5" ht="22.5">
      <c r="C11" s="247" t="s">
        <v>464</v>
      </c>
      <c r="D11" s="250">
        <v>879</v>
      </c>
      <c r="E11" s="269"/>
    </row>
    <row r="12" spans="1:5" ht="22.5">
      <c r="C12" s="247" t="s">
        <v>465</v>
      </c>
      <c r="D12" s="250">
        <v>858</v>
      </c>
      <c r="E12" s="269"/>
    </row>
    <row r="13" spans="1:5" ht="22.5">
      <c r="C13" s="247" t="s">
        <v>466</v>
      </c>
      <c r="D13" s="250">
        <v>1022</v>
      </c>
      <c r="E13" s="269"/>
    </row>
    <row r="14" spans="1:5" ht="22.5">
      <c r="C14" s="247" t="s">
        <v>467</v>
      </c>
      <c r="D14" s="250">
        <v>1156</v>
      </c>
      <c r="E14" s="269"/>
    </row>
    <row r="15" spans="1:5" ht="22.5">
      <c r="C15" s="247" t="s">
        <v>468</v>
      </c>
      <c r="D15" s="250">
        <v>1180</v>
      </c>
      <c r="E15" s="269"/>
    </row>
    <row r="16" spans="1:5" ht="22.5">
      <c r="C16" s="247" t="s">
        <v>469</v>
      </c>
      <c r="D16" s="250">
        <v>1207</v>
      </c>
      <c r="E16" s="269"/>
    </row>
    <row r="17" spans="3:5" ht="22.5">
      <c r="C17" s="247" t="s">
        <v>470</v>
      </c>
      <c r="D17" s="250">
        <v>1185</v>
      </c>
      <c r="E17" s="269"/>
    </row>
    <row r="18" spans="3:5" ht="22.5">
      <c r="C18" s="247" t="s">
        <v>471</v>
      </c>
      <c r="D18" s="250">
        <v>972</v>
      </c>
      <c r="E18" s="269"/>
    </row>
    <row r="19" spans="3:5" ht="22.5">
      <c r="C19" s="247" t="s">
        <v>472</v>
      </c>
      <c r="D19" s="250">
        <v>862</v>
      </c>
      <c r="E19" s="269"/>
    </row>
    <row r="20" spans="3:5" ht="22.5">
      <c r="C20" s="247" t="s">
        <v>473</v>
      </c>
      <c r="D20" s="254">
        <v>930</v>
      </c>
      <c r="E20" s="269"/>
    </row>
    <row r="21" spans="3:5">
      <c r="C21" s="247"/>
      <c r="D21" s="250">
        <f>SUM(D9:D20)</f>
        <v>12103</v>
      </c>
    </row>
    <row r="22" spans="3:5">
      <c r="C22" s="247" t="s">
        <v>493</v>
      </c>
      <c r="D22" s="253">
        <f>D21/12</f>
        <v>1008.5833333333334</v>
      </c>
    </row>
    <row r="23" spans="3:5" ht="18" thickBot="1">
      <c r="C23" s="247" t="s">
        <v>494</v>
      </c>
      <c r="D23" s="270">
        <f>D22*1000</f>
        <v>1008583.3333333334</v>
      </c>
    </row>
    <row r="24" spans="3:5" ht="19.5" thickTop="1">
      <c r="C24" s="271"/>
    </row>
    <row r="25" spans="3:5" ht="22.5">
      <c r="C25" s="272"/>
    </row>
  </sheetData>
  <phoneticPr fontId="5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2"/>
  <sheetViews>
    <sheetView zoomScaleNormal="100" workbookViewId="0">
      <selection activeCell="G26" sqref="G26"/>
    </sheetView>
  </sheetViews>
  <sheetFormatPr defaultRowHeight="15"/>
  <cols>
    <col min="1" max="1" width="6.44140625" style="273" customWidth="1"/>
    <col min="2" max="2" width="25.77734375" style="273" customWidth="1"/>
    <col min="3" max="8" width="18.77734375" style="273" customWidth="1"/>
    <col min="9" max="11" width="11" style="273" customWidth="1"/>
    <col min="12" max="16384" width="8.88671875" style="273"/>
  </cols>
  <sheetData>
    <row r="1" spans="1:11" ht="18">
      <c r="A1" s="192" t="s">
        <v>400</v>
      </c>
    </row>
    <row r="2" spans="1:11" ht="17.25">
      <c r="A2" s="200" t="s">
        <v>495</v>
      </c>
    </row>
    <row r="4" spans="1:11" s="230" customFormat="1" ht="17.25">
      <c r="B4" s="230" t="s">
        <v>496</v>
      </c>
    </row>
    <row r="5" spans="1:11" s="230" customFormat="1" ht="17.25">
      <c r="B5" s="274"/>
    </row>
    <row r="6" spans="1:11" s="230" customFormat="1" ht="17.25">
      <c r="B6" s="230" t="s">
        <v>497</v>
      </c>
    </row>
    <row r="7" spans="1:11" s="230" customFormat="1" ht="17.25">
      <c r="B7" s="230" t="s">
        <v>583</v>
      </c>
      <c r="C7" s="203">
        <v>1488928</v>
      </c>
    </row>
    <row r="8" spans="1:11" s="230" customFormat="1" ht="17.25">
      <c r="B8" s="230" t="s">
        <v>584</v>
      </c>
      <c r="C8" s="203">
        <v>3448961</v>
      </c>
    </row>
    <row r="9" spans="1:11" s="230" customFormat="1" ht="17.25">
      <c r="B9" s="230" t="s">
        <v>585</v>
      </c>
      <c r="C9" s="203">
        <v>22351787</v>
      </c>
      <c r="D9" s="218"/>
      <c r="G9" s="218"/>
      <c r="H9" s="218"/>
      <c r="I9" s="218"/>
      <c r="J9" s="218"/>
      <c r="K9" s="218"/>
    </row>
    <row r="10" spans="1:11" s="230" customFormat="1" ht="17.25">
      <c r="B10" s="333" t="s">
        <v>586</v>
      </c>
      <c r="C10" s="201">
        <v>1394120</v>
      </c>
      <c r="D10" s="218"/>
      <c r="G10" s="218"/>
      <c r="H10" s="218"/>
      <c r="I10" s="218"/>
      <c r="J10" s="218"/>
      <c r="K10" s="218"/>
    </row>
    <row r="11" spans="1:11" s="230" customFormat="1" ht="17.25">
      <c r="B11" s="333" t="s">
        <v>587</v>
      </c>
      <c r="C11" s="201">
        <v>8</v>
      </c>
      <c r="D11" s="218"/>
      <c r="G11" s="218"/>
      <c r="H11" s="218"/>
      <c r="I11" s="218"/>
      <c r="J11" s="218"/>
      <c r="K11" s="218"/>
    </row>
    <row r="12" spans="1:11" s="230" customFormat="1" ht="17.25">
      <c r="B12" s="334" t="s">
        <v>226</v>
      </c>
      <c r="C12" s="335">
        <f>SUM(C7:C11)</f>
        <v>28683804</v>
      </c>
      <c r="D12" s="218"/>
      <c r="G12" s="218"/>
      <c r="H12" s="218"/>
      <c r="I12" s="218"/>
      <c r="J12" s="218"/>
      <c r="K12" s="218"/>
    </row>
    <row r="13" spans="1:11" s="230" customFormat="1" ht="17.25">
      <c r="C13" s="203"/>
      <c r="D13" s="218"/>
      <c r="G13" s="218"/>
      <c r="H13" s="218"/>
      <c r="I13" s="218"/>
      <c r="J13" s="218"/>
      <c r="K13" s="218"/>
    </row>
    <row r="14" spans="1:11" s="230" customFormat="1" ht="17.25">
      <c r="B14" s="230" t="s">
        <v>498</v>
      </c>
      <c r="C14" s="203"/>
      <c r="D14" s="218"/>
      <c r="E14" s="218"/>
      <c r="F14" s="218"/>
      <c r="G14" s="218"/>
      <c r="H14" s="218"/>
      <c r="I14" s="218"/>
      <c r="J14" s="218"/>
      <c r="K14" s="218"/>
    </row>
    <row r="15" spans="1:11" s="230" customFormat="1" ht="17.25">
      <c r="B15" s="230" t="s">
        <v>588</v>
      </c>
      <c r="C15" s="282">
        <v>295774</v>
      </c>
      <c r="D15" s="218"/>
      <c r="E15" s="218"/>
      <c r="F15" s="218"/>
      <c r="G15" s="218"/>
      <c r="H15" s="218"/>
      <c r="I15" s="218"/>
      <c r="J15" s="218"/>
      <c r="K15" s="218"/>
    </row>
    <row r="16" spans="1:11" s="230" customFormat="1" ht="17.25">
      <c r="B16" s="230" t="s">
        <v>589</v>
      </c>
      <c r="C16" s="282">
        <v>263906</v>
      </c>
      <c r="D16" s="203"/>
      <c r="E16" s="203"/>
      <c r="F16" s="203"/>
      <c r="G16" s="203"/>
      <c r="H16" s="203"/>
      <c r="I16" s="203"/>
      <c r="J16" s="203"/>
      <c r="K16" s="203"/>
    </row>
    <row r="17" spans="2:11" s="230" customFormat="1" ht="17.25">
      <c r="B17" s="230" t="s">
        <v>590</v>
      </c>
      <c r="C17" s="283">
        <v>655071</v>
      </c>
      <c r="D17" s="201"/>
      <c r="E17" s="201"/>
      <c r="F17" s="201"/>
      <c r="G17" s="201"/>
      <c r="H17" s="201"/>
      <c r="I17" s="201"/>
      <c r="J17" s="201"/>
      <c r="K17" s="201"/>
    </row>
    <row r="18" spans="2:11" s="230" customFormat="1" ht="17.25">
      <c r="C18" s="219"/>
      <c r="D18" s="201"/>
      <c r="E18" s="201"/>
      <c r="F18" s="201"/>
      <c r="G18" s="201"/>
      <c r="H18" s="201"/>
      <c r="I18" s="201"/>
      <c r="J18" s="201"/>
      <c r="K18" s="201"/>
    </row>
    <row r="19" spans="2:11" s="230" customFormat="1" ht="17.25">
      <c r="B19" s="230" t="s">
        <v>499</v>
      </c>
      <c r="C19" s="203">
        <f>SUM(C12:C17)</f>
        <v>29898555</v>
      </c>
      <c r="D19" s="218"/>
      <c r="E19" s="218"/>
      <c r="F19" s="218"/>
      <c r="G19" s="218"/>
      <c r="H19" s="218"/>
      <c r="I19" s="218"/>
      <c r="J19" s="218"/>
      <c r="K19" s="218"/>
    </row>
    <row r="20" spans="2:11" s="230" customFormat="1" ht="17.25">
      <c r="C20" s="203"/>
    </row>
    <row r="21" spans="2:11" s="230" customFormat="1" ht="17.25">
      <c r="B21" s="230" t="s">
        <v>500</v>
      </c>
      <c r="C21" s="203">
        <f>+C15</f>
        <v>295774</v>
      </c>
    </row>
    <row r="22" spans="2:11" s="230" customFormat="1" ht="17.25">
      <c r="B22" s="230" t="s">
        <v>501</v>
      </c>
      <c r="C22" s="203">
        <f>+C16</f>
        <v>263906</v>
      </c>
    </row>
    <row r="23" spans="2:11" s="230" customFormat="1" ht="17.25">
      <c r="B23" s="230" t="s">
        <v>502</v>
      </c>
      <c r="C23" s="201">
        <f>+C8</f>
        <v>3448961</v>
      </c>
    </row>
    <row r="24" spans="2:11" s="230" customFormat="1" ht="17.25">
      <c r="B24" s="230" t="s">
        <v>503</v>
      </c>
      <c r="C24" s="203">
        <f>+C17</f>
        <v>655071</v>
      </c>
    </row>
    <row r="25" spans="2:11" s="230" customFormat="1" ht="17.25" hidden="1"/>
    <row r="26" spans="2:11" s="230" customFormat="1" ht="17.25">
      <c r="B26" s="230" t="s">
        <v>504</v>
      </c>
      <c r="C26" s="219">
        <f>+C9</f>
        <v>22351787</v>
      </c>
      <c r="G26" s="228"/>
    </row>
    <row r="27" spans="2:11" s="230" customFormat="1" ht="17.25">
      <c r="D27" s="228"/>
      <c r="E27" s="228"/>
      <c r="F27" s="228"/>
      <c r="H27" s="228"/>
      <c r="I27" s="228"/>
      <c r="J27" s="228"/>
      <c r="K27" s="228"/>
    </row>
    <row r="28" spans="2:11" s="230" customFormat="1" ht="18" thickBot="1">
      <c r="B28" s="275" t="s">
        <v>505</v>
      </c>
      <c r="C28" s="276">
        <f>C19-SUM(C21:C26)</f>
        <v>2883056</v>
      </c>
    </row>
    <row r="29" spans="2:11" s="230" customFormat="1" ht="18" thickTop="1">
      <c r="D29" s="228"/>
      <c r="E29" s="228"/>
      <c r="G29" s="228"/>
      <c r="H29" s="228"/>
      <c r="I29" s="228"/>
      <c r="J29" s="228"/>
      <c r="K29" s="228"/>
    </row>
    <row r="30" spans="2:11" s="230" customFormat="1" ht="17.25">
      <c r="B30" s="230" t="s">
        <v>601</v>
      </c>
    </row>
    <row r="31" spans="2:11" s="230" customFormat="1" ht="17.25">
      <c r="B31" s="230" t="s">
        <v>591</v>
      </c>
    </row>
    <row r="32" spans="2:11" ht="15.75">
      <c r="B32" s="277"/>
    </row>
  </sheetData>
  <phoneticPr fontId="5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O-GG</vt:lpstr>
      <vt:lpstr>Support for 2011 Correction</vt:lpstr>
      <vt:lpstr>SIGE</vt:lpstr>
      <vt:lpstr>Workpapers (Pages 1 to 5)</vt:lpstr>
      <vt:lpstr>Workpapers (Pages 6 and 7)</vt:lpstr>
      <vt:lpstr>Workpapers (Page 8)</vt:lpstr>
      <vt:lpstr>Workpapers (Page 9)</vt:lpstr>
      <vt:lpstr>Workpapers (Page 10)</vt:lpstr>
      <vt:lpstr>Workpapers (Page 11)</vt:lpstr>
      <vt:lpstr>SIGE!Print_Area</vt:lpstr>
      <vt:lpstr>'Workpapers (Page 11)'!Print_Area</vt:lpstr>
      <vt:lpstr>'Workpapers (Page 8)'!Print_Area</vt:lpstr>
      <vt:lpstr>'Workpapers (Pages 6 and 7)'!Print_Area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McDowell, Matt</dc:creator>
  <cp:lastModifiedBy>mmcdowell</cp:lastModifiedBy>
  <cp:lastPrinted>2014-05-21T16:38:30Z</cp:lastPrinted>
  <dcterms:created xsi:type="dcterms:W3CDTF">2008-08-26T13:54:56Z</dcterms:created>
  <dcterms:modified xsi:type="dcterms:W3CDTF">2014-05-30T17:51:12Z</dcterms:modified>
</cp:coreProperties>
</file>