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46" yWindow="3945" windowWidth="12120" windowHeight="4185" tabRatio="862" firstSheet="3" activeTab="8"/>
  </bookViews>
  <sheets>
    <sheet name="Attachment O" sheetId="1" r:id="rId1"/>
    <sheet name="Workpapers (Pages 1 to 5)" sheetId="2" r:id="rId2"/>
    <sheet name="Workpapers (page 6 and 7)" sheetId="3" r:id="rId3"/>
    <sheet name="Workpapapers  (Page 8)" sheetId="4" r:id="rId4"/>
    <sheet name="Workapapers (Page 9)" sheetId="5" r:id="rId5"/>
    <sheet name="Workpapes (Page 10)" sheetId="6" r:id="rId6"/>
    <sheet name="Workpapers (Page 11)" sheetId="7" r:id="rId7"/>
    <sheet name="Workpaper (Page 12)" sheetId="8" r:id="rId8"/>
    <sheet name="Schedule 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'Attachment O'!$A$1:$L$420</definedName>
    <definedName name="_xlnm.Print_Area" localSheetId="4">'Workapapers (Page 9)'!$A$1:$H$25</definedName>
    <definedName name="_xlnm.Print_Area" localSheetId="3">'Workpapapers  (Page 8)'!$A$1:$E$18</definedName>
    <definedName name="_xlnm.Print_Area" localSheetId="7">'Workpaper (Page 12)'!$A$1:$N$24</definedName>
    <definedName name="_xlnm.Print_Area" localSheetId="6">'Workpapers (Page 11)'!$A$1:$H$46</definedName>
    <definedName name="_xlnm.Print_Area" localSheetId="1">'Workpapers (Pages 1 to 5)'!$A$1:$G$176</definedName>
    <definedName name="_xlnm.Print_Titles" localSheetId="7">'Workpaper (Page 12)'!$A:$A</definedName>
  </definedNames>
  <calcPr fullCalcOnLoad="1"/>
</workbook>
</file>

<file path=xl/comments2.xml><?xml version="1.0" encoding="utf-8"?>
<comments xmlns="http://schemas.openxmlformats.org/spreadsheetml/2006/main">
  <authors>
    <author>mmcdowell</author>
    <author>abaumann</author>
  </authors>
  <commentList>
    <comment ref="G76" authorId="0">
      <text>
        <r>
          <rPr>
            <b/>
            <sz val="8"/>
            <rFont val="Tahoma"/>
            <family val="0"/>
          </rPr>
          <t>mmcdowell:</t>
        </r>
        <r>
          <rPr>
            <sz val="8"/>
            <rFont val="Tahoma"/>
            <family val="0"/>
          </rPr>
          <t xml:space="preserve">
ZERO per AB</t>
        </r>
      </text>
    </comment>
    <comment ref="D8" authorId="1">
      <text>
        <r>
          <rPr>
            <b/>
            <sz val="8"/>
            <rFont val="Tahoma"/>
            <family val="0"/>
          </rPr>
          <t>abaumann:</t>
        </r>
        <r>
          <rPr>
            <sz val="8"/>
            <rFont val="Tahoma"/>
            <family val="0"/>
          </rPr>
          <t xml:space="preserve">
includes $300K of incremental spend on recb projects placed in service in November  of 2010
</t>
        </r>
      </text>
    </comment>
    <comment ref="B5" authorId="1">
      <text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monthly additions per plant budget</t>
        </r>
      </text>
    </comment>
    <comment ref="B25" authorId="1">
      <text>
        <r>
          <rPr>
            <b/>
            <sz val="8"/>
            <rFont val="Tahoma"/>
            <family val="0"/>
          </rPr>
          <t>monthly depreciation per budget from plant</t>
        </r>
      </text>
    </comment>
  </commentList>
</comments>
</file>

<file path=xl/sharedStrings.xml><?xml version="1.0" encoding="utf-8"?>
<sst xmlns="http://schemas.openxmlformats.org/spreadsheetml/2006/main" count="806" uniqueCount="584">
  <si>
    <t xml:space="preserve">Formula Rate - Non-Levelized </t>
  </si>
  <si>
    <t xml:space="preserve">     Rate Formula Template</t>
  </si>
  <si>
    <t xml:space="preserve"> </t>
  </si>
  <si>
    <t xml:space="preserve"> Utilizing FERC Form 1 Data</t>
  </si>
  <si>
    <t>Line</t>
  </si>
  <si>
    <t>Allocated</t>
  </si>
  <si>
    <t>No.</t>
  </si>
  <si>
    <t>Amount</t>
  </si>
  <si>
    <t xml:space="preserve">REVENUE CREDITS </t>
  </si>
  <si>
    <t>Total</t>
  </si>
  <si>
    <t>Allocator</t>
  </si>
  <si>
    <t>TP</t>
  </si>
  <si>
    <t xml:space="preserve">  Account No. 454</t>
  </si>
  <si>
    <t>NET REVENUE REQUIREMENT</t>
  </si>
  <si>
    <t xml:space="preserve">DIVISOR </t>
  </si>
  <si>
    <t xml:space="preserve">  Average of 12 coincident system peaks for requirements (RQ) service       </t>
  </si>
  <si>
    <t>(Note A)</t>
  </si>
  <si>
    <t>(Note B)</t>
  </si>
  <si>
    <t>(Note C)</t>
  </si>
  <si>
    <t>(Note D)</t>
  </si>
  <si>
    <t>Annual Cost ($/kW/Yr)</t>
  </si>
  <si>
    <t>Peak Rate</t>
  </si>
  <si>
    <t>Off-Peak Rate</t>
  </si>
  <si>
    <t>Point-To-Point Rate ($/kW/Wk)</t>
  </si>
  <si>
    <t>Point-To-Point Rate ($/kW/Day)</t>
  </si>
  <si>
    <t>Capped at weekly rate</t>
  </si>
  <si>
    <t>Point-To-Point Rate ($/MWh)</t>
  </si>
  <si>
    <t>Capped at weekly</t>
  </si>
  <si>
    <t xml:space="preserve"> times 1,000)</t>
  </si>
  <si>
    <t>and daily rates</t>
  </si>
  <si>
    <t>FERC Annual Charge($/MWh)</t>
  </si>
  <si>
    <t xml:space="preserve">          (Note E)</t>
  </si>
  <si>
    <t>Short Term</t>
  </si>
  <si>
    <t>Long Term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</si>
  <si>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</si>
  <si>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</si>
  <si>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</si>
  <si>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</si>
  <si>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</si>
  <si>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</si>
  <si>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</si>
  <si>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</si>
  <si>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</si>
  <si>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 xml:space="preserve">                  Allocator</t>
  </si>
  <si>
    <t>(Col 3 times Col 4)</t>
  </si>
  <si>
    <t>RATE BASE: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</si>
  <si>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</si>
  <si>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</si>
  <si>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</si>
  <si>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</si>
  <si>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</si>
  <si>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</si>
  <si>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</si>
  <si>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</si>
  <si>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TOTAL GROSS PLANT (sum lines 1-5)</t>
  </si>
  <si>
    <t>GP=</t>
  </si>
  <si>
    <t>TOTAL ACCUM. DEPRECIATION (sum lines 7-11)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</si>
  <si>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</si>
  <si>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</si>
  <si>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</si>
  <si>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</si>
  <si>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</si>
  <si>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</si>
  <si>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</si>
  <si>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NP</t>
  </si>
  <si>
    <t>275.2.k</t>
  </si>
  <si>
    <t>277.9.k</t>
  </si>
  <si>
    <t>234.8.c</t>
  </si>
  <si>
    <t>214.x.d  (Note G)</t>
  </si>
  <si>
    <t>TE</t>
  </si>
  <si>
    <t>GP</t>
  </si>
  <si>
    <t>TOTAL WORKING CAPITAL (sum lines 26 - 28)</t>
  </si>
  <si>
    <t>O&amp;M</t>
  </si>
  <si>
    <t xml:space="preserve">  Transmission </t>
  </si>
  <si>
    <t xml:space="preserve">     Less Account 565</t>
  </si>
  <si>
    <t xml:space="preserve">  A&amp;G</t>
  </si>
  <si>
    <t xml:space="preserve">     Less FERC Annual Fees</t>
  </si>
  <si>
    <t xml:space="preserve">  Transmission Lease Payments</t>
  </si>
  <si>
    <t>DEPRECIATION EXPENSE</t>
  </si>
  <si>
    <t>336.7.b</t>
  </si>
  <si>
    <t xml:space="preserve">  General </t>
  </si>
  <si>
    <t>TOTAL DEPRECIATION (Sum lines 9 - 11)</t>
  </si>
  <si>
    <t>TAXES OTHER THAN INCOME TAXES  (Note J)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</si>
  <si>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</si>
  <si>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</si>
  <si>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</si>
  <si>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</si>
  <si>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</si>
  <si>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</si>
  <si>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</si>
  <si>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</si>
  <si>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</si>
  <si>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</si>
  <si>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INCOME TAXES          </t>
  </si>
  <si>
    <t xml:space="preserve"> (Note K)</t>
  </si>
  <si>
    <t xml:space="preserve">RETURN </t>
  </si>
  <si>
    <t xml:space="preserve">  [ Rate Base (page 2, line 30) * Rate of Return (page 4, line 30)]</t>
  </si>
  <si>
    <t xml:space="preserve">                SUPPORTING CALCULATIONS AND NOTES</t>
  </si>
  <si>
    <t xml:space="preserve">TRANSMISSION EXPENSES </t>
  </si>
  <si>
    <t>Total transmission expenses    (page 3, line 1, column 3)</t>
  </si>
  <si>
    <t>Less transmission expenses included in OATT Ancillary Services   (Note L)</t>
  </si>
  <si>
    <t>TE=</t>
  </si>
  <si>
    <t>TRANSMISSION PLANT INCLUDED IN ISO RATES</t>
  </si>
  <si>
    <t>Total transmission plant    (page 2, line 2, column 3)</t>
  </si>
  <si>
    <t>Less transmission plant excluded from ISO rates       (Note M)</t>
  </si>
  <si>
    <t>Less transmission plant included in OATT Ancillary Services    (Note N )</t>
  </si>
  <si>
    <t>TP=</t>
  </si>
  <si>
    <t>WAGES &amp; SALARY ALLOCATOR   (W&amp;S)</t>
  </si>
  <si>
    <t>Form 1 Reference</t>
  </si>
  <si>
    <t>$</t>
  </si>
  <si>
    <t>Allocation</t>
  </si>
  <si>
    <t>W&amp;S Allocator</t>
  </si>
  <si>
    <t xml:space="preserve">  Other</t>
  </si>
  <si>
    <t>($ / Allocation)</t>
  </si>
  <si>
    <t>=</t>
  </si>
  <si>
    <t>COMMON PLANT ALLOCATOR  (CE)   (Note O)</t>
  </si>
  <si>
    <t>% Electric</t>
  </si>
  <si>
    <t xml:space="preserve">  Electric</t>
  </si>
  <si>
    <t>200.3.c</t>
  </si>
  <si>
    <t>(line 17 / line 20)</t>
  </si>
  <si>
    <t>(line 16)</t>
  </si>
  <si>
    <t>CE</t>
  </si>
  <si>
    <t xml:space="preserve">  Gas</t>
  </si>
  <si>
    <t>*</t>
  </si>
  <si>
    <t xml:space="preserve">  Water</t>
  </si>
  <si>
    <t>RETURN (R)</t>
  </si>
  <si>
    <t>Preferred Dividends (118.29c) (positive number)</t>
  </si>
  <si>
    <t xml:space="preserve">                                          Development of Common Stock:</t>
  </si>
  <si>
    <t>Common Stock</t>
  </si>
  <si>
    <t>(sum lines 23-25)</t>
  </si>
  <si>
    <t>Cost</t>
  </si>
  <si>
    <t>%</t>
  </si>
  <si>
    <t>(Note P)</t>
  </si>
  <si>
    <t>Weighted</t>
  </si>
  <si>
    <t>=WCLTD</t>
  </si>
  <si>
    <t xml:space="preserve">  Common Stock  (line 26)</t>
  </si>
  <si>
    <t>=R</t>
  </si>
  <si>
    <t>REVENUE CREDITS</t>
  </si>
  <si>
    <t>ACCOUNT 447 (SALES FOR RESALE)</t>
  </si>
  <si>
    <t>(310-311)</t>
  </si>
  <si>
    <t>(Note Q)</t>
  </si>
  <si>
    <t xml:space="preserve">  Total of (a)-(b)</t>
  </si>
  <si>
    <t>ACCOUNT 454 (RENT FROM ELECTRIC PROPERTY)    (Note R)</t>
  </si>
  <si>
    <t xml:space="preserve">  a. Transmission charges for all transmission transactions 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</si>
  <si>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</si>
  <si>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</si>
  <si>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</si>
  <si>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</si>
  <si>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</si>
  <si>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B</t>
  </si>
  <si>
    <t>C</t>
  </si>
  <si>
    <t>D</t>
  </si>
  <si>
    <t>E</t>
  </si>
  <si>
    <t>F</t>
  </si>
  <si>
    <t xml:space="preserve">The balances in Accounts 190, 281, 282 and 283, as adjusted by any amounts in contra accounts identified as regulatory assets </t>
  </si>
  <si>
    <t>G</t>
  </si>
  <si>
    <t>Identified in Form 1 as being only transmission related.</t>
  </si>
  <si>
    <t>H</t>
  </si>
  <si>
    <t>Cash Working Capital assigned to transmission is one-eighth of O&amp;M allocated to transmission at page 3, line 8, column 5.</t>
  </si>
  <si>
    <t>I</t>
  </si>
  <si>
    <t>J</t>
  </si>
  <si>
    <t>Includes only FICA, unemployment, highway, property, gross receipts, and other assessments charged in the current year.</t>
  </si>
  <si>
    <t>K</t>
  </si>
  <si>
    <t>L</t>
  </si>
  <si>
    <t>M</t>
  </si>
  <si>
    <t>Removes transmission plant determined by Commission order to be state-jurisdictional according to the seven-factor test (until Form 1</t>
  </si>
  <si>
    <t xml:space="preserve">  balances are adjusted to reflect application of seven-factor test).</t>
  </si>
  <si>
    <t>N</t>
  </si>
  <si>
    <t>O</t>
  </si>
  <si>
    <t>P</t>
  </si>
  <si>
    <t>Debt cost rate = long-term interest (line 21) / long term debt (line 27).  Preferred cost rate = preferred dividends (line 22) /</t>
  </si>
  <si>
    <t xml:space="preserve">  preferred outstanding (line 28).   ROE will be supported in the original filing and no change in ROE may be made absent</t>
  </si>
  <si>
    <t xml:space="preserve">  a filing with FERC.</t>
  </si>
  <si>
    <t>Q</t>
  </si>
  <si>
    <t>R</t>
  </si>
  <si>
    <t>Includes income related only to transmission facilities, such as pole attachments, rentals and special use.</t>
  </si>
  <si>
    <t xml:space="preserve">  Plus Contract Demand of firm P-T-P over one year</t>
  </si>
  <si>
    <t>TOTAL REVENUE CREDITS  (sum lines 2-5)</t>
  </si>
  <si>
    <t xml:space="preserve">Network &amp; P-to-P Rate ($/kW/Mo) 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</si>
  <si>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</si>
  <si>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</si>
  <si>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</si>
  <si>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</si>
  <si>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</si>
  <si>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>The currently effective income tax rate,  where FIT is the Federal income tax rate; SIT is the State income tax rate, and p =</t>
  </si>
  <si>
    <t xml:space="preserve">  a. Bundled Non-RQ Sales for Resale (311.x.h)</t>
  </si>
  <si>
    <t xml:space="preserve">  Revenues from Grandfathered Interzonal Transactions</t>
  </si>
  <si>
    <t xml:space="preserve">  Revenues from service provided by the ISO at a discount</t>
  </si>
  <si>
    <t xml:space="preserve">  Less 12 CP of firm P-T-P over one year (enter negative)</t>
  </si>
  <si>
    <t>Divisor (sum lines 8-14)</t>
  </si>
  <si>
    <t>(line 7 / line 15)</t>
  </si>
  <si>
    <t>(line 16 / 12)</t>
  </si>
  <si>
    <t>(line 16 / 52; line 16 / 52)</t>
  </si>
  <si>
    <t>Total Income Taxes</t>
  </si>
  <si>
    <t xml:space="preserve">  Total  (sum lines 17 - 19)</t>
  </si>
  <si>
    <t>Load</t>
  </si>
  <si>
    <t>Line 33 must equal zero since all short-term power sales must be unbundled and the transmission component reflected in Account</t>
  </si>
  <si>
    <t>(page 4, line 34)</t>
  </si>
  <si>
    <t>(page 4, line 37)</t>
  </si>
  <si>
    <t xml:space="preserve">  Plus 12 CP of firm bundled sales over one year not in line 8</t>
  </si>
  <si>
    <t xml:space="preserve">  Plus 12 CP of Network Load not in line 8</t>
  </si>
  <si>
    <t xml:space="preserve">  or liabilities related to FASB 106 or 109.  Balance of Account 255 is reduced by prior flow throughs and excluded if the utility 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</si>
  <si>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</si>
  <si>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</si>
  <si>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</si>
  <si>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</si>
  <si>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</si>
  <si>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</si>
  <si>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</si>
  <si>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</si>
  <si>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</si>
  <si>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</si>
  <si>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</si>
  <si>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>Amortized Investment Tax Credit (266.8f) (enter negative)</t>
  </si>
  <si>
    <t xml:space="preserve">      1 / (1 - T)  = (from line 21)</t>
  </si>
  <si>
    <t xml:space="preserve">       and FIT, SIT &amp; p are as given in footnote K.</t>
  </si>
  <si>
    <t>Income Tax Calculation = line 22 * line 28</t>
  </si>
  <si>
    <t>REV. REQUIREMENT  (sum lines 8, 12, 20, 27, 28)</t>
  </si>
  <si>
    <t xml:space="preserve">       where WCLTD=(page 4, line 27) and R= (page 4, line30)</t>
  </si>
  <si>
    <t xml:space="preserve">         Inputs Required:</t>
  </si>
  <si>
    <t xml:space="preserve">  multiplied by (1/1-T) (page 3, line 26).</t>
  </si>
  <si>
    <t>ITC adjustment (line 23 * line 24)</t>
  </si>
  <si>
    <t>(line 25 plus line 26)</t>
  </si>
  <si>
    <t>calculated</t>
  </si>
  <si>
    <t>WS</t>
  </si>
  <si>
    <t xml:space="preserve">  Less Contract Demands from service over one year provided by ISO at a discount (enter negative)</t>
  </si>
  <si>
    <t>WORKING CAPITAL  (Note H)</t>
  </si>
  <si>
    <t xml:space="preserve">  CWC  </t>
  </si>
  <si>
    <t>Total  (sum lines 27-29)</t>
  </si>
  <si>
    <t xml:space="preserve">  b. Transmission charges for all transmission transactions included in Divisor on Page 1</t>
  </si>
  <si>
    <t xml:space="preserve">  b. Bundled Sales for Resale  included in Divisor on page 1</t>
  </si>
  <si>
    <t>Enter dollar amounts</t>
  </si>
  <si>
    <t xml:space="preserve">  Total  (sum lines 12-15)</t>
  </si>
  <si>
    <t>Removes dollar amount of transmission plant included in the development of OATT ancillary services rates and generation</t>
  </si>
  <si>
    <t xml:space="preserve">Less Preferred Stock (line 28) </t>
  </si>
  <si>
    <t xml:space="preserve">  Less Contract Demand from Grandfathered Interzonal Transactions over one year (enter negative) (Note S)</t>
  </si>
  <si>
    <t>5a</t>
  </si>
  <si>
    <t xml:space="preserve">     Plus Transmission Related Reg. Comm.  Exp. (Note I)</t>
  </si>
  <si>
    <t>zero</t>
  </si>
  <si>
    <t xml:space="preserve">The FERC's annual charges for the year assessed the Transmission Owner for service under this tariff. </t>
  </si>
  <si>
    <t xml:space="preserve">  Taxes related to income are excluded.  Gross receipts taxes are not included in transmission revenue requirement in the Rate Formula Template, </t>
  </si>
  <si>
    <t>S</t>
  </si>
  <si>
    <t>Grandfathered agreements whose rates have been changed to eliminate or mitigate pancaking - the revenues are included in line 4 page 1</t>
  </si>
  <si>
    <t>pancaking - the revenues are not included in line 4, page 1 nor are the loads included in line 13, page 1.</t>
  </si>
  <si>
    <t xml:space="preserve">     Less EPRI &amp; Reg. Comm. Exp. &amp; Non-safety  Ad. (Note I)</t>
  </si>
  <si>
    <t>Line 5 - EPRI Annual Membership Dues listed in Form 1 at 353.f, all Regulatory Commission Expenses itemized at 351.h, and non-safety</t>
  </si>
  <si>
    <t xml:space="preserve">   ISO filings, or transmission siting itemized at 351.h. </t>
  </si>
  <si>
    <t xml:space="preserve">  chose to utilize amortization of tax credits against taxable income as discussed in Note K.  Account 281 is not allocated.</t>
  </si>
  <si>
    <t>Peak as would be reported on page 401, column d of Form 1 at the time of the ISO coincident monthly peaks.</t>
  </si>
  <si>
    <t>Labeled LF, LU, IF, IU on pages 310-311 of Form 1at the time of the ISO coincident monthly peaks.</t>
  </si>
  <si>
    <t>Labeled LF on page 328 of Form 1 at the time of the ISO coincident monthly peaks.</t>
  </si>
  <si>
    <t>(Note T)</t>
  </si>
  <si>
    <t>T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</si>
  <si>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</si>
  <si>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</si>
  <si>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 xml:space="preserve">  assignment facilities and GSUs) which are not recovered under this Rate Formula Template.</t>
  </si>
  <si>
    <t xml:space="preserve">  revenues associated with FERC annual charges, gross receipts taxes, ancillary services, facilities not included in this template (e.g., direct</t>
  </si>
  <si>
    <t xml:space="preserve">   since they are recovered elsewhere.</t>
  </si>
  <si>
    <t>Percentage of transmission expenses after adjustment (line 8 divided by line 6)</t>
  </si>
  <si>
    <t>Included transmission expenses (line 6 less line 7)</t>
  </si>
  <si>
    <t>Transmission plant included in ISO rates  (line 1 less lines 2 &amp; 3)</t>
  </si>
  <si>
    <t>Percentage of transmission plant included in ISO Rates (line 4 divided by line 1)</t>
  </si>
  <si>
    <t>Percentage of transmission plant included in ISO Rates (line 5)</t>
  </si>
  <si>
    <t>Percentage of transmission expenses included in ISO Rates (line 9 times line 10)</t>
  </si>
  <si>
    <t xml:space="preserve">   related advertising included in Account 930.1.  Line 5a - Regulatory Commission Expenses directly related to transmission service,  </t>
  </si>
  <si>
    <t xml:space="preserve">  facilities are those facilities at a generator substation on which there is no through-flow when the generator is shut down.</t>
  </si>
  <si>
    <t>Attachment O</t>
  </si>
  <si>
    <t>page 1 of 5</t>
  </si>
  <si>
    <t>page 2 of 5</t>
  </si>
  <si>
    <t>page 3 of 5</t>
  </si>
  <si>
    <t>page 4 of 5</t>
  </si>
  <si>
    <t>page 5 of 5</t>
  </si>
  <si>
    <t>Midwest ISO</t>
  </si>
  <si>
    <t>219.20-24.c</t>
  </si>
  <si>
    <t>219.25.c</t>
  </si>
  <si>
    <t>219.26.c</t>
  </si>
  <si>
    <t>263.i</t>
  </si>
  <si>
    <t>201.3.d</t>
  </si>
  <si>
    <t>201.3.e</t>
  </si>
  <si>
    <t>(330.x.n)</t>
  </si>
  <si>
    <t>U</t>
  </si>
  <si>
    <t>267.8.h</t>
  </si>
  <si>
    <t>Long Term Interest (117, sum of 62.c through 67.c)</t>
  </si>
  <si>
    <t>Proprietary Capital (112.16.c)</t>
  </si>
  <si>
    <t>Less Account 216.1 (112.12.c)  (enter negative)</t>
  </si>
  <si>
    <t xml:space="preserve">  Long Term Debt (112, sum of  18.c through 21.c)</t>
  </si>
  <si>
    <t xml:space="preserve">  Preferred Stock  ( 112.3.c)</t>
  </si>
  <si>
    <t>111.57.c</t>
  </si>
  <si>
    <t>207.58.g</t>
  </si>
  <si>
    <t>207.75.g</t>
  </si>
  <si>
    <t xml:space="preserve">  Prepayments are the electric related prepayments booked to Account No. 165 and reported on Page 111 line 57 in the Form 1.</t>
  </si>
  <si>
    <r>
      <t xml:space="preserve">and the loads are included in line 13, page 1.  Grandfathered agreements whose rates have </t>
    </r>
    <r>
      <rPr>
        <u val="single"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been changed to eliminate or mitigate </t>
    </r>
  </si>
  <si>
    <t>1a</t>
  </si>
  <si>
    <t xml:space="preserve">  Account No. 456.1</t>
  </si>
  <si>
    <t>ACCOUNT 456.1 (OTHER ELECTRIC REVENUES) (Note U)</t>
  </si>
  <si>
    <r>
      <t>Removes dollar amount of transmission expenses included in the OATT ancillary services rates, including Account Nos. 561.1, 561.2,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561.3, and 561.BA.</t>
    </r>
  </si>
  <si>
    <t>Account 456.1 entry shall be the annual total of the quarterly values reported at Form 1, 330.x.n.</t>
  </si>
  <si>
    <t xml:space="preserve">  No. 456.1 and all other uses are to be included in the divisor.</t>
  </si>
  <si>
    <t>V</t>
  </si>
  <si>
    <t>Account Nos. 561.4, 561.8, and 575.7 consist of RTO expenses billed to load-serving entities and are not included in Transmission Owner</t>
  </si>
  <si>
    <t>revenue requirements.</t>
  </si>
  <si>
    <t xml:space="preserve">     Less LSE Expenses included in Transmission O&amp;M Accounts (Note V)</t>
  </si>
  <si>
    <t>205.46.g</t>
  </si>
  <si>
    <t>219.28.c</t>
  </si>
  <si>
    <t>205.5.g &amp; 207.99.g</t>
  </si>
  <si>
    <t>321.112.b</t>
  </si>
  <si>
    <t>321.96.b</t>
  </si>
  <si>
    <t>323.197.b</t>
  </si>
  <si>
    <t>336.10.b</t>
  </si>
  <si>
    <t>336.11.b</t>
  </si>
  <si>
    <t>354.20.b</t>
  </si>
  <si>
    <t>354.21.b</t>
  </si>
  <si>
    <t>354.23.b</t>
  </si>
  <si>
    <t>354.24,25,26.b</t>
  </si>
  <si>
    <t>227.8.c &amp; .16.c</t>
  </si>
  <si>
    <t>6a</t>
  </si>
  <si>
    <t>Historic Year Actual ATRR</t>
  </si>
  <si>
    <t>6b</t>
  </si>
  <si>
    <t>(line 6a - line 6b)</t>
  </si>
  <si>
    <t>6c</t>
  </si>
  <si>
    <t>6d</t>
  </si>
  <si>
    <t>W</t>
  </si>
  <si>
    <t>X</t>
  </si>
  <si>
    <t>Y</t>
  </si>
  <si>
    <t>Pg 1, Line 15</t>
  </si>
  <si>
    <t>Pg 1, Line 16</t>
  </si>
  <si>
    <t>6e</t>
  </si>
  <si>
    <t>Plant in Service</t>
  </si>
  <si>
    <t>Production</t>
  </si>
  <si>
    <t>Distribution</t>
  </si>
  <si>
    <t>Common</t>
  </si>
  <si>
    <t>13 month Average</t>
  </si>
  <si>
    <t>Gross Plant in Service</t>
  </si>
  <si>
    <t>General &amp;Intangible</t>
  </si>
  <si>
    <t>Adjustments to Rate Base</t>
  </si>
  <si>
    <t>BOY/EOY Average</t>
  </si>
  <si>
    <t>Account 105*</t>
  </si>
  <si>
    <t>* Only Land Held for Future Use that is Transmission Related</t>
  </si>
  <si>
    <t>Accumulated Deferred Income Taxes (Balance at beginning of year and end of year)</t>
  </si>
  <si>
    <t>Land Held for Future Use  (Balances at beginning of year and end of year)</t>
  </si>
  <si>
    <t>Working Capital  (Balances at beginning of year and end of year)</t>
  </si>
  <si>
    <t>Account Number</t>
  </si>
  <si>
    <t>Load Dispatching- Transmission Service &amp; Scheduling</t>
  </si>
  <si>
    <t>Station Expense</t>
  </si>
  <si>
    <t>Miscellaneous Transmission Expenses</t>
  </si>
  <si>
    <t>Rents</t>
  </si>
  <si>
    <t>Total Operation</t>
  </si>
  <si>
    <t>Load Dispatching - Reliability</t>
  </si>
  <si>
    <t>Scheduling, System Control &amp; Dispatch Service</t>
  </si>
  <si>
    <t>Overhead Line Expense</t>
  </si>
  <si>
    <t>Load Dispatching -Monitor &amp; Operate Transmission System</t>
  </si>
  <si>
    <t>Structures</t>
  </si>
  <si>
    <t>Computer Hardware</t>
  </si>
  <si>
    <t>Computer Software</t>
  </si>
  <si>
    <t>Communication Equipment</t>
  </si>
  <si>
    <t>Overhead Lines</t>
  </si>
  <si>
    <t>Station Equipment</t>
  </si>
  <si>
    <t>Less</t>
  </si>
  <si>
    <t>Administrative and General Salaries</t>
  </si>
  <si>
    <t>Office Supplies and Expenses</t>
  </si>
  <si>
    <t>Administrative Expenses Transferred- Credit</t>
  </si>
  <si>
    <t>Property Insurance</t>
  </si>
  <si>
    <t>Injuries and Damages</t>
  </si>
  <si>
    <t>Miscellaneous General Expenses</t>
  </si>
  <si>
    <t>Maintenances of General Plant</t>
  </si>
  <si>
    <t>Outside Services Employed</t>
  </si>
  <si>
    <t>Total Maintenance</t>
  </si>
  <si>
    <t>Employees Pensions and Benefits</t>
  </si>
  <si>
    <t>REGULATORY COMMISSION EXPENSES</t>
  </si>
  <si>
    <t>As listed in Form 1 on page 351 column h</t>
  </si>
  <si>
    <t xml:space="preserve">Regulatory Commission Expenses </t>
  </si>
  <si>
    <t>General</t>
  </si>
  <si>
    <t>Amortized Investment Tax Credit</t>
  </si>
  <si>
    <t>Property</t>
  </si>
  <si>
    <t>Gross Receipts</t>
  </si>
  <si>
    <t xml:space="preserve">COMMON PLANT ALLOCATOR </t>
  </si>
  <si>
    <t>Monthly Peaks and Output in (Mw)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</si>
  <si>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</si>
  <si>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</si>
  <si>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</si>
  <si>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</si>
  <si>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</si>
  <si>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</si>
  <si>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</si>
  <si>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</si>
  <si>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</si>
  <si>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</si>
  <si>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</si>
  <si>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</si>
  <si>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 (Mw)</t>
  </si>
  <si>
    <t>Average (kWh)</t>
  </si>
  <si>
    <t>DIVISOR</t>
  </si>
  <si>
    <t>Transmission of Electricity for Others (Account 456.1)</t>
  </si>
  <si>
    <t>ALCOA</t>
  </si>
  <si>
    <t>TOTAL</t>
  </si>
  <si>
    <t>Total Revenue Credit</t>
  </si>
  <si>
    <t>Average of Beginning and End of Year Balance</t>
  </si>
  <si>
    <t>Vectren</t>
  </si>
  <si>
    <t>18a</t>
  </si>
  <si>
    <t>100% CWIP Recovery for Commission accepted</t>
  </si>
  <si>
    <t>216.b</t>
  </si>
  <si>
    <t>or Approved Order No. 679 Transmission</t>
  </si>
  <si>
    <t>23a</t>
  </si>
  <si>
    <t xml:space="preserve">  Unamortized Balance of Cancelled or Abandoned Plant (Note W)</t>
  </si>
  <si>
    <t>9a</t>
  </si>
  <si>
    <t xml:space="preserve">  Abandoned or Cancelled Plant Amortization (Note W)</t>
  </si>
  <si>
    <t>(Note Z)</t>
  </si>
  <si>
    <t>Z</t>
  </si>
  <si>
    <t>Vectren would need to make a separate Section 205 filing and obtain Commission acceptance or approval for the specific amounts that Vectren would propose to</t>
  </si>
  <si>
    <t>include in the formula rate placeholders for cancelled or abandoned plant for the Project.  Page 2 line 23a includes any unamortized balances related to the recovery of abandoned</t>
  </si>
  <si>
    <t>or cancelled plant costs accepted or approved by FERC. Page 3 line 9a includes the unamortization expense of abandoned or cancelled plant costs accepted or approved by FERC.</t>
  </si>
  <si>
    <t>Input from Historic Year</t>
  </si>
  <si>
    <t>Historic Year ATRR True-Up</t>
  </si>
  <si>
    <t>Historic Year Divisor True-Up</t>
  </si>
  <si>
    <t>Interest on Historic Year True-Up</t>
  </si>
  <si>
    <t>Calculation of Historic year Divisor True-Up:</t>
  </si>
  <si>
    <t>Accumulated Depreciation &amp; Amortization</t>
  </si>
  <si>
    <t>Projected ATRR from Historic Year</t>
  </si>
  <si>
    <t>(line 1 minus line 6 + ln 6c through 6e)</t>
  </si>
  <si>
    <t>GROSS PLANT IN SERVICE (Note X)</t>
  </si>
  <si>
    <t>ACCUMULATED DEPRECIATION (Note X)</t>
  </si>
  <si>
    <t>NET PLANT IN SERVICE (Note X)</t>
  </si>
  <si>
    <t>ADJUSTMENTS TO RATE BASE       (Note F, Note X)</t>
  </si>
  <si>
    <t>TOTAL ADJUSTMENTS  (sum lines 19- 23a)</t>
  </si>
  <si>
    <t>LAND HELD FOR FUTURE USE (Note Y)</t>
  </si>
  <si>
    <t xml:space="preserve">  Materials &amp; Supplies  (Note G, Note Y)</t>
  </si>
  <si>
    <t xml:space="preserve">  Prepayments (Account 165, Note Y)</t>
  </si>
  <si>
    <t>RATE BASE  (sum lines 18, 18a, 24, 25, &amp; 29)</t>
  </si>
  <si>
    <t xml:space="preserve">     Historic Year Actual Divisor</t>
  </si>
  <si>
    <t xml:space="preserve">     Projected Historic Year Divisor</t>
  </si>
  <si>
    <t xml:space="preserve">     Difference between Actual and Projected Historic Year Divisor</t>
  </si>
  <si>
    <t xml:space="preserve">     Historic Year Projected Annual Cost ($ per kw per yr.)</t>
  </si>
  <si>
    <t xml:space="preserve">     Historic Year Divisor True-up (Difference * Historic Year Projected Annual Cost)</t>
  </si>
  <si>
    <t>TOTAL O&amp;M   (sum lines 1, 3, 5a, 6, 7 less lines 1a, 2, 4, 5)</t>
  </si>
  <si>
    <t>Long-Term Debt</t>
  </si>
  <si>
    <t>Long-Term Debt Balance</t>
  </si>
  <si>
    <t>Annualized Long-Term Debt Interest</t>
  </si>
  <si>
    <t>Cost of Long Term Debt</t>
  </si>
  <si>
    <t>Common Equity</t>
  </si>
  <si>
    <t>Less: Preferred Stock</t>
  </si>
  <si>
    <t>Less: Account 216.1</t>
  </si>
  <si>
    <t>Capital Structure</t>
  </si>
  <si>
    <t>Balance</t>
  </si>
  <si>
    <t>Percentage</t>
  </si>
  <si>
    <t>Preferred Stock</t>
  </si>
  <si>
    <t>Gibson-Brown-Reid 345 kV Project</t>
  </si>
  <si>
    <t>Working Capital</t>
  </si>
  <si>
    <t>OPERATION</t>
  </si>
  <si>
    <t>MAINTENANCE</t>
  </si>
  <si>
    <t xml:space="preserve">ADMINISTRATIVE AND GENERAL EXPENSES </t>
  </si>
  <si>
    <t>Transmission Expenses (Dollars in 000's)</t>
  </si>
  <si>
    <t>Administrative and General Expenses (dollars in 000's)</t>
  </si>
  <si>
    <t>Total Operations and Maintenance</t>
  </si>
  <si>
    <t>TAXES OTHER THAN INCOME TAXES</t>
  </si>
  <si>
    <t>Depreciation Expenses / Taxes Other than Income</t>
  </si>
  <si>
    <t>Total Administrative and General</t>
  </si>
  <si>
    <t>Wages and Salary / Common Plant Allocator</t>
  </si>
  <si>
    <t>Account 456.1 (Other Electric Revenues)</t>
  </si>
  <si>
    <t>CWIP</t>
  </si>
  <si>
    <t>Municipal load</t>
  </si>
  <si>
    <t>Issued by:  Stephen G. Kozey, Issuing Officer</t>
  </si>
  <si>
    <t>Schedule 1 Recoverable Expenses</t>
  </si>
  <si>
    <t>Acct 561.1 - 561.3, 561.BA included in Line 7</t>
  </si>
  <si>
    <t>Acct 561.BA for Schedule 24</t>
  </si>
  <si>
    <t>Acct 561.1 - 561.3 available for Schedule 1</t>
  </si>
  <si>
    <t>Revenue Credits for Sched 1 Acct 561.1 - 561.3</t>
  </si>
  <si>
    <t>transactions &lt;1 yr</t>
  </si>
  <si>
    <t>non-firm</t>
  </si>
  <si>
    <t>transactions w/ load not in divisor</t>
  </si>
  <si>
    <t>total Revenue Credits</t>
  </si>
  <si>
    <t>Net Schedule 1 Expenses (Acct 561.1-561.3 minus Credits)</t>
  </si>
  <si>
    <t>2010 FERDINAND TRANS. REVENUE</t>
  </si>
  <si>
    <t>2010 TELL CITY TRANS. REVENUE</t>
  </si>
  <si>
    <t>First Revised Sheet No. 2758L</t>
  </si>
  <si>
    <t>FERC Electric Tariff, Fourth Revised Volume No. 1</t>
  </si>
  <si>
    <t>Superseding Original Sheet No. 2758L</t>
  </si>
  <si>
    <t>VECTREN</t>
  </si>
  <si>
    <t>GROSS REVENUE REQUIREMENT    (page 3, line 31)</t>
  </si>
  <si>
    <t>If amts reflected on Line 4 they should be supported by schedules.</t>
  </si>
  <si>
    <t>If amts reflected on Line 5 they should be supported by schedules.</t>
  </si>
  <si>
    <t>(line 16 / 260; line 16 / 365)</t>
  </si>
  <si>
    <t>(line 16 / 4,160; line 16 / 8,760)</t>
  </si>
  <si>
    <t>Effective:  January 6, 2009</t>
  </si>
  <si>
    <t>Issued on:  February 27, 2009</t>
  </si>
  <si>
    <t>First Revised Sheet No. 2758M</t>
  </si>
  <si>
    <t>Superseding Original Sheet No. 2758M</t>
  </si>
  <si>
    <t>Incentive Project  (Note X)</t>
  </si>
  <si>
    <t>First Revised Sheet No. 2758N</t>
  </si>
  <si>
    <t>Superseding Original Sheet No. 2758N</t>
  </si>
  <si>
    <t>LESS ATTACHMENT GG ADJUSTMENT [Attachment GG, page 1, line 26, column 5] (Note AA)</t>
  </si>
  <si>
    <t>[Revenue Requirement for facilities included on page 2, line 2 and also</t>
  </si>
  <si>
    <t>included in Attachment GG]</t>
  </si>
  <si>
    <t>REV. REQUIREMENT TO BE COLLECTED UNDER ATTACHMENT O</t>
  </si>
  <si>
    <t>(line 29 - line 30)</t>
  </si>
  <si>
    <t>First Revised Sheet No. 2758O</t>
  </si>
  <si>
    <t>Superseding Original Sheet No. 2758O</t>
  </si>
  <si>
    <t>Please fill out info requested in the box below</t>
  </si>
  <si>
    <t>Line 34 should be supported by notes in Form 1 or detailed Schedule</t>
  </si>
  <si>
    <t>Line 35 should be supported by notes in Form 1 or detailed Schedule</t>
  </si>
  <si>
    <t>Line 36 should be supported by notes in Form 1 or detailed Schedule</t>
  </si>
  <si>
    <t>36a</t>
  </si>
  <si>
    <t xml:space="preserve">  c.  Transmission charges associated with Schedule 26 (Note BB)</t>
  </si>
  <si>
    <t xml:space="preserve">  Total of (a)-(b)-(c)</t>
  </si>
  <si>
    <t>First Revised Sheet No. 2758P</t>
  </si>
  <si>
    <t>Superseding Original Sheet No. 2758P</t>
  </si>
  <si>
    <t>Provide SIT work papers if required</t>
  </si>
  <si>
    <t xml:space="preserve">  step-up facilities, which are deemed to included in OATT ancillary services.  For these purposes, generation step-up</t>
  </si>
  <si>
    <t>Calculate using 13 month average balance, reconciling to FERC Form No. 1 by page, line and column as shown in Column 2.</t>
  </si>
  <si>
    <t>Calculate using average of beginning of year and end of year balance reconciling to FERC Form 1 by page, line and column as shown in Column 2.</t>
  </si>
  <si>
    <t>AA</t>
  </si>
  <si>
    <t xml:space="preserve">Pursuant to Attachment GG of the Midwest ISO Tariff, removes dollar amount of revenue requirement calculated pursuant to Attachment GG and recovered under </t>
  </si>
  <si>
    <t>Schedule 26 of the Midwest ISO Tariff.</t>
  </si>
  <si>
    <t>BB</t>
  </si>
  <si>
    <t xml:space="preserve">Removes from revenue credits revenues that are distributed pursuant to Schedule 26 of the Midwest ISO Tariff, since the Transmission Owner's Attachment O revenue </t>
  </si>
  <si>
    <t>requirements have already been reduced by the Attachment GG revenue requirement.</t>
  </si>
  <si>
    <t>$ in Thousands</t>
  </si>
  <si>
    <t>$ in Hundred Thousands</t>
  </si>
  <si>
    <t xml:space="preserve">Midwest ISO (Schedule 26) </t>
  </si>
  <si>
    <t>Less: Schedule 26</t>
  </si>
  <si>
    <t xml:space="preserve">Midwest ISO (Schedule 9) </t>
  </si>
  <si>
    <t xml:space="preserve">Midwest ISO (Schedule 7&amp;8) </t>
  </si>
  <si>
    <t xml:space="preserve">Midwest ISO (Schedule 24) </t>
  </si>
  <si>
    <t xml:space="preserve">Midwest ISO (Schedule 1) </t>
  </si>
  <si>
    <t xml:space="preserve">Midwest ISO (Schedule 2) </t>
  </si>
  <si>
    <t>Less: Schedule 1</t>
  </si>
  <si>
    <t>Less: Schedule 2</t>
  </si>
  <si>
    <t>Less: Schedule 24</t>
  </si>
  <si>
    <t>Less: Schedule 9</t>
  </si>
  <si>
    <t>Transmission Charges for Transmission Transactions</t>
  </si>
  <si>
    <t>Other Account 456.1 Charges</t>
  </si>
  <si>
    <t>Total Account 456.1 Charges</t>
  </si>
  <si>
    <t>Pro Forma 12/31/11 ($ in 000s)</t>
  </si>
  <si>
    <t>Budgeted for the period ending December 31, 2011</t>
  </si>
  <si>
    <t>Year ended December 31, 2011</t>
  </si>
  <si>
    <t>12 months Ended 12/31/11</t>
  </si>
  <si>
    <t>For the 12 months ended 12/31/11</t>
  </si>
  <si>
    <t>2010 CANNELTON TRANS. REVENUE</t>
  </si>
  <si>
    <t>2010 HUNTINGBURG TRANS. REVENUE</t>
  </si>
  <si>
    <t>2010 JASPER TRANS. REVENUE</t>
  </si>
  <si>
    <t>Pre 12/31/2010 to 12/31/2011 Projected Capital Expenditures</t>
  </si>
  <si>
    <t>Prepayments</t>
  </si>
  <si>
    <t>FERC 163</t>
  </si>
  <si>
    <t>Allocation based on projected December 31, 2011 balances</t>
  </si>
  <si>
    <t>FERC 154</t>
  </si>
  <si>
    <t>Source: Footnote to FERC Form 1, 111.57.c</t>
  </si>
  <si>
    <t>Source: Footnote to FERC Form 1, 227.8.c &amp; .16.c</t>
  </si>
  <si>
    <t>Amortization of Investment Tax Credit</t>
  </si>
  <si>
    <t>POST</t>
  </si>
  <si>
    <t xml:space="preserve">PRE RATE </t>
  </si>
  <si>
    <t>Original</t>
  </si>
  <si>
    <t>RATE CASE</t>
  </si>
  <si>
    <t>BASIS</t>
  </si>
  <si>
    <t>CASE</t>
  </si>
  <si>
    <t>GENERAL</t>
  </si>
  <si>
    <t>POWER &amp; OTHER</t>
  </si>
  <si>
    <t>TRANS</t>
  </si>
  <si>
    <t>DIST</t>
  </si>
  <si>
    <t>amount of ITC</t>
  </si>
  <si>
    <t>AMORTIZATION</t>
  </si>
  <si>
    <t xml:space="preserve">REMAINING </t>
  </si>
  <si>
    <t>AMORT</t>
  </si>
  <si>
    <t xml:space="preserve">AMORT </t>
  </si>
  <si>
    <t xml:space="preserve">REMAINING TO </t>
  </si>
  <si>
    <t>RATES</t>
  </si>
  <si>
    <t>PRODUCTION</t>
  </si>
  <si>
    <t>Taken</t>
  </si>
  <si>
    <t>RATE</t>
  </si>
  <si>
    <t xml:space="preserve">TO BE AMORT </t>
  </si>
  <si>
    <t>BE AMORTIZED</t>
  </si>
  <si>
    <t>1979- 4% BRN #1</t>
  </si>
  <si>
    <t>1979- 10%</t>
  </si>
  <si>
    <t>1980- 10%</t>
  </si>
  <si>
    <t>1982- 10%</t>
  </si>
  <si>
    <t>1983- 10%</t>
  </si>
  <si>
    <t>1984- 10%</t>
  </si>
  <si>
    <t>1985- 10%</t>
  </si>
  <si>
    <t xml:space="preserve">1985- BROWN II </t>
  </si>
  <si>
    <t>1986- 10%(INCL. Z-95 QPE)</t>
  </si>
  <si>
    <t>1986- 20% REN 18 YR</t>
  </si>
  <si>
    <t xml:space="preserve">1986- BROWN II </t>
  </si>
  <si>
    <t>1987-10% TRAN &amp; DIST    *</t>
  </si>
  <si>
    <t>88,89,90,91-10%TRAN&amp;DIST*</t>
  </si>
  <si>
    <t>SUBTOTAL</t>
  </si>
  <si>
    <t>Budgeted for the period ending December 31,2011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</si>
</sst>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* #,##0.0_);_(* \(#,##0.0\);_(* &quot;-&quot;??_);_(@_)"/>
    <numFmt numFmtId="175" formatCode="_(* #,##0_);_(* \(#,##0\);_(* &quot;-&quot;??_);_(@_)"/>
    <numFmt numFmtId="176" formatCode="_(&quot;$&quot;* #,##0_);_(&quot;$&quot;* \(#,##0\);_(&quot;$&quot;* &quot;-&quot;??_);_(@_)"/>
    <numFmt numFmtId="177" formatCode="[$-409]mmmm\-yy;@"/>
    <numFmt numFmtId="178" formatCode="0.0%"/>
    <numFmt numFmtId="179" formatCode="0.0000%"/>
    <numFmt numFmtId="180" formatCode="_(* #,##0.000_);_(* \(#,##0.000\);_(* &quot;-&quot;??_);_(@_)"/>
    <numFmt numFmtId="181" formatCode="_(* #,##0.0000_);_(* \(#,##0.0000\);_(* &quot;-&quot;??_);_(@_)"/>
    <numFmt numFmtId="182" formatCode="0.00000%"/>
    <numFmt numFmtId="183" formatCode="&quot;$&quot;#,##0.0"/>
    <numFmt numFmtId="184" formatCode="_(&quot;$&quot;* #,##0.0_);_(&quot;$&quot;* \(#,##0.0\);_(&quot;$&quot;* &quot;-&quot;??_);_(@_)"/>
    <numFmt numFmtId="185" formatCode="0_);\(0\)"/>
    <numFmt numFmtId="186" formatCode="_(* #,##0.00000_);_(* \(#,##0.00000\);_(* &quot;-&quot;??_);_(@_)"/>
    <numFmt numFmtId="187" formatCode="_(* #,##0.000000_);_(* \(#,##0.000000\);_(* &quot;-&quot;??_);_(@_)"/>
    <numFmt numFmtId="188" formatCode="&quot;$&quot;#,##0.0000"/>
    <numFmt numFmtId="189" formatCode="&quot;$&quot;#,##0.00000"/>
  </numFmts>
  <fonts count="53">
    <font>
      <sz val="12"/>
      <name val="Arial MT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10"/>
      <name val="Times New Roman"/>
      <family val="1"/>
    </font>
    <font>
      <sz val="12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i/>
      <sz val="12"/>
      <name val="Century Gothic"/>
      <family val="2"/>
    </font>
    <font>
      <b/>
      <sz val="18"/>
      <name val="Century Gothic"/>
      <family val="2"/>
    </font>
    <font>
      <b/>
      <sz val="12"/>
      <color indexed="10"/>
      <name val="Century Gothic"/>
      <family val="2"/>
    </font>
    <font>
      <b/>
      <sz val="14"/>
      <color indexed="10"/>
      <name val="Century Gothic"/>
      <family val="2"/>
    </font>
    <font>
      <b/>
      <sz val="18"/>
      <color indexed="10"/>
      <name val="Century Gothic"/>
      <family val="2"/>
    </font>
    <font>
      <b/>
      <i/>
      <sz val="12"/>
      <color indexed="10"/>
      <name val="Century Gothic"/>
      <family val="2"/>
    </font>
    <font>
      <sz val="10"/>
      <name val="Arial"/>
      <family val="2"/>
    </font>
    <font>
      <sz val="12"/>
      <color indexed="17"/>
      <name val="Arial MT"/>
      <family val="0"/>
    </font>
    <font>
      <strike/>
      <sz val="12"/>
      <color indexed="53"/>
      <name val="Arial MT"/>
      <family val="0"/>
    </font>
    <font>
      <u val="single"/>
      <sz val="12"/>
      <color indexed="17"/>
      <name val="Arial MT"/>
      <family val="0"/>
    </font>
    <font>
      <sz val="14"/>
      <name val="Arial MT"/>
      <family val="0"/>
    </font>
    <font>
      <strike/>
      <sz val="12"/>
      <name val="Times New Roman"/>
      <family val="1"/>
    </font>
    <font>
      <b/>
      <sz val="12"/>
      <color indexed="48"/>
      <name val="Times New Roman"/>
      <family val="1"/>
    </font>
    <font>
      <sz val="12"/>
      <color indexed="17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double"/>
      <sz val="12"/>
      <color indexed="10"/>
      <name val="Times New Roman"/>
      <family val="1"/>
    </font>
    <font>
      <sz val="8"/>
      <name val="Arial M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 MT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/>
      <bottom style="thin"/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5">
    <xf numFmtId="173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35" fillId="15" borderId="0" applyNumberFormat="0" applyBorder="0" applyAlignment="0" applyProtection="0"/>
    <xf numFmtId="0" fontId="39" fillId="16" borderId="1" applyNumberFormat="0" applyAlignment="0" applyProtection="0"/>
    <xf numFmtId="0" fontId="41" fillId="17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7" borderId="1" applyNumberFormat="0" applyAlignment="0" applyProtection="0"/>
    <xf numFmtId="0" fontId="40" fillId="0" borderId="6" applyNumberFormat="0" applyFill="0" applyAlignment="0" applyProtection="0"/>
    <xf numFmtId="0" fontId="36" fillId="7" borderId="0" applyNumberFormat="0" applyBorder="0" applyAlignment="0" applyProtection="0"/>
    <xf numFmtId="0" fontId="18" fillId="0" borderId="0">
      <alignment/>
      <protection/>
    </xf>
    <xf numFmtId="173" fontId="0" fillId="0" borderId="0" applyProtection="0">
      <alignment/>
    </xf>
    <xf numFmtId="0" fontId="0" fillId="4" borderId="7" applyNumberFormat="0" applyFont="0" applyAlignment="0" applyProtection="0"/>
    <xf numFmtId="0" fontId="38" fillId="16" borderId="8" applyNumberFormat="0" applyAlignment="0" applyProtection="0"/>
    <xf numFmtId="9" fontId="1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7">
    <xf numFmtId="173" fontId="0" fillId="0" borderId="0" xfId="0" applyAlignment="1">
      <alignment/>
    </xf>
    <xf numFmtId="173" fontId="2" fillId="0" borderId="0" xfId="0" applyFont="1" applyAlignment="1">
      <alignment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173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10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Alignment="1">
      <alignment/>
    </xf>
    <xf numFmtId="42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NumberFormat="1" applyFont="1" applyBorder="1" applyAlignment="1" applyProtection="1">
      <alignment horizontal="centerContinuous"/>
      <protection locked="0"/>
    </xf>
    <xf numFmtId="166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3" fontId="2" fillId="7" borderId="0" xfId="0" applyNumberFormat="1" applyFont="1" applyFill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 horizontal="fill"/>
    </xf>
    <xf numFmtId="0" fontId="2" fillId="0" borderId="0" xfId="0" applyNumberFormat="1" applyFont="1" applyFill="1" applyAlignment="1" applyProtection="1">
      <alignment/>
      <protection locked="0"/>
    </xf>
    <xf numFmtId="3" fontId="2" fillId="7" borderId="0" xfId="0" applyNumberFormat="1" applyFont="1" applyFill="1" applyAlignment="1">
      <alignment/>
    </xf>
    <xf numFmtId="3" fontId="2" fillId="7" borderId="0" xfId="0" applyNumberFormat="1" applyFont="1" applyFill="1" applyBorder="1" applyAlignment="1">
      <alignment/>
    </xf>
    <xf numFmtId="3" fontId="2" fillId="7" borderId="10" xfId="0" applyNumberFormat="1" applyFont="1" applyFill="1" applyBorder="1" applyAlignment="1">
      <alignment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center"/>
    </xf>
    <xf numFmtId="173" fontId="2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172" fontId="2" fillId="7" borderId="0" xfId="0" applyNumberFormat="1" applyFont="1" applyFill="1" applyAlignment="1" applyProtection="1">
      <alignment/>
      <protection locked="0"/>
    </xf>
    <xf numFmtId="172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center"/>
      <protection locked="0"/>
    </xf>
    <xf numFmtId="173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3" fontId="2" fillId="7" borderId="1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right"/>
    </xf>
    <xf numFmtId="173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 horizontal="right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0" fontId="2" fillId="0" borderId="0" xfId="0" applyNumberFormat="1" applyFont="1" applyFill="1" applyAlignment="1">
      <alignment horizontal="right"/>
    </xf>
    <xf numFmtId="169" fontId="2" fillId="0" borderId="0" xfId="0" applyNumberFormat="1" applyFont="1" applyFill="1" applyAlignment="1">
      <alignment horizontal="right"/>
    </xf>
    <xf numFmtId="10" fontId="2" fillId="0" borderId="0" xfId="0" applyNumberFormat="1" applyFont="1" applyAlignment="1">
      <alignment horizontal="left"/>
    </xf>
    <xf numFmtId="3" fontId="2" fillId="0" borderId="0" xfId="0" applyNumberFormat="1" applyFont="1" applyFill="1" applyAlignment="1">
      <alignment horizontal="left"/>
    </xf>
    <xf numFmtId="164" fontId="2" fillId="0" borderId="0" xfId="0" applyNumberFormat="1" applyFont="1" applyAlignment="1" applyProtection="1">
      <alignment horizontal="left"/>
      <protection locked="0"/>
    </xf>
    <xf numFmtId="167" fontId="2" fillId="0" borderId="0" xfId="0" applyNumberFormat="1" applyFont="1" applyAlignment="1">
      <alignment/>
    </xf>
    <xf numFmtId="0" fontId="2" fillId="0" borderId="0" xfId="0" applyNumberFormat="1" applyFont="1" applyFill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/>
    </xf>
    <xf numFmtId="166" fontId="2" fillId="0" borderId="0" xfId="0" applyNumberFormat="1" applyFont="1" applyAlignment="1" applyProtection="1">
      <alignment horizontal="center"/>
      <protection locked="0"/>
    </xf>
    <xf numFmtId="166" fontId="2" fillId="0" borderId="0" xfId="0" applyNumberFormat="1" applyFont="1" applyFill="1" applyAlignment="1">
      <alignment/>
    </xf>
    <xf numFmtId="0" fontId="2" fillId="0" borderId="10" xfId="0" applyNumberFormat="1" applyFont="1" applyBorder="1" applyAlignment="1">
      <alignment/>
    </xf>
    <xf numFmtId="170" fontId="2" fillId="7" borderId="0" xfId="0" applyNumberFormat="1" applyFont="1" applyFill="1" applyAlignment="1">
      <alignment/>
    </xf>
    <xf numFmtId="42" fontId="2" fillId="7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/>
      <protection locked="0"/>
    </xf>
    <xf numFmtId="9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/>
    </xf>
    <xf numFmtId="169" fontId="2" fillId="7" borderId="0" xfId="0" applyNumberFormat="1" applyFont="1" applyFill="1" applyAlignment="1">
      <alignment/>
    </xf>
    <xf numFmtId="0" fontId="2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/>
      <protection locked="0"/>
    </xf>
    <xf numFmtId="173" fontId="5" fillId="0" borderId="0" xfId="0" applyFont="1" applyAlignment="1">
      <alignment/>
    </xf>
    <xf numFmtId="173" fontId="2" fillId="0" borderId="0" xfId="0" applyFont="1" applyFill="1" applyAlignment="1" applyProtection="1">
      <alignment/>
      <protection/>
    </xf>
    <xf numFmtId="38" fontId="2" fillId="7" borderId="0" xfId="0" applyNumberFormat="1" applyFont="1" applyFill="1" applyBorder="1" applyAlignment="1" applyProtection="1">
      <alignment/>
      <protection locked="0"/>
    </xf>
    <xf numFmtId="38" fontId="2" fillId="0" borderId="0" xfId="0" applyNumberFormat="1" applyFont="1" applyAlignment="1" applyProtection="1">
      <alignment/>
      <protection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 applyProtection="1">
      <alignment/>
      <protection locked="0"/>
    </xf>
    <xf numFmtId="38" fontId="2" fillId="7" borderId="10" xfId="0" applyNumberFormat="1" applyFont="1" applyFill="1" applyBorder="1" applyAlignment="1" applyProtection="1">
      <alignment/>
      <protection locked="0"/>
    </xf>
    <xf numFmtId="38" fontId="2" fillId="0" borderId="0" xfId="0" applyNumberFormat="1" applyFont="1" applyAlignment="1">
      <alignment/>
    </xf>
    <xf numFmtId="38" fontId="2" fillId="0" borderId="0" xfId="0" applyNumberFormat="1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Alignment="1" applyProtection="1">
      <alignment/>
      <protection locked="0"/>
    </xf>
    <xf numFmtId="170" fontId="2" fillId="7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Alignment="1" applyProtection="1">
      <alignment/>
      <protection/>
    </xf>
    <xf numFmtId="170" fontId="2" fillId="7" borderId="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/>
    </xf>
    <xf numFmtId="170" fontId="2" fillId="7" borderId="1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Alignment="1" applyProtection="1">
      <alignment horizontal="right"/>
      <protection locked="0"/>
    </xf>
    <xf numFmtId="173" fontId="2" fillId="0" borderId="0" xfId="0" applyNumberFormat="1" applyFont="1" applyAlignment="1" applyProtection="1">
      <alignment/>
      <protection locked="0"/>
    </xf>
    <xf numFmtId="170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Alignment="1" applyProtection="1">
      <alignment/>
      <protection locked="0"/>
    </xf>
    <xf numFmtId="10" fontId="2" fillId="0" borderId="0" xfId="0" applyNumberFormat="1" applyFont="1" applyFill="1" applyAlignment="1">
      <alignment/>
    </xf>
    <xf numFmtId="10" fontId="2" fillId="7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Fill="1" applyAlignment="1" applyProtection="1">
      <alignment horizontal="center"/>
      <protection locked="0"/>
    </xf>
    <xf numFmtId="172" fontId="2" fillId="0" borderId="0" xfId="0" applyNumberFormat="1" applyFont="1" applyFill="1" applyAlignment="1" applyProtection="1">
      <alignment/>
      <protection locked="0"/>
    </xf>
    <xf numFmtId="173" fontId="2" fillId="0" borderId="0" xfId="0" applyFont="1" applyFill="1" applyAlignment="1">
      <alignment horizontal="center"/>
    </xf>
    <xf numFmtId="0" fontId="6" fillId="0" borderId="0" xfId="0" applyNumberFormat="1" applyFont="1" applyFill="1" applyAlignment="1" applyProtection="1">
      <alignment/>
      <protection locked="0"/>
    </xf>
    <xf numFmtId="173" fontId="8" fillId="0" borderId="0" xfId="0" applyNumberFormat="1" applyFont="1" applyAlignment="1">
      <alignment/>
    </xf>
    <xf numFmtId="175" fontId="8" fillId="0" borderId="0" xfId="42" applyNumberFormat="1" applyFont="1" applyAlignment="1">
      <alignment/>
    </xf>
    <xf numFmtId="173" fontId="8" fillId="0" borderId="0" xfId="0" applyNumberFormat="1" applyFont="1" applyAlignment="1" quotePrefix="1">
      <alignment/>
    </xf>
    <xf numFmtId="175" fontId="8" fillId="0" borderId="0" xfId="42" applyNumberFormat="1" applyFont="1" applyFill="1" applyAlignment="1">
      <alignment/>
    </xf>
    <xf numFmtId="173" fontId="8" fillId="0" borderId="0" xfId="0" applyFont="1" applyAlignment="1">
      <alignment/>
    </xf>
    <xf numFmtId="173" fontId="8" fillId="0" borderId="0" xfId="0" applyFont="1" applyAlignment="1">
      <alignment wrapText="1"/>
    </xf>
    <xf numFmtId="173" fontId="12" fillId="0" borderId="0" xfId="0" applyFont="1" applyAlignment="1">
      <alignment/>
    </xf>
    <xf numFmtId="173" fontId="8" fillId="0" borderId="0" xfId="0" applyFont="1" applyAlignment="1">
      <alignment horizontal="right"/>
    </xf>
    <xf numFmtId="0" fontId="12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173" fontId="8" fillId="0" borderId="0" xfId="0" applyFont="1" applyFill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175" fontId="8" fillId="0" borderId="0" xfId="42" applyNumberFormat="1" applyFont="1" applyAlignment="1">
      <alignment/>
    </xf>
    <xf numFmtId="43" fontId="8" fillId="0" borderId="0" xfId="0" applyNumberFormat="1" applyFont="1" applyAlignment="1">
      <alignment/>
    </xf>
    <xf numFmtId="175" fontId="8" fillId="0" borderId="11" xfId="0" applyNumberFormat="1" applyFont="1" applyBorder="1" applyAlignment="1">
      <alignment/>
    </xf>
    <xf numFmtId="173" fontId="9" fillId="0" borderId="0" xfId="0" applyFont="1" applyAlignment="1">
      <alignment/>
    </xf>
    <xf numFmtId="173" fontId="13" fillId="0" borderId="0" xfId="0" applyFont="1" applyAlignment="1">
      <alignment/>
    </xf>
    <xf numFmtId="170" fontId="8" fillId="0" borderId="0" xfId="0" applyNumberFormat="1" applyFont="1" applyAlignment="1">
      <alignment/>
    </xf>
    <xf numFmtId="173" fontId="15" fillId="0" borderId="0" xfId="0" applyFont="1" applyAlignment="1">
      <alignment/>
    </xf>
    <xf numFmtId="173" fontId="16" fillId="0" borderId="0" xfId="0" applyFont="1" applyAlignment="1" quotePrefix="1">
      <alignment/>
    </xf>
    <xf numFmtId="173" fontId="17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 horizontal="center"/>
    </xf>
    <xf numFmtId="173" fontId="7" fillId="0" borderId="0" xfId="0" applyFont="1" applyFill="1" applyAlignment="1">
      <alignment/>
    </xf>
    <xf numFmtId="173" fontId="2" fillId="0" borderId="0" xfId="0" applyFont="1" applyFill="1" applyAlignment="1" quotePrefix="1">
      <alignment/>
    </xf>
    <xf numFmtId="0" fontId="7" fillId="0" borderId="0" xfId="0" applyNumberFormat="1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>
      <alignment horizontal="left"/>
    </xf>
    <xf numFmtId="0" fontId="2" fillId="0" borderId="12" xfId="0" applyNumberFormat="1" applyFont="1" applyFill="1" applyBorder="1" applyAlignment="1">
      <alignment/>
    </xf>
    <xf numFmtId="169" fontId="2" fillId="0" borderId="0" xfId="0" applyNumberFormat="1" applyFont="1" applyFill="1" applyAlignment="1">
      <alignment/>
    </xf>
    <xf numFmtId="170" fontId="8" fillId="0" borderId="0" xfId="0" applyNumberFormat="1" applyFont="1" applyFill="1" applyAlignment="1">
      <alignment/>
    </xf>
    <xf numFmtId="173" fontId="8" fillId="0" borderId="0" xfId="0" applyNumberFormat="1" applyFont="1" applyFill="1" applyAlignment="1">
      <alignment/>
    </xf>
    <xf numFmtId="173" fontId="10" fillId="0" borderId="0" xfId="0" applyNumberFormat="1" applyFont="1" applyFill="1" applyAlignment="1">
      <alignment/>
    </xf>
    <xf numFmtId="173" fontId="8" fillId="0" borderId="12" xfId="0" applyNumberFormat="1" applyFont="1" applyFill="1" applyBorder="1" applyAlignment="1">
      <alignment/>
    </xf>
    <xf numFmtId="173" fontId="8" fillId="0" borderId="12" xfId="0" applyNumberFormat="1" applyFont="1" applyFill="1" applyBorder="1" applyAlignment="1">
      <alignment wrapText="1"/>
    </xf>
    <xf numFmtId="177" fontId="8" fillId="0" borderId="0" xfId="0" applyNumberFormat="1" applyFont="1" applyFill="1" applyAlignment="1">
      <alignment/>
    </xf>
    <xf numFmtId="173" fontId="17" fillId="0" borderId="0" xfId="0" applyNumberFormat="1" applyFont="1" applyFill="1" applyAlignment="1">
      <alignment/>
    </xf>
    <xf numFmtId="43" fontId="8" fillId="0" borderId="0" xfId="42" applyFont="1" applyFill="1" applyAlignment="1">
      <alignment/>
    </xf>
    <xf numFmtId="173" fontId="8" fillId="0" borderId="0" xfId="0" applyNumberFormat="1" applyFont="1" applyFill="1" applyAlignment="1">
      <alignment horizontal="right"/>
    </xf>
    <xf numFmtId="170" fontId="8" fillId="0" borderId="0" xfId="42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15" fontId="8" fillId="0" borderId="0" xfId="0" applyNumberFormat="1" applyFont="1" applyFill="1" applyAlignment="1">
      <alignment/>
    </xf>
    <xf numFmtId="175" fontId="8" fillId="0" borderId="13" xfId="0" applyNumberFormat="1" applyFont="1" applyFill="1" applyBorder="1" applyAlignment="1">
      <alignment/>
    </xf>
    <xf numFmtId="173" fontId="8" fillId="0" borderId="12" xfId="0" applyNumberFormat="1" applyFont="1" applyFill="1" applyBorder="1" applyAlignment="1">
      <alignment horizontal="right" wrapText="1"/>
    </xf>
    <xf numFmtId="173" fontId="8" fillId="0" borderId="0" xfId="0" applyNumberFormat="1" applyFont="1" applyFill="1" applyAlignment="1" quotePrefix="1">
      <alignment/>
    </xf>
    <xf numFmtId="174" fontId="8" fillId="0" borderId="0" xfId="42" applyNumberFormat="1" applyFont="1" applyFill="1" applyAlignment="1">
      <alignment/>
    </xf>
    <xf numFmtId="176" fontId="8" fillId="0" borderId="0" xfId="44" applyNumberFormat="1" applyFont="1" applyFill="1" applyAlignment="1">
      <alignment/>
    </xf>
    <xf numFmtId="0" fontId="8" fillId="0" borderId="12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right"/>
    </xf>
    <xf numFmtId="10" fontId="8" fillId="0" borderId="0" xfId="61" applyNumberFormat="1" applyFont="1" applyAlignment="1">
      <alignment/>
    </xf>
    <xf numFmtId="175" fontId="8" fillId="0" borderId="12" xfId="42" applyNumberFormat="1" applyFont="1" applyBorder="1" applyAlignment="1">
      <alignment/>
    </xf>
    <xf numFmtId="176" fontId="8" fillId="0" borderId="14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43" fontId="8" fillId="0" borderId="0" xfId="42" applyFont="1" applyAlignment="1">
      <alignment/>
    </xf>
    <xf numFmtId="9" fontId="8" fillId="0" borderId="0" xfId="61" applyFont="1" applyAlignment="1">
      <alignment/>
    </xf>
    <xf numFmtId="176" fontId="8" fillId="0" borderId="12" xfId="0" applyNumberFormat="1" applyFont="1" applyBorder="1" applyAlignment="1">
      <alignment/>
    </xf>
    <xf numFmtId="9" fontId="8" fillId="0" borderId="12" xfId="61" applyFont="1" applyBorder="1" applyAlignment="1">
      <alignment/>
    </xf>
    <xf numFmtId="10" fontId="8" fillId="0" borderId="12" xfId="61" applyNumberFormat="1" applyFont="1" applyBorder="1" applyAlignment="1">
      <alignment/>
    </xf>
    <xf numFmtId="0" fontId="8" fillId="0" borderId="0" xfId="0" applyNumberFormat="1" applyFont="1" applyAlignment="1" quotePrefix="1">
      <alignment/>
    </xf>
    <xf numFmtId="0" fontId="8" fillId="0" borderId="12" xfId="0" applyNumberFormat="1" applyFont="1" applyBorder="1" applyAlignment="1">
      <alignment/>
    </xf>
    <xf numFmtId="175" fontId="8" fillId="0" borderId="0" xfId="42" applyNumberFormat="1" applyFont="1" applyFill="1" applyBorder="1" applyAlignment="1">
      <alignment/>
    </xf>
    <xf numFmtId="173" fontId="0" fillId="0" borderId="0" xfId="0" applyFill="1" applyAlignment="1">
      <alignment/>
    </xf>
    <xf numFmtId="173" fontId="14" fillId="0" borderId="0" xfId="0" applyFont="1" applyFill="1" applyAlignment="1">
      <alignment/>
    </xf>
    <xf numFmtId="173" fontId="8" fillId="0" borderId="12" xfId="0" applyFont="1" applyFill="1" applyBorder="1" applyAlignment="1">
      <alignment/>
    </xf>
    <xf numFmtId="170" fontId="8" fillId="0" borderId="12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/>
    </xf>
    <xf numFmtId="173" fontId="8" fillId="0" borderId="0" xfId="0" applyFont="1" applyFill="1" applyAlignment="1">
      <alignment horizontal="right"/>
    </xf>
    <xf numFmtId="173" fontId="12" fillId="0" borderId="0" xfId="0" applyFont="1" applyFill="1" applyAlignment="1">
      <alignment/>
    </xf>
    <xf numFmtId="170" fontId="8" fillId="0" borderId="0" xfId="0" applyNumberFormat="1" applyFont="1" applyFill="1" applyBorder="1" applyAlignment="1">
      <alignment/>
    </xf>
    <xf numFmtId="173" fontId="11" fillId="0" borderId="0" xfId="0" applyFont="1" applyFill="1" applyAlignment="1">
      <alignment/>
    </xf>
    <xf numFmtId="173" fontId="11" fillId="0" borderId="12" xfId="0" applyFont="1" applyFill="1" applyBorder="1" applyAlignment="1">
      <alignment horizontal="center"/>
    </xf>
    <xf numFmtId="173" fontId="8" fillId="0" borderId="0" xfId="0" applyNumberFormat="1" applyFont="1" applyFill="1" applyBorder="1" applyAlignment="1">
      <alignment horizontal="right" wrapText="1"/>
    </xf>
    <xf numFmtId="173" fontId="8" fillId="0" borderId="0" xfId="0" applyNumberFormat="1" applyFont="1" applyFill="1" applyBorder="1" applyAlignment="1">
      <alignment/>
    </xf>
    <xf numFmtId="170" fontId="8" fillId="0" borderId="0" xfId="42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 horizontal="right" wrapText="1"/>
    </xf>
    <xf numFmtId="173" fontId="0" fillId="0" borderId="15" xfId="0" applyBorder="1" applyAlignment="1">
      <alignment/>
    </xf>
    <xf numFmtId="173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73" fontId="0" fillId="0" borderId="16" xfId="0" applyFont="1" applyBorder="1" applyAlignment="1">
      <alignment/>
    </xf>
    <xf numFmtId="3" fontId="0" fillId="7" borderId="15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173" fontId="19" fillId="0" borderId="0" xfId="0" applyFont="1" applyAlignment="1">
      <alignment/>
    </xf>
    <xf numFmtId="173" fontId="20" fillId="0" borderId="0" xfId="0" applyFont="1" applyAlignment="1">
      <alignment/>
    </xf>
    <xf numFmtId="173" fontId="0" fillId="0" borderId="16" xfId="0" applyBorder="1" applyAlignment="1">
      <alignment/>
    </xf>
    <xf numFmtId="0" fontId="0" fillId="0" borderId="15" xfId="0" applyNumberFormat="1" applyFont="1" applyBorder="1" applyAlignment="1">
      <alignment/>
    </xf>
    <xf numFmtId="173" fontId="21" fillId="0" borderId="0" xfId="0" applyFont="1" applyBorder="1" applyAlignment="1">
      <alignment/>
    </xf>
    <xf numFmtId="173" fontId="19" fillId="0" borderId="0" xfId="0" applyFont="1" applyBorder="1" applyAlignment="1">
      <alignment/>
    </xf>
    <xf numFmtId="176" fontId="0" fillId="7" borderId="15" xfId="44" applyNumberFormat="1" applyFont="1" applyFill="1" applyBorder="1" applyAlignment="1">
      <alignment/>
    </xf>
    <xf numFmtId="173" fontId="0" fillId="0" borderId="0" xfId="0" applyBorder="1" applyAlignment="1">
      <alignment/>
    </xf>
    <xf numFmtId="3" fontId="0" fillId="7" borderId="17" xfId="0" applyNumberFormat="1" applyFont="1" applyFill="1" applyBorder="1" applyAlignment="1">
      <alignment/>
    </xf>
    <xf numFmtId="173" fontId="19" fillId="0" borderId="0" xfId="0" applyFont="1" applyBorder="1" applyAlignment="1">
      <alignment horizontal="left" wrapText="1"/>
    </xf>
    <xf numFmtId="170" fontId="0" fillId="0" borderId="15" xfId="0" applyNumberFormat="1" applyBorder="1" applyAlignment="1">
      <alignment/>
    </xf>
    <xf numFmtId="173" fontId="19" fillId="0" borderId="0" xfId="0" applyFont="1" applyBorder="1" applyAlignment="1">
      <alignment/>
    </xf>
    <xf numFmtId="170" fontId="0" fillId="0" borderId="17" xfId="0" applyNumberFormat="1" applyFont="1" applyBorder="1" applyAlignment="1">
      <alignment/>
    </xf>
    <xf numFmtId="173" fontId="19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73" fontId="0" fillId="0" borderId="12" xfId="0" applyFont="1" applyBorder="1" applyAlignment="1">
      <alignment/>
    </xf>
    <xf numFmtId="173" fontId="0" fillId="0" borderId="18" xfId="0" applyFont="1" applyBorder="1" applyAlignment="1">
      <alignment/>
    </xf>
    <xf numFmtId="173" fontId="22" fillId="0" borderId="0" xfId="0" applyFont="1" applyAlignment="1">
      <alignment/>
    </xf>
    <xf numFmtId="42" fontId="8" fillId="0" borderId="0" xfId="0" applyNumberFormat="1" applyFont="1" applyFill="1" applyAlignment="1">
      <alignment/>
    </xf>
    <xf numFmtId="175" fontId="8" fillId="0" borderId="12" xfId="42" applyNumberFormat="1" applyFont="1" applyFill="1" applyBorder="1" applyAlignment="1">
      <alignment/>
    </xf>
    <xf numFmtId="42" fontId="8" fillId="0" borderId="0" xfId="42" applyNumberFormat="1" applyFont="1" applyFill="1" applyAlignment="1">
      <alignment/>
    </xf>
    <xf numFmtId="170" fontId="8" fillId="0" borderId="19" xfId="0" applyNumberFormat="1" applyFont="1" applyFill="1" applyBorder="1" applyAlignment="1">
      <alignment/>
    </xf>
    <xf numFmtId="170" fontId="0" fillId="7" borderId="17" xfId="0" applyNumberFormat="1" applyFill="1" applyBorder="1" applyAlignment="1">
      <alignment/>
    </xf>
    <xf numFmtId="44" fontId="8" fillId="0" borderId="0" xfId="44" applyFont="1" applyFill="1" applyAlignment="1">
      <alignment/>
    </xf>
    <xf numFmtId="0" fontId="2" fillId="7" borderId="0" xfId="0" applyNumberFormat="1" applyFont="1" applyFill="1" applyAlignment="1" applyProtection="1">
      <alignment/>
      <protection locked="0"/>
    </xf>
    <xf numFmtId="0" fontId="2" fillId="7" borderId="0" xfId="0" applyNumberFormat="1" applyFont="1" applyFill="1" applyAlignment="1">
      <alignment/>
    </xf>
    <xf numFmtId="0" fontId="19" fillId="0" borderId="0" xfId="0" applyNumberFormat="1" applyFont="1" applyAlignment="1">
      <alignment/>
    </xf>
    <xf numFmtId="173" fontId="0" fillId="0" borderId="0" xfId="0" applyFont="1" applyAlignment="1">
      <alignment/>
    </xf>
    <xf numFmtId="0" fontId="0" fillId="0" borderId="0" xfId="0" applyNumberFormat="1" applyFont="1" applyAlignment="1">
      <alignment/>
    </xf>
    <xf numFmtId="42" fontId="2" fillId="0" borderId="11" xfId="0" applyNumberFormat="1" applyFont="1" applyBorder="1" applyAlignment="1" applyProtection="1">
      <alignment horizontal="right"/>
      <protection locked="0"/>
    </xf>
    <xf numFmtId="37" fontId="2" fillId="0" borderId="0" xfId="0" applyNumberFormat="1" applyFont="1" applyFill="1" applyAlignment="1">
      <alignment/>
    </xf>
    <xf numFmtId="173" fontId="7" fillId="5" borderId="0" xfId="0" applyFont="1" applyFill="1" applyAlignment="1">
      <alignment/>
    </xf>
    <xf numFmtId="37" fontId="2" fillId="0" borderId="0" xfId="0" applyNumberFormat="1" applyFont="1" applyFill="1" applyBorder="1" applyAlignment="1">
      <alignment/>
    </xf>
    <xf numFmtId="173" fontId="2" fillId="5" borderId="0" xfId="0" applyFont="1" applyFill="1" applyAlignment="1">
      <alignment/>
    </xf>
    <xf numFmtId="37" fontId="2" fillId="0" borderId="10" xfId="0" applyNumberFormat="1" applyFont="1" applyFill="1" applyBorder="1" applyAlignment="1">
      <alignment/>
    </xf>
    <xf numFmtId="173" fontId="2" fillId="0" borderId="10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3" fillId="0" borderId="0" xfId="0" applyNumberFormat="1" applyFont="1" applyAlignment="1">
      <alignment/>
    </xf>
    <xf numFmtId="173" fontId="5" fillId="0" borderId="0" xfId="0" applyFont="1" applyFill="1" applyAlignment="1">
      <alignment/>
    </xf>
    <xf numFmtId="37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73" fontId="24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9" fontId="2" fillId="0" borderId="10" xfId="0" applyNumberFormat="1" applyFont="1" applyBorder="1" applyAlignment="1">
      <alignment/>
    </xf>
    <xf numFmtId="173" fontId="2" fillId="0" borderId="0" xfId="0" applyFont="1" applyBorder="1" applyAlignment="1">
      <alignment/>
    </xf>
    <xf numFmtId="3" fontId="25" fillId="0" borderId="0" xfId="0" applyNumberFormat="1" applyFont="1" applyAlignment="1">
      <alignment horizontal="left"/>
    </xf>
    <xf numFmtId="3" fontId="26" fillId="0" borderId="0" xfId="0" applyNumberFormat="1" applyFont="1" applyAlignment="1">
      <alignment horizontal="center"/>
    </xf>
    <xf numFmtId="0" fontId="2" fillId="0" borderId="0" xfId="0" applyNumberFormat="1" applyFon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2" fillId="0" borderId="12" xfId="0" applyNumberFormat="1" applyFont="1" applyBorder="1" applyAlignment="1" applyProtection="1">
      <alignment/>
      <protection locked="0"/>
    </xf>
    <xf numFmtId="0" fontId="2" fillId="0" borderId="12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Alignment="1" applyProtection="1">
      <alignment horizontal="right"/>
      <protection locked="0"/>
    </xf>
    <xf numFmtId="3" fontId="27" fillId="0" borderId="0" xfId="0" applyNumberFormat="1" applyFont="1" applyAlignment="1">
      <alignment horizontal="left"/>
    </xf>
    <xf numFmtId="173" fontId="5" fillId="0" borderId="0" xfId="0" applyFont="1" applyBorder="1" applyAlignment="1">
      <alignment/>
    </xf>
    <xf numFmtId="0" fontId="25" fillId="0" borderId="0" xfId="0" applyNumberFormat="1" applyFont="1" applyFill="1" applyAlignment="1" applyProtection="1">
      <alignment horizontal="left"/>
      <protection locked="0"/>
    </xf>
    <xf numFmtId="0" fontId="7" fillId="0" borderId="0" xfId="0" applyNumberFormat="1" applyFont="1" applyFill="1" applyAlignment="1">
      <alignment/>
    </xf>
    <xf numFmtId="0" fontId="7" fillId="5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8" fillId="0" borderId="0" xfId="0" applyNumberFormat="1" applyFont="1" applyFill="1" applyAlignment="1">
      <alignment/>
    </xf>
    <xf numFmtId="173" fontId="28" fillId="0" borderId="0" xfId="0" applyFont="1" applyAlignment="1">
      <alignment/>
    </xf>
    <xf numFmtId="175" fontId="8" fillId="0" borderId="0" xfId="42" applyNumberFormat="1" applyFont="1" applyFill="1" applyBorder="1" applyAlignment="1">
      <alignment/>
    </xf>
    <xf numFmtId="15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73" fontId="8" fillId="0" borderId="0" xfId="0" applyNumberFormat="1" applyFont="1" applyFill="1" applyBorder="1" applyAlignment="1">
      <alignment horizontal="right"/>
    </xf>
    <xf numFmtId="175" fontId="8" fillId="0" borderId="0" xfId="0" applyNumberFormat="1" applyFont="1" applyFill="1" applyBorder="1" applyAlignment="1">
      <alignment/>
    </xf>
    <xf numFmtId="175" fontId="8" fillId="0" borderId="11" xfId="42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175" fontId="8" fillId="7" borderId="0" xfId="42" applyNumberFormat="1" applyFont="1" applyFill="1" applyAlignment="1">
      <alignment/>
    </xf>
    <xf numFmtId="176" fontId="8" fillId="7" borderId="0" xfId="44" applyNumberFormat="1" applyFont="1" applyFill="1" applyAlignment="1">
      <alignment/>
    </xf>
    <xf numFmtId="170" fontId="8" fillId="7" borderId="0" xfId="0" applyNumberFormat="1" applyFont="1" applyFill="1" applyAlignment="1">
      <alignment/>
    </xf>
    <xf numFmtId="173" fontId="8" fillId="0" borderId="0" xfId="0" applyFont="1" applyFill="1" applyAlignment="1">
      <alignment wrapText="1"/>
    </xf>
    <xf numFmtId="0" fontId="12" fillId="0" borderId="0" xfId="0" applyNumberFormat="1" applyFont="1" applyFill="1" applyAlignment="1">
      <alignment/>
    </xf>
    <xf numFmtId="0" fontId="9" fillId="0" borderId="0" xfId="42" applyNumberFormat="1" applyFont="1" applyFill="1" applyAlignment="1">
      <alignment/>
    </xf>
    <xf numFmtId="3" fontId="26" fillId="7" borderId="0" xfId="0" applyNumberFormat="1" applyFont="1" applyFill="1" applyBorder="1" applyAlignment="1">
      <alignment/>
    </xf>
    <xf numFmtId="42" fontId="8" fillId="0" borderId="0" xfId="42" applyNumberFormat="1" applyFont="1" applyFill="1" applyBorder="1" applyAlignment="1">
      <alignment/>
    </xf>
    <xf numFmtId="173" fontId="8" fillId="0" borderId="20" xfId="0" applyNumberFormat="1" applyFont="1" applyFill="1" applyBorder="1" applyAlignment="1">
      <alignment/>
    </xf>
    <xf numFmtId="175" fontId="8" fillId="7" borderId="12" xfId="42" applyNumberFormat="1" applyFont="1" applyFill="1" applyBorder="1" applyAlignment="1">
      <alignment/>
    </xf>
    <xf numFmtId="170" fontId="8" fillId="7" borderId="19" xfId="0" applyNumberFormat="1" applyFont="1" applyFill="1" applyBorder="1" applyAlignment="1">
      <alignment/>
    </xf>
    <xf numFmtId="170" fontId="8" fillId="7" borderId="0" xfId="0" applyNumberFormat="1" applyFont="1" applyFill="1" applyBorder="1" applyAlignment="1">
      <alignment/>
    </xf>
    <xf numFmtId="170" fontId="8" fillId="7" borderId="12" xfId="0" applyNumberFormat="1" applyFont="1" applyFill="1" applyBorder="1" applyAlignment="1">
      <alignment/>
    </xf>
    <xf numFmtId="0" fontId="8" fillId="7" borderId="0" xfId="0" applyNumberFormat="1" applyFont="1" applyFill="1" applyAlignment="1">
      <alignment/>
    </xf>
    <xf numFmtId="0" fontId="8" fillId="7" borderId="12" xfId="0" applyNumberFormat="1" applyFont="1" applyFill="1" applyBorder="1" applyAlignment="1">
      <alignment/>
    </xf>
    <xf numFmtId="176" fontId="8" fillId="7" borderId="0" xfId="44" applyNumberFormat="1" applyFont="1" applyFill="1" applyAlignment="1">
      <alignment/>
    </xf>
    <xf numFmtId="10" fontId="8" fillId="7" borderId="0" xfId="61" applyNumberFormat="1" applyFont="1" applyFill="1" applyAlignment="1">
      <alignment/>
    </xf>
    <xf numFmtId="10" fontId="8" fillId="7" borderId="12" xfId="61" applyNumberFormat="1" applyFont="1" applyFill="1" applyBorder="1" applyAlignment="1">
      <alignment/>
    </xf>
    <xf numFmtId="42" fontId="8" fillId="7" borderId="0" xfId="0" applyNumberFormat="1" applyFont="1" applyFill="1" applyBorder="1" applyAlignment="1">
      <alignment/>
    </xf>
    <xf numFmtId="42" fontId="8" fillId="7" borderId="0" xfId="0" applyNumberFormat="1" applyFont="1" applyFill="1" applyAlignment="1">
      <alignment/>
    </xf>
    <xf numFmtId="42" fontId="8" fillId="7" borderId="0" xfId="0" applyNumberFormat="1" applyFont="1" applyFill="1" applyBorder="1" applyAlignment="1">
      <alignment/>
    </xf>
    <xf numFmtId="175" fontId="8" fillId="7" borderId="0" xfId="0" applyNumberFormat="1" applyFont="1" applyFill="1" applyAlignment="1">
      <alignment/>
    </xf>
    <xf numFmtId="41" fontId="8" fillId="7" borderId="0" xfId="42" applyNumberFormat="1" applyFont="1" applyFill="1" applyAlignment="1">
      <alignment/>
    </xf>
    <xf numFmtId="41" fontId="8" fillId="7" borderId="12" xfId="42" applyNumberFormat="1" applyFont="1" applyFill="1" applyBorder="1" applyAlignment="1">
      <alignment/>
    </xf>
    <xf numFmtId="170" fontId="8" fillId="7" borderId="12" xfId="0" applyNumberFormat="1" applyFont="1" applyFill="1" applyBorder="1" applyAlignment="1">
      <alignment/>
    </xf>
    <xf numFmtId="49" fontId="3" fillId="7" borderId="0" xfId="0" applyNumberFormat="1" applyFont="1" applyFill="1" applyAlignment="1">
      <alignment horizontal="center"/>
    </xf>
    <xf numFmtId="173" fontId="8" fillId="0" borderId="21" xfId="0" applyNumberFormat="1" applyFont="1" applyFill="1" applyBorder="1" applyAlignment="1">
      <alignment horizontal="right" wrapText="1"/>
    </xf>
    <xf numFmtId="175" fontId="8" fillId="0" borderId="21" xfId="42" applyNumberFormat="1" applyFont="1" applyFill="1" applyBorder="1" applyAlignment="1">
      <alignment/>
    </xf>
    <xf numFmtId="175" fontId="2" fillId="0" borderId="0" xfId="42" applyNumberFormat="1" applyFont="1" applyAlignment="1">
      <alignment/>
    </xf>
    <xf numFmtId="173" fontId="8" fillId="0" borderId="0" xfId="42" applyNumberFormat="1" applyFont="1" applyFill="1" applyBorder="1" applyAlignment="1">
      <alignment/>
    </xf>
    <xf numFmtId="173" fontId="8" fillId="0" borderId="0" xfId="42" applyNumberFormat="1" applyFont="1" applyFill="1" applyBorder="1" applyAlignment="1">
      <alignment/>
    </xf>
    <xf numFmtId="10" fontId="8" fillId="0" borderId="0" xfId="42" applyNumberFormat="1" applyFont="1" applyFill="1" applyBorder="1" applyAlignment="1">
      <alignment/>
    </xf>
    <xf numFmtId="173" fontId="8" fillId="0" borderId="0" xfId="0" applyNumberFormat="1" applyFont="1" applyFill="1" applyBorder="1" applyAlignment="1" quotePrefix="1">
      <alignment/>
    </xf>
    <xf numFmtId="179" fontId="8" fillId="0" borderId="0" xfId="61" applyNumberFormat="1" applyFont="1" applyFill="1" applyAlignment="1">
      <alignment/>
    </xf>
    <xf numFmtId="10" fontId="8" fillId="0" borderId="0" xfId="42" applyNumberFormat="1" applyFont="1" applyFill="1" applyBorder="1" applyAlignment="1">
      <alignment/>
    </xf>
    <xf numFmtId="41" fontId="8" fillId="7" borderId="22" xfId="42" applyNumberFormat="1" applyFont="1" applyFill="1" applyBorder="1" applyAlignment="1">
      <alignment/>
    </xf>
    <xf numFmtId="175" fontId="8" fillId="7" borderId="21" xfId="0" applyNumberFormat="1" applyFont="1" applyFill="1" applyBorder="1" applyAlignment="1">
      <alignment/>
    </xf>
    <xf numFmtId="173" fontId="8" fillId="0" borderId="0" xfId="0" applyNumberFormat="1" applyFont="1" applyFill="1" applyBorder="1" applyAlignment="1">
      <alignment horizontal="center" wrapText="1"/>
    </xf>
    <xf numFmtId="177" fontId="8" fillId="0" borderId="0" xfId="0" applyNumberFormat="1" applyFont="1" applyFill="1" applyBorder="1" applyAlignment="1">
      <alignment/>
    </xf>
    <xf numFmtId="182" fontId="8" fillId="0" borderId="0" xfId="61" applyNumberFormat="1" applyFont="1" applyAlignment="1">
      <alignment/>
    </xf>
    <xf numFmtId="173" fontId="1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75" fontId="2" fillId="0" borderId="12" xfId="42" applyNumberFormat="1" applyFont="1" applyFill="1" applyBorder="1" applyAlignment="1">
      <alignment/>
    </xf>
    <xf numFmtId="0" fontId="18" fillId="0" borderId="0" xfId="57" applyFill="1">
      <alignment/>
      <protection/>
    </xf>
    <xf numFmtId="0" fontId="50" fillId="0" borderId="0" xfId="57" applyFont="1" applyFill="1" applyAlignment="1">
      <alignment horizontal="center"/>
      <protection/>
    </xf>
    <xf numFmtId="14" fontId="50" fillId="0" borderId="0" xfId="57" applyNumberFormat="1" applyFont="1" applyFill="1" applyAlignment="1">
      <alignment horizontal="center"/>
      <protection/>
    </xf>
    <xf numFmtId="14" fontId="18" fillId="0" borderId="0" xfId="57" applyNumberFormat="1" applyFill="1">
      <alignment/>
      <protection/>
    </xf>
    <xf numFmtId="0" fontId="51" fillId="0" borderId="0" xfId="57" applyFont="1" applyFill="1" applyAlignment="1">
      <alignment horizontal="center"/>
      <protection/>
    </xf>
    <xf numFmtId="37" fontId="18" fillId="0" borderId="0" xfId="57" applyNumberFormat="1" applyFill="1">
      <alignment/>
      <protection/>
    </xf>
    <xf numFmtId="39" fontId="18" fillId="0" borderId="0" xfId="57" applyNumberFormat="1" applyFill="1" applyProtection="1">
      <alignment/>
      <protection/>
    </xf>
    <xf numFmtId="164" fontId="18" fillId="0" borderId="0" xfId="57" applyNumberFormat="1" applyFill="1">
      <alignment/>
      <protection/>
    </xf>
    <xf numFmtId="175" fontId="18" fillId="0" borderId="0" xfId="42" applyNumberFormat="1" applyFill="1" applyAlignment="1">
      <alignment/>
    </xf>
    <xf numFmtId="179" fontId="18" fillId="0" borderId="0" xfId="57" applyNumberFormat="1" applyFill="1">
      <alignment/>
      <protection/>
    </xf>
    <xf numFmtId="182" fontId="18" fillId="0" borderId="0" xfId="57" applyNumberFormat="1" applyFill="1" applyProtection="1">
      <alignment/>
      <protection/>
    </xf>
    <xf numFmtId="37" fontId="50" fillId="0" borderId="0" xfId="57" applyNumberFormat="1" applyFont="1" applyFill="1">
      <alignment/>
      <protection/>
    </xf>
    <xf numFmtId="0" fontId="50" fillId="0" borderId="0" xfId="57" applyFont="1" applyFill="1">
      <alignment/>
      <protection/>
    </xf>
    <xf numFmtId="39" fontId="18" fillId="0" borderId="0" xfId="57" applyNumberFormat="1" applyFill="1">
      <alignment/>
      <protection/>
    </xf>
    <xf numFmtId="164" fontId="18" fillId="0" borderId="0" xfId="61" applyNumberFormat="1" applyFill="1" applyAlignment="1">
      <alignment/>
    </xf>
    <xf numFmtId="0" fontId="8" fillId="0" borderId="21" xfId="0" applyNumberFormat="1" applyFont="1" applyFill="1" applyBorder="1" applyAlignment="1">
      <alignment horizontal="left"/>
    </xf>
    <xf numFmtId="0" fontId="8" fillId="0" borderId="21" xfId="0" applyNumberFormat="1" applyFont="1" applyBorder="1" applyAlignment="1">
      <alignment horizontal="left"/>
    </xf>
    <xf numFmtId="175" fontId="8" fillId="0" borderId="21" xfId="42" applyNumberFormat="1" applyFont="1" applyBorder="1" applyAlignment="1">
      <alignment/>
    </xf>
    <xf numFmtId="170" fontId="8" fillId="7" borderId="23" xfId="0" applyNumberFormat="1" applyFont="1" applyFill="1" applyBorder="1" applyAlignment="1">
      <alignment/>
    </xf>
    <xf numFmtId="41" fontId="8" fillId="7" borderId="21" xfId="42" applyNumberFormat="1" applyFont="1" applyFill="1" applyBorder="1" applyAlignment="1">
      <alignment/>
    </xf>
    <xf numFmtId="173" fontId="8" fillId="0" borderId="24" xfId="0" applyNumberFormat="1" applyFon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173" fontId="17" fillId="0" borderId="0" xfId="0" applyNumberFormat="1" applyFont="1" applyFill="1" applyBorder="1" applyAlignment="1">
      <alignment/>
    </xf>
    <xf numFmtId="175" fontId="8" fillId="0" borderId="0" xfId="0" applyNumberFormat="1" applyFont="1" applyFill="1" applyBorder="1" applyAlignment="1">
      <alignment/>
    </xf>
    <xf numFmtId="164" fontId="8" fillId="0" borderId="0" xfId="61" applyNumberFormat="1" applyFont="1" applyFill="1" applyBorder="1" applyAlignment="1">
      <alignment/>
    </xf>
    <xf numFmtId="41" fontId="8" fillId="0" borderId="0" xfId="42" applyNumberFormat="1" applyFont="1" applyFill="1" applyBorder="1" applyAlignment="1">
      <alignment/>
    </xf>
    <xf numFmtId="173" fontId="8" fillId="0" borderId="0" xfId="58" applyNumberFormat="1" applyFont="1" applyFill="1" applyBorder="1" applyAlignment="1">
      <alignment/>
    </xf>
    <xf numFmtId="41" fontId="8" fillId="0" borderId="0" xfId="42" applyNumberFormat="1" applyFont="1" applyFill="1" applyBorder="1" applyAlignment="1">
      <alignment/>
    </xf>
    <xf numFmtId="0" fontId="2" fillId="0" borderId="0" xfId="0" applyNumberFormat="1" applyFont="1" applyAlignment="1" applyProtection="1">
      <alignment wrapText="1"/>
      <protection locked="0"/>
    </xf>
    <xf numFmtId="0" fontId="2" fillId="0" borderId="0" xfId="0" applyNumberFormat="1" applyFont="1" applyAlignment="1" applyProtection="1">
      <alignment horizontal="left" wrapText="1"/>
      <protection locked="0"/>
    </xf>
    <xf numFmtId="173" fontId="0" fillId="0" borderId="0" xfId="0" applyFont="1" applyAlignment="1">
      <alignment horizontal="left" wrapText="1"/>
    </xf>
    <xf numFmtId="0" fontId="0" fillId="0" borderId="25" xfId="0" applyNumberForma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TC SUM for attachment O (2)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rporate\Accounting\RegulatoryAccounting\Attachment%20O%20and%20GG\2010%20Mid-Year%20True%20Up\2010%20Attachment%20O%20-%20Mid%20Year%20True%20Up%2011-15-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rporate\Accounting\RegulatoryAccounting\Attachment%20O%20and%20GG\2010%20Mid-Year%20True%20Up\2010%20Attachment%20GG%20-%20Mid%20Year%20True%20Up%2011-15-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1%20Attachment%20O%20Data%20Requests\Materials%20and%20Supplies%20Alloc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rporate\Accounting\RegulatoryAccounting\Attachment%20O%20and%20GG\2009%20Attachment%20O%20True%20Up\FINAL%20-%20Sent%209-16-10%20to%20Mike%20Gard%20-%20after%20his%20questions\Modified%209-24\SIGE%202009%20Attachment%20O%20-%20True%20Up%20Revision%2011-15-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1%20Attachment%20GG%2012-3-2010%20&amp;%20Supporting%20Workpap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O"/>
      <sheetName val="Workpapers (Pages 1 to 5)"/>
      <sheetName val="Workpapers (page 6 and 7)"/>
      <sheetName val="Workpapapers  (Page 8)"/>
      <sheetName val="Workapapers (Page 9)"/>
      <sheetName val="Workpapes (Page 10)"/>
      <sheetName val="Workpapers (Page 11)"/>
      <sheetName val="Schedule 1"/>
      <sheetName val="Cap StructureJenny Wahnseideler"/>
      <sheetName val="E-5"/>
      <sheetName val="PIS- 12312010"/>
    </sheetNames>
    <sheetDataSet>
      <sheetData sheetId="1">
        <row r="19">
          <cell r="C19">
            <v>1362128897</v>
          </cell>
          <cell r="D19">
            <v>357821105</v>
          </cell>
        </row>
        <row r="39">
          <cell r="C39">
            <v>-664731157.0439972</v>
          </cell>
          <cell r="D39">
            <v>-92100062.19745277</v>
          </cell>
          <cell r="E39">
            <v>-194657634</v>
          </cell>
          <cell r="F39">
            <v>-17950821</v>
          </cell>
          <cell r="G39">
            <v>-23663306</v>
          </cell>
        </row>
        <row r="90">
          <cell r="D90">
            <v>-219929750</v>
          </cell>
          <cell r="E90">
            <v>-6334103</v>
          </cell>
          <cell r="F90">
            <v>32429139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tach GG Proj #1- Year 1"/>
      <sheetName val="Current RECB"/>
      <sheetName val="Comparison"/>
      <sheetName val="Approved"/>
      <sheetName val="CWIP"/>
      <sheetName val="14-RECB CWIP"/>
    </sheetNames>
    <sheetDataSet>
      <sheetData sheetId="1">
        <row r="18">
          <cell r="D18">
            <v>6323511</v>
          </cell>
        </row>
      </sheetData>
      <sheetData sheetId="5">
        <row r="24">
          <cell r="AB24">
            <v>114367</v>
          </cell>
          <cell r="AC24">
            <v>114367</v>
          </cell>
          <cell r="AD24">
            <v>114367</v>
          </cell>
          <cell r="AE24">
            <v>364184</v>
          </cell>
          <cell r="AF24">
            <v>364184</v>
          </cell>
          <cell r="AG24">
            <v>789866</v>
          </cell>
        </row>
        <row r="26">
          <cell r="V26">
            <v>7621588</v>
          </cell>
          <cell r="W26">
            <v>8971856</v>
          </cell>
          <cell r="X26">
            <v>10848710</v>
          </cell>
          <cell r="Y26">
            <v>12619962</v>
          </cell>
          <cell r="Z26">
            <v>14481936</v>
          </cell>
          <cell r="AA26">
            <v>15297992</v>
          </cell>
          <cell r="AB26">
            <v>16842036</v>
          </cell>
          <cell r="AC26">
            <v>18330032</v>
          </cell>
          <cell r="AD26">
            <v>19534907</v>
          </cell>
          <cell r="AE26">
            <v>20779945</v>
          </cell>
          <cell r="AF26">
            <v>21884820</v>
          </cell>
          <cell r="AG26">
            <v>22929858</v>
          </cell>
        </row>
        <row r="37">
          <cell r="V37">
            <v>300000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&amp;S from spicer"/>
      <sheetName val="t&amp;d"/>
      <sheetName val="Sheet2"/>
      <sheetName val="Sheet3"/>
      <sheetName val="10-10 ADI"/>
    </sheetNames>
    <sheetDataSet>
      <sheetData sheetId="0">
        <row r="10">
          <cell r="F10">
            <v>1685331.5022824537</v>
          </cell>
        </row>
        <row r="12">
          <cell r="F12">
            <v>362231.8190957407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ue Up Summary"/>
      <sheetName val="Exhibit No. SIG-5"/>
      <sheetName val="Exhibit SIG-6 (Pages 1 to 5)"/>
      <sheetName val="Exhibit SIG-6 (page 6 and 7)"/>
      <sheetName val="Exhibit SIG-6 (Page 8)"/>
      <sheetName val="Exhibit SIG-6 (Page 9)"/>
      <sheetName val="Exhibit SIG-6 (Page 10)"/>
      <sheetName val="Exhibit SIG-6 (Page 11)"/>
      <sheetName val="Schedule 1"/>
      <sheetName val="MISO Detail"/>
    </sheetNames>
    <sheetDataSet>
      <sheetData sheetId="0">
        <row r="9">
          <cell r="C9">
            <v>22076916.080549687</v>
          </cell>
        </row>
        <row r="13">
          <cell r="C13">
            <v>26451724.66392371</v>
          </cell>
        </row>
        <row r="21">
          <cell r="C21">
            <v>2833674.030206834</v>
          </cell>
        </row>
        <row r="30">
          <cell r="C30">
            <v>-110183.00931696367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ttach GG Proj #1- Year 1"/>
      <sheetName val="Forward Rate TO Support Data"/>
      <sheetName val="Project Descriptions"/>
    </sheetNames>
    <sheetDataSet>
      <sheetData sheetId="0">
        <row r="81">
          <cell r="L81">
            <v>17645427.7851693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4"/>
  <sheetViews>
    <sheetView zoomScale="75" zoomScaleNormal="75" zoomScaleSheetLayoutView="75" zoomScalePageLayoutView="0" workbookViewId="0" topLeftCell="A221">
      <selection activeCell="E236" sqref="E236"/>
    </sheetView>
  </sheetViews>
  <sheetFormatPr defaultColWidth="8.88671875" defaultRowHeight="15"/>
  <cols>
    <col min="1" max="1" width="4.3359375" style="1" customWidth="1"/>
    <col min="2" max="2" width="1.5625" style="1" customWidth="1"/>
    <col min="3" max="3" width="43.3359375" style="1" customWidth="1"/>
    <col min="4" max="4" width="23.5546875" style="1" customWidth="1"/>
    <col min="5" max="5" width="16.3359375" style="1" customWidth="1"/>
    <col min="6" max="6" width="6.4453125" style="1" customWidth="1"/>
    <col min="7" max="7" width="9.3359375" style="1" customWidth="1"/>
    <col min="8" max="8" width="9.88671875" style="1" customWidth="1"/>
    <col min="9" max="9" width="1.77734375" style="1" customWidth="1"/>
    <col min="10" max="10" width="13.88671875" style="1" customWidth="1"/>
    <col min="11" max="11" width="3.5546875" style="1" customWidth="1"/>
    <col min="12" max="12" width="8.88671875" style="11" customWidth="1"/>
    <col min="13" max="13" width="8.88671875" style="1" customWidth="1"/>
    <col min="14" max="14" width="24.99609375" style="1" customWidth="1"/>
    <col min="15" max="16384" width="8.88671875" style="1" customWidth="1"/>
  </cols>
  <sheetData>
    <row r="1" spans="1:12" ht="15.75">
      <c r="A1" s="1" t="s">
        <v>272</v>
      </c>
      <c r="C1" s="2"/>
      <c r="D1" s="2"/>
      <c r="E1" s="3"/>
      <c r="F1" s="2"/>
      <c r="G1" s="2"/>
      <c r="H1" s="2"/>
      <c r="I1" s="4"/>
      <c r="J1" s="5"/>
      <c r="K1" s="5"/>
      <c r="L1" s="6" t="s">
        <v>473</v>
      </c>
    </row>
    <row r="2" spans="1:12" ht="15.75">
      <c r="A2" s="1" t="s">
        <v>474</v>
      </c>
      <c r="C2" s="2"/>
      <c r="D2" s="2"/>
      <c r="E2" s="3"/>
      <c r="F2" s="2"/>
      <c r="G2" s="2"/>
      <c r="H2" s="2"/>
      <c r="I2" s="4"/>
      <c r="J2" s="7"/>
      <c r="K2" s="7"/>
      <c r="L2" s="6" t="s">
        <v>475</v>
      </c>
    </row>
    <row r="3" spans="3:12" ht="15.75">
      <c r="C3" s="2"/>
      <c r="E3" s="3"/>
      <c r="F3" s="2"/>
      <c r="G3" s="2"/>
      <c r="H3" s="2"/>
      <c r="I3" s="4"/>
      <c r="J3" s="7"/>
      <c r="K3" s="7"/>
      <c r="L3" s="6"/>
    </row>
    <row r="4" spans="3:12" ht="15.75">
      <c r="C4" s="2"/>
      <c r="E4" s="3"/>
      <c r="F4" s="2"/>
      <c r="G4" s="2"/>
      <c r="H4" s="2"/>
      <c r="I4" s="4"/>
      <c r="J4" s="4"/>
      <c r="L4" s="9" t="s">
        <v>266</v>
      </c>
    </row>
    <row r="5" spans="3:12" ht="15.75">
      <c r="C5" s="2"/>
      <c r="D5" s="2"/>
      <c r="E5" s="3"/>
      <c r="F5" s="2"/>
      <c r="G5" s="2"/>
      <c r="H5" s="2"/>
      <c r="I5" s="4"/>
      <c r="J5" s="4"/>
      <c r="K5" s="10"/>
      <c r="L5" s="36" t="s">
        <v>267</v>
      </c>
    </row>
    <row r="6" spans="3:12" ht="15.75">
      <c r="C6" s="2"/>
      <c r="D6" s="2"/>
      <c r="E6" s="3"/>
      <c r="F6" s="2"/>
      <c r="G6" s="2"/>
      <c r="H6" s="2"/>
      <c r="I6" s="4"/>
      <c r="J6" s="4"/>
      <c r="K6" s="10"/>
      <c r="L6" s="13"/>
    </row>
    <row r="7" spans="3:12" ht="15.75">
      <c r="C7" s="2" t="s">
        <v>0</v>
      </c>
      <c r="D7" s="2"/>
      <c r="E7" s="3" t="s">
        <v>1</v>
      </c>
      <c r="F7" s="2"/>
      <c r="G7" s="2"/>
      <c r="H7" s="2"/>
      <c r="I7" s="4"/>
      <c r="J7" s="236" t="s">
        <v>535</v>
      </c>
      <c r="K7" s="237"/>
      <c r="L7" s="237"/>
    </row>
    <row r="8" spans="3:12" ht="15.75">
      <c r="C8" s="2"/>
      <c r="D8" s="14" t="s">
        <v>2</v>
      </c>
      <c r="E8" s="14" t="s">
        <v>3</v>
      </c>
      <c r="F8" s="14"/>
      <c r="G8" s="14"/>
      <c r="H8" s="14"/>
      <c r="I8" s="4"/>
      <c r="J8" s="4"/>
      <c r="K8" s="10"/>
      <c r="L8" s="13"/>
    </row>
    <row r="9" spans="3:12" ht="15.75">
      <c r="C9" s="10"/>
      <c r="D9" s="10"/>
      <c r="E9" s="10"/>
      <c r="F9" s="10"/>
      <c r="G9" s="10"/>
      <c r="H9" s="10"/>
      <c r="I9" s="10"/>
      <c r="J9" s="10"/>
      <c r="K9" s="10"/>
      <c r="L9" s="13"/>
    </row>
    <row r="10" spans="1:12" ht="15.75">
      <c r="A10" s="5"/>
      <c r="C10" s="10"/>
      <c r="D10" s="10"/>
      <c r="E10" s="305" t="s">
        <v>476</v>
      </c>
      <c r="F10" s="10"/>
      <c r="G10" s="10"/>
      <c r="H10" s="10"/>
      <c r="I10" s="10"/>
      <c r="J10" s="10"/>
      <c r="K10" s="10"/>
      <c r="L10" s="13"/>
    </row>
    <row r="11" spans="1:14" ht="15.75">
      <c r="A11" s="5"/>
      <c r="C11" s="10"/>
      <c r="D11" s="10"/>
      <c r="E11" s="15"/>
      <c r="F11" s="10"/>
      <c r="G11" s="10"/>
      <c r="H11" s="10"/>
      <c r="I11" s="10"/>
      <c r="J11" s="10"/>
      <c r="K11" s="10"/>
      <c r="L11" s="13"/>
      <c r="N11" s="2"/>
    </row>
    <row r="12" spans="1:14" ht="15.75">
      <c r="A12" s="5" t="s">
        <v>4</v>
      </c>
      <c r="C12" s="10"/>
      <c r="D12" s="10"/>
      <c r="E12" s="15"/>
      <c r="F12" s="10"/>
      <c r="G12" s="10"/>
      <c r="H12" s="10"/>
      <c r="I12" s="10"/>
      <c r="J12" s="5" t="s">
        <v>5</v>
      </c>
      <c r="K12" s="10"/>
      <c r="L12" s="13"/>
      <c r="N12" s="2"/>
    </row>
    <row r="13" spans="1:12" ht="16.5" thickBot="1">
      <c r="A13" s="16" t="s">
        <v>6</v>
      </c>
      <c r="C13" s="10"/>
      <c r="D13" s="10"/>
      <c r="E13" s="10"/>
      <c r="F13" s="10"/>
      <c r="G13" s="10"/>
      <c r="H13" s="10"/>
      <c r="I13" s="10"/>
      <c r="J13" s="16" t="s">
        <v>7</v>
      </c>
      <c r="K13" s="10"/>
      <c r="L13" s="13"/>
    </row>
    <row r="14" spans="1:12" ht="15.75">
      <c r="A14" s="5">
        <v>1</v>
      </c>
      <c r="C14" s="10" t="s">
        <v>477</v>
      </c>
      <c r="D14" s="10"/>
      <c r="E14" s="17"/>
      <c r="F14" s="10"/>
      <c r="G14" s="10"/>
      <c r="H14" s="10"/>
      <c r="I14" s="10"/>
      <c r="J14" s="18">
        <f>+J237</f>
        <v>30306446.9546968</v>
      </c>
      <c r="K14" s="10"/>
      <c r="L14" s="13"/>
    </row>
    <row r="15" spans="1:12" ht="15.75">
      <c r="A15" s="5"/>
      <c r="C15" s="10"/>
      <c r="D15" s="10"/>
      <c r="E15" s="10"/>
      <c r="F15" s="10"/>
      <c r="G15" s="10"/>
      <c r="H15" s="10"/>
      <c r="I15" s="10"/>
      <c r="J15" s="17"/>
      <c r="K15" s="10"/>
      <c r="L15" s="13"/>
    </row>
    <row r="16" spans="1:12" ht="15.75">
      <c r="A16" s="5"/>
      <c r="C16" s="10"/>
      <c r="D16" s="10"/>
      <c r="E16" s="10"/>
      <c r="F16" s="10"/>
      <c r="G16" s="10"/>
      <c r="H16" s="10"/>
      <c r="I16" s="10"/>
      <c r="J16" s="17"/>
      <c r="K16" s="10"/>
      <c r="L16" s="13"/>
    </row>
    <row r="17" spans="1:12" ht="16.5" thickBot="1">
      <c r="A17" s="5" t="s">
        <v>2</v>
      </c>
      <c r="C17" s="8" t="s">
        <v>8</v>
      </c>
      <c r="D17" s="19" t="s">
        <v>251</v>
      </c>
      <c r="E17" s="16" t="s">
        <v>9</v>
      </c>
      <c r="F17" s="14"/>
      <c r="G17" s="20" t="s">
        <v>10</v>
      </c>
      <c r="H17" s="20"/>
      <c r="I17" s="10"/>
      <c r="J17" s="17"/>
      <c r="K17" s="10"/>
      <c r="L17" s="13"/>
    </row>
    <row r="18" spans="1:12" ht="15.75">
      <c r="A18" s="5">
        <v>2</v>
      </c>
      <c r="C18" s="8" t="s">
        <v>12</v>
      </c>
      <c r="D18" s="14" t="s">
        <v>197</v>
      </c>
      <c r="E18" s="14">
        <f>J324</f>
        <v>0</v>
      </c>
      <c r="F18" s="14"/>
      <c r="G18" s="14" t="s">
        <v>11</v>
      </c>
      <c r="H18" s="21">
        <f>J272</f>
        <v>1</v>
      </c>
      <c r="I18" s="14"/>
      <c r="J18" s="14">
        <f>+H18*E18</f>
        <v>0</v>
      </c>
      <c r="K18" s="10"/>
      <c r="L18" s="13"/>
    </row>
    <row r="19" spans="1:12" ht="15.75">
      <c r="A19" s="5">
        <v>3</v>
      </c>
      <c r="C19" s="8" t="s">
        <v>293</v>
      </c>
      <c r="D19" s="14" t="s">
        <v>198</v>
      </c>
      <c r="E19" s="14">
        <f>J330</f>
        <v>1585866.2178504923</v>
      </c>
      <c r="F19" s="14"/>
      <c r="G19" s="14" t="str">
        <f aca="true" t="shared" si="0" ref="G19:H21">+G18</f>
        <v>TP</v>
      </c>
      <c r="H19" s="21">
        <f t="shared" si="0"/>
        <v>1</v>
      </c>
      <c r="I19" s="14"/>
      <c r="J19" s="14">
        <f>+H19*E19</f>
        <v>1585866.2178504923</v>
      </c>
      <c r="K19" s="10"/>
      <c r="L19" s="13"/>
    </row>
    <row r="20" spans="1:17" ht="15.75">
      <c r="A20" s="5">
        <v>4</v>
      </c>
      <c r="C20" s="22" t="s">
        <v>186</v>
      </c>
      <c r="D20" s="14"/>
      <c r="E20" s="23">
        <v>0</v>
      </c>
      <c r="F20" s="14"/>
      <c r="G20" s="14" t="str">
        <f t="shared" si="0"/>
        <v>TP</v>
      </c>
      <c r="H20" s="21">
        <f t="shared" si="0"/>
        <v>1</v>
      </c>
      <c r="I20" s="14"/>
      <c r="J20" s="14">
        <f>+H20*E20</f>
        <v>0</v>
      </c>
      <c r="K20" s="10"/>
      <c r="L20" s="13"/>
      <c r="N20" s="238" t="s">
        <v>478</v>
      </c>
      <c r="O20" s="239"/>
      <c r="P20" s="239"/>
      <c r="Q20" s="239"/>
    </row>
    <row r="21" spans="1:17" ht="16.5" thickBot="1">
      <c r="A21" s="5">
        <v>5</v>
      </c>
      <c r="C21" s="22" t="s">
        <v>187</v>
      </c>
      <c r="D21" s="14"/>
      <c r="E21" s="23">
        <v>0</v>
      </c>
      <c r="F21" s="14"/>
      <c r="G21" s="14" t="str">
        <f t="shared" si="0"/>
        <v>TP</v>
      </c>
      <c r="H21" s="21">
        <f t="shared" si="0"/>
        <v>1</v>
      </c>
      <c r="I21" s="14"/>
      <c r="J21" s="24">
        <f>+H21*E21</f>
        <v>0</v>
      </c>
      <c r="K21" s="10"/>
      <c r="L21" s="13"/>
      <c r="N21" s="238" t="s">
        <v>479</v>
      </c>
      <c r="O21" s="239"/>
      <c r="P21" s="239"/>
      <c r="Q21" s="239"/>
    </row>
    <row r="22" spans="1:17" ht="15.75">
      <c r="A22" s="5">
        <v>6</v>
      </c>
      <c r="C22" s="8" t="s">
        <v>177</v>
      </c>
      <c r="D22" s="10"/>
      <c r="E22" s="25" t="s">
        <v>2</v>
      </c>
      <c r="F22" s="14"/>
      <c r="G22" s="14"/>
      <c r="H22" s="21"/>
      <c r="I22" s="14"/>
      <c r="J22" s="14">
        <f>SUM(J18:J21)</f>
        <v>1585866.2178504923</v>
      </c>
      <c r="K22" s="10"/>
      <c r="L22" s="13"/>
      <c r="N22" s="240"/>
      <c r="O22" s="239"/>
      <c r="P22" s="239"/>
      <c r="Q22" s="239"/>
    </row>
    <row r="23" spans="1:17" ht="15.75">
      <c r="A23" s="5"/>
      <c r="D23" s="10"/>
      <c r="E23" s="14" t="s">
        <v>2</v>
      </c>
      <c r="F23" s="10"/>
      <c r="G23" s="10"/>
      <c r="H23" s="21"/>
      <c r="I23" s="10"/>
      <c r="K23" s="10"/>
      <c r="L23" s="13"/>
      <c r="N23" s="240"/>
      <c r="O23" s="239"/>
      <c r="P23" s="239"/>
      <c r="Q23" s="239"/>
    </row>
    <row r="24" spans="1:17" ht="15.75">
      <c r="A24" s="120" t="s">
        <v>315</v>
      </c>
      <c r="B24" s="11"/>
      <c r="C24" s="11" t="s">
        <v>316</v>
      </c>
      <c r="D24" s="13"/>
      <c r="E24" s="14"/>
      <c r="F24" s="10"/>
      <c r="G24" s="10"/>
      <c r="H24" s="21"/>
      <c r="I24" s="10"/>
      <c r="J24" s="308">
        <f>+'[4]True Up Summary'!$C$9</f>
        <v>22076916.080549687</v>
      </c>
      <c r="K24" s="10"/>
      <c r="L24" s="13"/>
      <c r="N24" s="240"/>
      <c r="O24" s="239"/>
      <c r="P24" s="239"/>
      <c r="Q24" s="239"/>
    </row>
    <row r="25" spans="1:17" ht="15.75">
      <c r="A25" s="120" t="s">
        <v>317</v>
      </c>
      <c r="B25" s="11"/>
      <c r="C25" s="11" t="s">
        <v>417</v>
      </c>
      <c r="D25" s="13" t="s">
        <v>411</v>
      </c>
      <c r="E25" s="14"/>
      <c r="F25" s="10"/>
      <c r="G25" s="10"/>
      <c r="H25" s="21"/>
      <c r="I25" s="10"/>
      <c r="J25" s="308">
        <f>+'[4]True Up Summary'!$C$13</f>
        <v>26451724.66392371</v>
      </c>
      <c r="K25" s="10"/>
      <c r="L25" s="13"/>
      <c r="N25" s="240"/>
      <c r="O25" s="239"/>
      <c r="P25" s="239"/>
      <c r="Q25" s="239"/>
    </row>
    <row r="26" spans="1:17" ht="15.75">
      <c r="A26" s="120" t="s">
        <v>319</v>
      </c>
      <c r="B26" s="11"/>
      <c r="C26" s="11" t="s">
        <v>412</v>
      </c>
      <c r="D26" s="13" t="s">
        <v>318</v>
      </c>
      <c r="E26" s="14"/>
      <c r="F26" s="10"/>
      <c r="G26" s="10"/>
      <c r="H26" s="21"/>
      <c r="I26" s="10"/>
      <c r="J26" s="308">
        <f>+J24-J25</f>
        <v>-4374808.583374023</v>
      </c>
      <c r="K26" s="10"/>
      <c r="L26" s="13"/>
      <c r="N26" s="240"/>
      <c r="O26" s="239"/>
      <c r="P26" s="239"/>
      <c r="Q26" s="239"/>
    </row>
    <row r="27" spans="1:17" ht="15.75">
      <c r="A27" s="120" t="s">
        <v>320</v>
      </c>
      <c r="B27" s="11"/>
      <c r="C27" s="11" t="s">
        <v>413</v>
      </c>
      <c r="D27" s="13" t="s">
        <v>406</v>
      </c>
      <c r="E27" s="14"/>
      <c r="F27" s="10"/>
      <c r="G27" s="10"/>
      <c r="H27" s="21"/>
      <c r="I27" s="10"/>
      <c r="J27" s="308">
        <f>+'[4]True Up Summary'!$C$21</f>
        <v>2833674.030206834</v>
      </c>
      <c r="K27" s="10"/>
      <c r="L27" s="13"/>
      <c r="N27" s="240"/>
      <c r="O27" s="239"/>
      <c r="P27" s="239"/>
      <c r="Q27" s="239"/>
    </row>
    <row r="28" spans="1:17" ht="15.75">
      <c r="A28" s="120" t="s">
        <v>326</v>
      </c>
      <c r="B28" s="11"/>
      <c r="C28" s="11" t="s">
        <v>414</v>
      </c>
      <c r="D28" s="13"/>
      <c r="E28" s="14"/>
      <c r="F28" s="10"/>
      <c r="G28" s="10"/>
      <c r="H28" s="21"/>
      <c r="I28" s="10"/>
      <c r="J28" s="308">
        <f>+'[4]True Up Summary'!$C$30</f>
        <v>-110183.00931696367</v>
      </c>
      <c r="K28" s="10"/>
      <c r="L28" s="13"/>
      <c r="N28" s="240"/>
      <c r="O28" s="239"/>
      <c r="P28" s="239"/>
      <c r="Q28" s="239"/>
    </row>
    <row r="29" spans="1:17" ht="15.75">
      <c r="A29" s="120"/>
      <c r="B29" s="11"/>
      <c r="C29" s="58"/>
      <c r="D29" s="13"/>
      <c r="J29" s="14"/>
      <c r="K29" s="10"/>
      <c r="L29" s="13"/>
      <c r="N29" s="240"/>
      <c r="O29" s="239"/>
      <c r="P29" s="239"/>
      <c r="Q29" s="239"/>
    </row>
    <row r="30" spans="1:17" ht="16.5" thickBot="1">
      <c r="A30" s="120">
        <v>7</v>
      </c>
      <c r="B30" s="11"/>
      <c r="C30" s="58" t="s">
        <v>13</v>
      </c>
      <c r="D30" s="13" t="s">
        <v>418</v>
      </c>
      <c r="E30" s="25" t="s">
        <v>2</v>
      </c>
      <c r="F30" s="14"/>
      <c r="G30" s="14"/>
      <c r="H30" s="14"/>
      <c r="I30" s="14"/>
      <c r="J30" s="241">
        <f>+J14-J22+J26+J27+J28</f>
        <v>27069263.174362157</v>
      </c>
      <c r="K30" s="10"/>
      <c r="L30" s="13"/>
      <c r="N30" s="240"/>
      <c r="O30" s="239"/>
      <c r="P30" s="239"/>
      <c r="Q30" s="239"/>
    </row>
    <row r="31" spans="1:17" ht="16.5" thickTop="1">
      <c r="A31" s="5"/>
      <c r="D31" s="10"/>
      <c r="E31" s="25"/>
      <c r="F31" s="14"/>
      <c r="G31" s="14"/>
      <c r="H31" s="14"/>
      <c r="I31" s="14"/>
      <c r="K31" s="10"/>
      <c r="L31" s="13"/>
      <c r="N31" s="240"/>
      <c r="O31" s="239"/>
      <c r="P31" s="239"/>
      <c r="Q31" s="239"/>
    </row>
    <row r="32" spans="1:17" ht="15.75">
      <c r="A32" s="5"/>
      <c r="D32" s="14"/>
      <c r="J32" s="14"/>
      <c r="K32" s="10"/>
      <c r="L32" s="13"/>
      <c r="N32" s="240"/>
      <c r="O32" s="239"/>
      <c r="P32" s="239"/>
      <c r="Q32" s="239"/>
    </row>
    <row r="33" spans="1:17" ht="15.75">
      <c r="A33" s="5"/>
      <c r="C33" s="8" t="s">
        <v>14</v>
      </c>
      <c r="D33" s="10"/>
      <c r="E33" s="17"/>
      <c r="F33" s="10"/>
      <c r="G33" s="10"/>
      <c r="H33" s="10"/>
      <c r="I33" s="10"/>
      <c r="J33" s="17"/>
      <c r="K33" s="10"/>
      <c r="L33" s="13"/>
      <c r="N33" s="240"/>
      <c r="O33" s="239"/>
      <c r="P33" s="239"/>
      <c r="Q33" s="239"/>
    </row>
    <row r="34" spans="1:17" ht="15.75">
      <c r="A34" s="5">
        <v>8</v>
      </c>
      <c r="C34" s="8" t="s">
        <v>15</v>
      </c>
      <c r="E34" s="17"/>
      <c r="F34" s="10"/>
      <c r="G34" s="10"/>
      <c r="H34" s="26" t="s">
        <v>16</v>
      </c>
      <c r="I34" s="10"/>
      <c r="J34" s="27">
        <f>'Workpapes (Page 10)'!D23</f>
        <v>966000</v>
      </c>
      <c r="K34" s="10"/>
      <c r="L34" s="13"/>
      <c r="N34" s="211"/>
      <c r="O34" s="239"/>
      <c r="P34" s="239"/>
      <c r="Q34" s="239"/>
    </row>
    <row r="35" spans="1:12" ht="15.75">
      <c r="A35" s="5">
        <v>9</v>
      </c>
      <c r="C35" s="8" t="s">
        <v>199</v>
      </c>
      <c r="D35" s="14"/>
      <c r="E35" s="14"/>
      <c r="F35" s="14"/>
      <c r="G35" s="14"/>
      <c r="H35" s="19" t="s">
        <v>17</v>
      </c>
      <c r="I35" s="14"/>
      <c r="J35" s="27">
        <v>0</v>
      </c>
      <c r="K35" s="10"/>
      <c r="L35" s="13"/>
    </row>
    <row r="36" spans="1:12" ht="15.75">
      <c r="A36" s="5">
        <v>10</v>
      </c>
      <c r="C36" s="22" t="s">
        <v>200</v>
      </c>
      <c r="D36" s="10"/>
      <c r="E36" s="10"/>
      <c r="F36" s="10"/>
      <c r="H36" s="26" t="s">
        <v>18</v>
      </c>
      <c r="I36" s="10"/>
      <c r="J36" s="27">
        <v>0</v>
      </c>
      <c r="K36" s="10"/>
      <c r="L36" s="13"/>
    </row>
    <row r="37" spans="1:12" ht="15.75">
      <c r="A37" s="5">
        <v>11</v>
      </c>
      <c r="C37" s="8" t="s">
        <v>188</v>
      </c>
      <c r="D37" s="10"/>
      <c r="E37" s="10"/>
      <c r="F37" s="10"/>
      <c r="H37" s="26" t="s">
        <v>19</v>
      </c>
      <c r="I37" s="10"/>
      <c r="J37" s="28">
        <v>0</v>
      </c>
      <c r="K37" s="10"/>
      <c r="L37" s="13"/>
    </row>
    <row r="38" spans="1:12" ht="15.75">
      <c r="A38" s="5">
        <v>12</v>
      </c>
      <c r="C38" s="22" t="s">
        <v>176</v>
      </c>
      <c r="D38" s="10"/>
      <c r="E38" s="10"/>
      <c r="F38" s="10"/>
      <c r="G38" s="10"/>
      <c r="H38" s="4"/>
      <c r="I38" s="10"/>
      <c r="J38" s="28">
        <v>0</v>
      </c>
      <c r="K38" s="10"/>
      <c r="L38" s="13"/>
    </row>
    <row r="39" spans="1:12" ht="15.75">
      <c r="A39" s="5">
        <v>13</v>
      </c>
      <c r="C39" s="22" t="s">
        <v>235</v>
      </c>
      <c r="D39" s="10"/>
      <c r="E39" s="10"/>
      <c r="F39" s="10"/>
      <c r="G39" s="10"/>
      <c r="H39" s="26"/>
      <c r="I39" s="10"/>
      <c r="J39" s="28">
        <v>0</v>
      </c>
      <c r="K39" s="10"/>
      <c r="L39" s="13"/>
    </row>
    <row r="40" spans="1:12" ht="16.5" thickBot="1">
      <c r="A40" s="5">
        <v>14</v>
      </c>
      <c r="C40" s="22" t="s">
        <v>225</v>
      </c>
      <c r="D40" s="10"/>
      <c r="E40" s="10"/>
      <c r="F40" s="10"/>
      <c r="G40" s="10"/>
      <c r="H40" s="4"/>
      <c r="I40" s="10"/>
      <c r="J40" s="29">
        <v>0</v>
      </c>
      <c r="K40" s="10"/>
      <c r="L40" s="13"/>
    </row>
    <row r="41" spans="1:12" ht="15.75">
      <c r="A41" s="5">
        <v>15</v>
      </c>
      <c r="C41" s="2" t="s">
        <v>189</v>
      </c>
      <c r="D41" s="10"/>
      <c r="E41" s="10"/>
      <c r="F41" s="10"/>
      <c r="G41" s="10"/>
      <c r="H41" s="10"/>
      <c r="I41" s="10"/>
      <c r="J41" s="17">
        <f>SUM(J34:J40)</f>
        <v>966000</v>
      </c>
      <c r="K41" s="10"/>
      <c r="L41" s="13"/>
    </row>
    <row r="42" spans="1:12" ht="15.75">
      <c r="A42" s="5"/>
      <c r="C42" s="8"/>
      <c r="D42" s="10"/>
      <c r="E42" s="10"/>
      <c r="F42" s="10"/>
      <c r="G42" s="10"/>
      <c r="H42" s="10"/>
      <c r="I42" s="10"/>
      <c r="J42" s="17"/>
      <c r="K42" s="10"/>
      <c r="L42" s="13"/>
    </row>
    <row r="43" spans="1:12" ht="15.75">
      <c r="A43" s="5">
        <v>16</v>
      </c>
      <c r="C43" s="8" t="s">
        <v>20</v>
      </c>
      <c r="D43" s="10" t="s">
        <v>190</v>
      </c>
      <c r="E43" s="30">
        <f>IF(J41&gt;0,J30/J41,0)</f>
        <v>28.022011567662688</v>
      </c>
      <c r="F43" s="10"/>
      <c r="G43" s="10"/>
      <c r="H43" s="10"/>
      <c r="I43" s="10"/>
      <c r="K43" s="10"/>
      <c r="L43" s="13"/>
    </row>
    <row r="44" spans="1:12" ht="15.75">
      <c r="A44" s="5">
        <v>17</v>
      </c>
      <c r="C44" s="8" t="s">
        <v>178</v>
      </c>
      <c r="D44" s="10" t="s">
        <v>191</v>
      </c>
      <c r="E44" s="30">
        <f>+E43/12</f>
        <v>2.335167630638557</v>
      </c>
      <c r="F44" s="10"/>
      <c r="G44" s="10"/>
      <c r="H44" s="10"/>
      <c r="I44" s="10"/>
      <c r="K44" s="10"/>
      <c r="L44" s="13"/>
    </row>
    <row r="45" spans="1:12" ht="15.75">
      <c r="A45" s="5"/>
      <c r="C45" s="8"/>
      <c r="D45" s="10"/>
      <c r="E45" s="30"/>
      <c r="F45" s="10"/>
      <c r="G45" s="10"/>
      <c r="H45" s="10"/>
      <c r="I45" s="10"/>
      <c r="K45" s="10"/>
      <c r="L45" s="13"/>
    </row>
    <row r="46" spans="1:12" ht="15.75">
      <c r="A46" s="5"/>
      <c r="C46" s="8"/>
      <c r="D46" s="10"/>
      <c r="E46" s="31" t="s">
        <v>21</v>
      </c>
      <c r="F46" s="10"/>
      <c r="G46" s="10"/>
      <c r="H46" s="10"/>
      <c r="I46" s="10"/>
      <c r="J46" s="32" t="s">
        <v>22</v>
      </c>
      <c r="K46" s="10"/>
      <c r="L46" s="13"/>
    </row>
    <row r="47" spans="1:12" ht="15.75">
      <c r="A47" s="5"/>
      <c r="C47" s="8"/>
      <c r="D47" s="10"/>
      <c r="E47" s="30"/>
      <c r="F47" s="10"/>
      <c r="G47" s="10"/>
      <c r="H47" s="10"/>
      <c r="I47" s="10"/>
      <c r="K47" s="10"/>
      <c r="L47" s="13"/>
    </row>
    <row r="48" spans="1:12" ht="15.75">
      <c r="A48" s="5">
        <v>18</v>
      </c>
      <c r="C48" s="8" t="s">
        <v>23</v>
      </c>
      <c r="D48" s="153" t="s">
        <v>192</v>
      </c>
      <c r="E48" s="30">
        <f>+E43/52</f>
        <v>0.5388848378396671</v>
      </c>
      <c r="F48" s="10"/>
      <c r="G48" s="10"/>
      <c r="H48" s="10"/>
      <c r="I48" s="10"/>
      <c r="J48" s="33">
        <f>+E43/52</f>
        <v>0.5388848378396671</v>
      </c>
      <c r="K48" s="10"/>
      <c r="L48" s="13"/>
    </row>
    <row r="49" spans="1:12" ht="15.75">
      <c r="A49" s="5">
        <v>19</v>
      </c>
      <c r="C49" s="8" t="s">
        <v>24</v>
      </c>
      <c r="D49" s="153" t="s">
        <v>480</v>
      </c>
      <c r="E49" s="30">
        <f>+E48/5</f>
        <v>0.10777696756793342</v>
      </c>
      <c r="F49" s="10" t="s">
        <v>25</v>
      </c>
      <c r="H49" s="10"/>
      <c r="I49" s="10"/>
      <c r="J49" s="33">
        <f>+J48/7</f>
        <v>0.07698354826280959</v>
      </c>
      <c r="K49" s="10"/>
      <c r="L49" s="13"/>
    </row>
    <row r="50" spans="1:12" ht="15.75">
      <c r="A50" s="5">
        <v>20</v>
      </c>
      <c r="C50" s="8" t="s">
        <v>26</v>
      </c>
      <c r="D50" s="153" t="s">
        <v>481</v>
      </c>
      <c r="E50" s="30">
        <f>+E49/16*1000</f>
        <v>6.736060472995839</v>
      </c>
      <c r="F50" s="10" t="s">
        <v>27</v>
      </c>
      <c r="H50" s="10"/>
      <c r="I50" s="10"/>
      <c r="J50" s="33">
        <f>+J49/24*1000</f>
        <v>3.207647844283733</v>
      </c>
      <c r="K50" s="10"/>
      <c r="L50" s="13" t="s">
        <v>2</v>
      </c>
    </row>
    <row r="51" spans="1:12" ht="15.75">
      <c r="A51" s="5"/>
      <c r="C51" s="8"/>
      <c r="D51" s="10" t="s">
        <v>28</v>
      </c>
      <c r="E51" s="10"/>
      <c r="F51" s="10" t="s">
        <v>29</v>
      </c>
      <c r="H51" s="10"/>
      <c r="I51" s="10"/>
      <c r="K51" s="10"/>
      <c r="L51" s="13" t="s">
        <v>2</v>
      </c>
    </row>
    <row r="52" spans="1:12" ht="15.75">
      <c r="A52" s="5"/>
      <c r="C52" s="8"/>
      <c r="D52" s="10"/>
      <c r="E52" s="10"/>
      <c r="F52" s="10"/>
      <c r="H52" s="10"/>
      <c r="I52" s="10"/>
      <c r="K52" s="10"/>
      <c r="L52" s="13" t="s">
        <v>2</v>
      </c>
    </row>
    <row r="53" spans="1:12" ht="15.75">
      <c r="A53" s="5">
        <v>21</v>
      </c>
      <c r="C53" s="8" t="s">
        <v>30</v>
      </c>
      <c r="D53" s="10" t="s">
        <v>31</v>
      </c>
      <c r="E53" s="34">
        <v>0</v>
      </c>
      <c r="F53" s="35" t="s">
        <v>32</v>
      </c>
      <c r="G53" s="35"/>
      <c r="H53" s="35"/>
      <c r="I53" s="35"/>
      <c r="J53" s="35">
        <f>E53</f>
        <v>0</v>
      </c>
      <c r="K53" s="35" t="s">
        <v>32</v>
      </c>
      <c r="L53" s="13"/>
    </row>
    <row r="54" spans="1:12" ht="15.75">
      <c r="A54" s="5">
        <v>22</v>
      </c>
      <c r="C54" s="8"/>
      <c r="D54" s="10"/>
      <c r="E54" s="34">
        <v>0</v>
      </c>
      <c r="F54" s="35" t="s">
        <v>33</v>
      </c>
      <c r="G54" s="35"/>
      <c r="H54" s="35"/>
      <c r="I54" s="35"/>
      <c r="J54" s="35">
        <f>E54</f>
        <v>0</v>
      </c>
      <c r="K54" s="35" t="s">
        <v>33</v>
      </c>
      <c r="L54" s="13"/>
    </row>
    <row r="55" spans="1:12" s="11" customFormat="1" ht="15.75">
      <c r="A55" s="120"/>
      <c r="C55" s="58"/>
      <c r="D55" s="13"/>
      <c r="E55" s="121"/>
      <c r="F55" s="121"/>
      <c r="G55" s="121"/>
      <c r="H55" s="121"/>
      <c r="I55" s="121"/>
      <c r="J55" s="121"/>
      <c r="K55" s="121"/>
      <c r="L55" s="13"/>
    </row>
    <row r="56" spans="1:12" s="11" customFormat="1" ht="15.75">
      <c r="A56" s="120"/>
      <c r="C56" s="58"/>
      <c r="D56" s="13"/>
      <c r="E56" s="121"/>
      <c r="F56" s="121"/>
      <c r="G56" s="121"/>
      <c r="H56" s="121"/>
      <c r="I56" s="121"/>
      <c r="J56" s="121"/>
      <c r="K56" s="121"/>
      <c r="L56" s="13"/>
    </row>
    <row r="57" spans="1:12" s="11" customFormat="1" ht="15.75">
      <c r="A57" s="120"/>
      <c r="C57" s="58"/>
      <c r="D57" s="13"/>
      <c r="E57" s="121"/>
      <c r="F57" s="121"/>
      <c r="G57" s="121"/>
      <c r="H57" s="121"/>
      <c r="I57" s="121"/>
      <c r="J57" s="121"/>
      <c r="K57" s="121"/>
      <c r="L57" s="13"/>
    </row>
    <row r="58" spans="1:12" s="11" customFormat="1" ht="15.75">
      <c r="A58" s="120"/>
      <c r="C58" s="58"/>
      <c r="D58" s="13"/>
      <c r="E58" s="121"/>
      <c r="F58" s="121"/>
      <c r="G58" s="121"/>
      <c r="H58" s="121"/>
      <c r="I58" s="121"/>
      <c r="J58" s="121"/>
      <c r="K58" s="121"/>
      <c r="L58" s="13"/>
    </row>
    <row r="59" spans="1:12" s="11" customFormat="1" ht="15.75">
      <c r="A59" s="120"/>
      <c r="C59" s="58"/>
      <c r="D59" s="13"/>
      <c r="E59" s="121"/>
      <c r="F59" s="121"/>
      <c r="G59" s="121"/>
      <c r="H59" s="121"/>
      <c r="I59" s="121"/>
      <c r="J59" s="121"/>
      <c r="K59" s="121"/>
      <c r="L59" s="13"/>
    </row>
    <row r="60" spans="1:12" s="11" customFormat="1" ht="15.75">
      <c r="A60" s="120"/>
      <c r="C60" s="58"/>
      <c r="D60" s="13"/>
      <c r="E60" s="121"/>
      <c r="F60" s="121"/>
      <c r="G60" s="121"/>
      <c r="H60" s="121"/>
      <c r="I60" s="121"/>
      <c r="J60" s="121"/>
      <c r="K60" s="121"/>
      <c r="L60" s="13"/>
    </row>
    <row r="61" spans="1:12" s="11" customFormat="1" ht="15.75">
      <c r="A61" s="120"/>
      <c r="C61" s="58"/>
      <c r="D61" s="13"/>
      <c r="E61" s="121"/>
      <c r="F61" s="121"/>
      <c r="G61" s="121"/>
      <c r="H61" s="121"/>
      <c r="I61" s="121"/>
      <c r="J61" s="121"/>
      <c r="K61" s="121"/>
      <c r="L61" s="13"/>
    </row>
    <row r="62" spans="1:12" s="11" customFormat="1" ht="15.75">
      <c r="A62" s="120"/>
      <c r="C62" s="58"/>
      <c r="D62" s="13"/>
      <c r="E62" s="121"/>
      <c r="F62" s="121"/>
      <c r="G62" s="121"/>
      <c r="H62" s="121"/>
      <c r="I62" s="121"/>
      <c r="J62" s="121"/>
      <c r="K62" s="121"/>
      <c r="L62" s="13"/>
    </row>
    <row r="63" spans="1:12" s="11" customFormat="1" ht="15.75">
      <c r="A63" s="120"/>
      <c r="C63" s="58"/>
      <c r="D63" s="13"/>
      <c r="E63" s="121"/>
      <c r="F63" s="121"/>
      <c r="G63" s="121"/>
      <c r="H63" s="121"/>
      <c r="I63" s="121"/>
      <c r="J63" s="121"/>
      <c r="K63" s="121"/>
      <c r="L63" s="13"/>
    </row>
    <row r="64" spans="1:12" s="11" customFormat="1" ht="15.75">
      <c r="A64" s="120"/>
      <c r="C64" s="58"/>
      <c r="D64" s="13"/>
      <c r="E64" s="121"/>
      <c r="F64" s="121"/>
      <c r="G64" s="121"/>
      <c r="H64" s="121"/>
      <c r="I64" s="121"/>
      <c r="J64" s="121"/>
      <c r="K64" s="121"/>
      <c r="L64" s="13"/>
    </row>
    <row r="65" spans="1:12" s="11" customFormat="1" ht="15.75">
      <c r="A65" s="120"/>
      <c r="C65" s="58"/>
      <c r="D65" s="13"/>
      <c r="E65" s="121"/>
      <c r="F65" s="121"/>
      <c r="G65" s="121"/>
      <c r="H65" s="121"/>
      <c r="I65" s="121"/>
      <c r="J65" s="121"/>
      <c r="K65" s="121"/>
      <c r="L65" s="13"/>
    </row>
    <row r="66" spans="1:12" s="11" customFormat="1" ht="15.75">
      <c r="A66" s="120"/>
      <c r="C66" s="58"/>
      <c r="D66" s="13"/>
      <c r="E66" s="121"/>
      <c r="F66" s="121"/>
      <c r="G66" s="121"/>
      <c r="H66" s="121"/>
      <c r="I66" s="121"/>
      <c r="J66" s="121"/>
      <c r="K66" s="121"/>
      <c r="L66" s="13"/>
    </row>
    <row r="67" spans="1:12" s="11" customFormat="1" ht="15.75">
      <c r="A67" s="120"/>
      <c r="C67" s="58"/>
      <c r="D67" s="13"/>
      <c r="E67" s="121"/>
      <c r="F67" s="121"/>
      <c r="G67" s="121"/>
      <c r="H67" s="121"/>
      <c r="I67" s="121"/>
      <c r="J67" s="121"/>
      <c r="K67" s="121"/>
      <c r="L67" s="13"/>
    </row>
    <row r="68" spans="1:12" s="11" customFormat="1" ht="15.75">
      <c r="A68" s="120"/>
      <c r="C68" s="58"/>
      <c r="D68" s="13"/>
      <c r="E68" s="121"/>
      <c r="F68" s="121"/>
      <c r="G68" s="121"/>
      <c r="H68" s="121"/>
      <c r="I68" s="121"/>
      <c r="J68" s="121"/>
      <c r="K68" s="121"/>
      <c r="L68" s="13"/>
    </row>
    <row r="69" spans="1:12" s="11" customFormat="1" ht="15.75">
      <c r="A69" s="120"/>
      <c r="C69" s="58"/>
      <c r="D69" s="13"/>
      <c r="E69" s="121"/>
      <c r="F69" s="121"/>
      <c r="G69" s="121"/>
      <c r="H69" s="121"/>
      <c r="I69" s="121"/>
      <c r="J69" s="121"/>
      <c r="K69" s="121"/>
      <c r="L69" s="13"/>
    </row>
    <row r="70" spans="1:12" s="11" customFormat="1" ht="15.75">
      <c r="A70" s="120"/>
      <c r="C70" s="58"/>
      <c r="D70" s="13"/>
      <c r="E70" s="121"/>
      <c r="F70" s="121"/>
      <c r="G70" s="121"/>
      <c r="H70" s="121"/>
      <c r="I70" s="121"/>
      <c r="J70" s="121"/>
      <c r="K70" s="121"/>
      <c r="L70" s="13"/>
    </row>
    <row r="71" spans="1:12" s="11" customFormat="1" ht="15.75">
      <c r="A71" s="120"/>
      <c r="C71" s="58"/>
      <c r="D71" s="13"/>
      <c r="E71" s="121"/>
      <c r="F71" s="121"/>
      <c r="G71" s="121"/>
      <c r="H71" s="121"/>
      <c r="I71" s="121"/>
      <c r="J71" s="121"/>
      <c r="K71" s="121"/>
      <c r="L71" s="13"/>
    </row>
    <row r="72" spans="1:12" s="11" customFormat="1" ht="15.75">
      <c r="A72" s="120"/>
      <c r="C72" s="58"/>
      <c r="D72" s="13"/>
      <c r="E72" s="121"/>
      <c r="F72" s="121"/>
      <c r="G72" s="121"/>
      <c r="H72" s="121"/>
      <c r="I72" s="121"/>
      <c r="J72" s="121"/>
      <c r="K72" s="121"/>
      <c r="L72" s="13"/>
    </row>
    <row r="73" spans="1:12" s="11" customFormat="1" ht="15.75">
      <c r="A73" s="120"/>
      <c r="C73" s="58"/>
      <c r="D73" s="13"/>
      <c r="E73" s="121"/>
      <c r="F73" s="121"/>
      <c r="G73" s="121"/>
      <c r="H73" s="121"/>
      <c r="I73" s="121"/>
      <c r="J73" s="121"/>
      <c r="K73" s="121"/>
      <c r="L73" s="13"/>
    </row>
    <row r="74" spans="1:12" s="11" customFormat="1" ht="15.75">
      <c r="A74" s="120"/>
      <c r="C74" s="58"/>
      <c r="D74" s="13"/>
      <c r="E74" s="121"/>
      <c r="F74" s="121"/>
      <c r="G74" s="121"/>
      <c r="H74" s="121"/>
      <c r="I74" s="121"/>
      <c r="J74" s="121"/>
      <c r="K74" s="121"/>
      <c r="L74" s="13"/>
    </row>
    <row r="75" spans="1:12" s="11" customFormat="1" ht="15.75">
      <c r="A75" s="120"/>
      <c r="C75" s="58"/>
      <c r="D75" s="13"/>
      <c r="E75" s="121"/>
      <c r="F75" s="121"/>
      <c r="G75" s="121"/>
      <c r="H75" s="121"/>
      <c r="I75" s="121"/>
      <c r="J75" s="121"/>
      <c r="K75" s="121"/>
      <c r="L75" s="13"/>
    </row>
    <row r="76" spans="1:12" s="11" customFormat="1" ht="15.75">
      <c r="A76" s="120"/>
      <c r="C76" s="58"/>
      <c r="D76" s="13"/>
      <c r="E76" s="121"/>
      <c r="F76" s="121"/>
      <c r="G76" s="121"/>
      <c r="H76" s="121"/>
      <c r="I76" s="121"/>
      <c r="J76" s="121"/>
      <c r="K76" s="121"/>
      <c r="L76" s="13"/>
    </row>
    <row r="77" spans="1:12" s="11" customFormat="1" ht="15.75">
      <c r="A77" s="120"/>
      <c r="C77" s="58"/>
      <c r="D77" s="13"/>
      <c r="E77" s="121"/>
      <c r="F77" s="121"/>
      <c r="G77" s="121"/>
      <c r="H77" s="121"/>
      <c r="I77" s="121"/>
      <c r="J77" s="121"/>
      <c r="K77" s="121"/>
      <c r="L77" s="13"/>
    </row>
    <row r="78" spans="1:12" s="11" customFormat="1" ht="15.75">
      <c r="A78" s="120"/>
      <c r="C78" s="58"/>
      <c r="D78" s="13"/>
      <c r="E78" s="121"/>
      <c r="F78" s="121"/>
      <c r="G78" s="121"/>
      <c r="H78" s="121"/>
      <c r="I78" s="121"/>
      <c r="J78" s="121"/>
      <c r="K78" s="121"/>
      <c r="L78" s="13"/>
    </row>
    <row r="79" spans="1:12" s="11" customFormat="1" ht="15.75">
      <c r="A79" s="120"/>
      <c r="C79" s="58"/>
      <c r="D79" s="13"/>
      <c r="E79" s="121"/>
      <c r="F79" s="121"/>
      <c r="G79" s="121"/>
      <c r="H79" s="121"/>
      <c r="I79" s="121"/>
      <c r="J79" s="121"/>
      <c r="K79" s="121"/>
      <c r="L79" s="13"/>
    </row>
    <row r="80" spans="1:12" s="11" customFormat="1" ht="15.75">
      <c r="A80" s="120"/>
      <c r="C80" s="58"/>
      <c r="D80" s="13"/>
      <c r="E80" s="121"/>
      <c r="F80" s="121"/>
      <c r="G80" s="121"/>
      <c r="H80" s="121"/>
      <c r="I80" s="121"/>
      <c r="J80" s="121"/>
      <c r="K80" s="121"/>
      <c r="L80" s="13"/>
    </row>
    <row r="81" spans="1:12" s="11" customFormat="1" ht="15.75">
      <c r="A81" s="120"/>
      <c r="C81" s="58"/>
      <c r="D81" s="13"/>
      <c r="E81" s="121"/>
      <c r="F81" s="121"/>
      <c r="G81" s="121"/>
      <c r="H81" s="121"/>
      <c r="I81" s="121"/>
      <c r="J81" s="121"/>
      <c r="K81" s="121"/>
      <c r="L81" s="13"/>
    </row>
    <row r="82" spans="1:12" s="11" customFormat="1" ht="15.75">
      <c r="A82" s="120"/>
      <c r="C82" s="58"/>
      <c r="D82" s="13"/>
      <c r="E82" s="121"/>
      <c r="F82" s="121"/>
      <c r="G82" s="121"/>
      <c r="H82" s="121"/>
      <c r="I82" s="121"/>
      <c r="J82" s="121"/>
      <c r="K82" s="121"/>
      <c r="L82" s="13"/>
    </row>
    <row r="83" spans="1:12" s="11" customFormat="1" ht="15.75">
      <c r="A83" s="120"/>
      <c r="C83" s="58"/>
      <c r="D83" s="13"/>
      <c r="E83" s="121"/>
      <c r="F83" s="121"/>
      <c r="G83" s="121"/>
      <c r="H83" s="121"/>
      <c r="I83" s="121"/>
      <c r="J83" s="121"/>
      <c r="K83" s="121"/>
      <c r="L83" s="13"/>
    </row>
    <row r="84" spans="1:12" s="11" customFormat="1" ht="15.75">
      <c r="A84" s="120"/>
      <c r="C84" s="58"/>
      <c r="D84" s="13"/>
      <c r="E84" s="121"/>
      <c r="F84" s="121"/>
      <c r="G84" s="121"/>
      <c r="H84" s="121"/>
      <c r="I84" s="121"/>
      <c r="J84" s="121"/>
      <c r="K84" s="121"/>
      <c r="L84" s="13"/>
    </row>
    <row r="85" spans="1:12" s="11" customFormat="1" ht="15.75">
      <c r="A85" s="120"/>
      <c r="C85" s="58"/>
      <c r="D85" s="13"/>
      <c r="E85" s="121"/>
      <c r="F85" s="121"/>
      <c r="G85" s="121"/>
      <c r="H85" s="121"/>
      <c r="I85" s="121"/>
      <c r="J85" s="121"/>
      <c r="K85" s="121"/>
      <c r="L85" s="13"/>
    </row>
    <row r="86" spans="1:12" ht="15.75">
      <c r="A86" s="2" t="s">
        <v>460</v>
      </c>
      <c r="C86" s="8"/>
      <c r="D86" s="14"/>
      <c r="E86" s="52"/>
      <c r="F86" s="14"/>
      <c r="G86" s="14"/>
      <c r="H86" s="47"/>
      <c r="I86" s="14"/>
      <c r="J86" s="52"/>
      <c r="K86" s="14"/>
      <c r="L86" s="53" t="s">
        <v>482</v>
      </c>
    </row>
    <row r="87" spans="1:12" ht="15.75">
      <c r="A87" s="2" t="s">
        <v>483</v>
      </c>
      <c r="C87" s="8"/>
      <c r="D87" s="14"/>
      <c r="E87" s="52"/>
      <c r="F87" s="14"/>
      <c r="G87" s="14"/>
      <c r="H87" s="47"/>
      <c r="I87" s="14"/>
      <c r="J87" s="52"/>
      <c r="K87" s="14"/>
      <c r="L87" s="53"/>
    </row>
    <row r="88" spans="1:12" ht="15.75">
      <c r="A88" s="1" t="s">
        <v>272</v>
      </c>
      <c r="C88" s="2"/>
      <c r="D88" s="2"/>
      <c r="E88" s="3"/>
      <c r="F88" s="2"/>
      <c r="G88" s="2"/>
      <c r="H88" s="2"/>
      <c r="I88" s="4"/>
      <c r="J88" s="5"/>
      <c r="K88" s="5"/>
      <c r="L88" s="6" t="s">
        <v>484</v>
      </c>
    </row>
    <row r="89" spans="1:12" ht="15.75">
      <c r="A89" s="1" t="s">
        <v>474</v>
      </c>
      <c r="C89" s="2"/>
      <c r="D89" s="2"/>
      <c r="E89" s="3"/>
      <c r="F89" s="2"/>
      <c r="G89" s="2"/>
      <c r="H89" s="2"/>
      <c r="I89" s="4"/>
      <c r="J89" s="7"/>
      <c r="K89" s="7"/>
      <c r="L89" s="6" t="s">
        <v>485</v>
      </c>
    </row>
    <row r="90" spans="3:12" ht="15.75">
      <c r="C90" s="2"/>
      <c r="D90" s="2"/>
      <c r="E90" s="3"/>
      <c r="F90" s="2"/>
      <c r="G90" s="2"/>
      <c r="H90" s="2"/>
      <c r="I90" s="4"/>
      <c r="J90" s="4"/>
      <c r="L90" s="9" t="s">
        <v>266</v>
      </c>
    </row>
    <row r="91" spans="3:12" ht="15.75">
      <c r="C91" s="2"/>
      <c r="D91" s="2"/>
      <c r="E91" s="3"/>
      <c r="F91" s="2"/>
      <c r="G91" s="2"/>
      <c r="H91" s="2"/>
      <c r="I91" s="4"/>
      <c r="J91" s="4"/>
      <c r="K91" s="10"/>
      <c r="L91" s="36" t="s">
        <v>268</v>
      </c>
    </row>
    <row r="92" spans="3:12" ht="15.75">
      <c r="C92" s="2"/>
      <c r="D92" s="2"/>
      <c r="E92" s="3"/>
      <c r="F92" s="2"/>
      <c r="G92" s="2"/>
      <c r="H92" s="2"/>
      <c r="I92" s="4"/>
      <c r="J92" s="4"/>
      <c r="K92" s="10"/>
      <c r="L92" s="36"/>
    </row>
    <row r="93" spans="3:12" ht="15.75">
      <c r="C93" s="2" t="s">
        <v>0</v>
      </c>
      <c r="D93" s="2"/>
      <c r="E93" s="3" t="s">
        <v>1</v>
      </c>
      <c r="F93" s="2"/>
      <c r="G93" s="2"/>
      <c r="H93" s="2"/>
      <c r="I93" s="4"/>
      <c r="J93" s="236" t="str">
        <f>J7</f>
        <v>For the 12 months ended 12/31/11</v>
      </c>
      <c r="K93" s="237"/>
      <c r="L93" s="237"/>
    </row>
    <row r="94" spans="3:12" ht="15.75">
      <c r="C94" s="2"/>
      <c r="D94" s="14" t="s">
        <v>2</v>
      </c>
      <c r="E94" s="14" t="s">
        <v>3</v>
      </c>
      <c r="F94" s="14"/>
      <c r="G94" s="14"/>
      <c r="H94" s="14"/>
      <c r="I94" s="4"/>
      <c r="J94" s="4"/>
      <c r="K94" s="10"/>
      <c r="L94" s="13"/>
    </row>
    <row r="95" spans="3:12" ht="15.75">
      <c r="C95" s="2"/>
      <c r="D95" s="14"/>
      <c r="E95" s="14"/>
      <c r="F95" s="14"/>
      <c r="G95" s="14"/>
      <c r="H95" s="14"/>
      <c r="I95" s="4"/>
      <c r="J95" s="4"/>
      <c r="K95" s="10"/>
      <c r="L95" s="13"/>
    </row>
    <row r="96" spans="3:12" ht="15.75">
      <c r="C96" s="8"/>
      <c r="D96" s="10"/>
      <c r="E96" s="305" t="s">
        <v>476</v>
      </c>
      <c r="F96" s="14"/>
      <c r="G96" s="14"/>
      <c r="H96" s="14"/>
      <c r="I96" s="14"/>
      <c r="J96" s="14"/>
      <c r="K96" s="14"/>
      <c r="L96" s="19"/>
    </row>
    <row r="97" spans="3:12" ht="15.75">
      <c r="C97" s="37" t="s">
        <v>34</v>
      </c>
      <c r="D97" s="37" t="s">
        <v>35</v>
      </c>
      <c r="E97" s="37" t="s">
        <v>36</v>
      </c>
      <c r="F97" s="14" t="s">
        <v>2</v>
      </c>
      <c r="G97" s="14"/>
      <c r="H97" s="38" t="s">
        <v>37</v>
      </c>
      <c r="I97" s="14"/>
      <c r="J97" s="39" t="s">
        <v>38</v>
      </c>
      <c r="K97" s="14"/>
      <c r="L97" s="12"/>
    </row>
    <row r="98" spans="3:12" ht="15.75">
      <c r="C98" s="8"/>
      <c r="D98" s="40" t="s">
        <v>39</v>
      </c>
      <c r="E98" s="14"/>
      <c r="F98" s="14"/>
      <c r="G98" s="14"/>
      <c r="H98" s="5"/>
      <c r="I98" s="14"/>
      <c r="J98" s="41" t="s">
        <v>40</v>
      </c>
      <c r="K98" s="14"/>
      <c r="L98" s="12"/>
    </row>
    <row r="99" spans="1:12" ht="15.75">
      <c r="A99" s="5" t="s">
        <v>4</v>
      </c>
      <c r="C99" s="8"/>
      <c r="D99" s="42" t="s">
        <v>41</v>
      </c>
      <c r="E99" s="41" t="s">
        <v>42</v>
      </c>
      <c r="F99" s="43"/>
      <c r="G99" s="41" t="s">
        <v>43</v>
      </c>
      <c r="I99" s="43"/>
      <c r="J99" s="5" t="s">
        <v>44</v>
      </c>
      <c r="K99" s="14"/>
      <c r="L99" s="12"/>
    </row>
    <row r="100" spans="1:12" ht="16.5" thickBot="1">
      <c r="A100" s="16" t="s">
        <v>6</v>
      </c>
      <c r="C100" s="44" t="s">
        <v>45</v>
      </c>
      <c r="D100" s="14"/>
      <c r="E100" s="14"/>
      <c r="F100" s="14"/>
      <c r="G100" s="14"/>
      <c r="H100" s="14"/>
      <c r="I100" s="14"/>
      <c r="J100" s="14"/>
      <c r="K100" s="14"/>
      <c r="L100" s="19"/>
    </row>
    <row r="101" spans="1:12" ht="15.75">
      <c r="A101" s="5"/>
      <c r="C101" s="8"/>
      <c r="D101" s="14"/>
      <c r="E101" s="14"/>
      <c r="F101" s="14"/>
      <c r="G101" s="14"/>
      <c r="H101" s="14"/>
      <c r="I101" s="14"/>
      <c r="J101" s="14"/>
      <c r="K101" s="14"/>
      <c r="L101" s="19"/>
    </row>
    <row r="102" spans="1:12" ht="15.75">
      <c r="A102" s="5"/>
      <c r="C102" s="58" t="s">
        <v>419</v>
      </c>
      <c r="D102" s="14"/>
      <c r="E102" s="14"/>
      <c r="F102" s="14"/>
      <c r="G102" s="14"/>
      <c r="H102" s="14"/>
      <c r="I102" s="14"/>
      <c r="J102" s="14"/>
      <c r="K102" s="14"/>
      <c r="L102" s="19"/>
    </row>
    <row r="103" spans="1:12" ht="15.75">
      <c r="A103" s="5">
        <v>1</v>
      </c>
      <c r="C103" s="58" t="s">
        <v>46</v>
      </c>
      <c r="D103" s="19" t="s">
        <v>302</v>
      </c>
      <c r="E103" s="23">
        <f>'Workpapers (Pages 1 to 5)'!C21</f>
        <v>1375163247.0485806</v>
      </c>
      <c r="F103" s="14"/>
      <c r="G103" s="14" t="s">
        <v>47</v>
      </c>
      <c r="H103" s="45" t="s">
        <v>2</v>
      </c>
      <c r="I103" s="14"/>
      <c r="J103" s="14" t="s">
        <v>2</v>
      </c>
      <c r="K103" s="14"/>
      <c r="L103" s="19"/>
    </row>
    <row r="104" spans="1:16" ht="15.75">
      <c r="A104" s="5">
        <v>2</v>
      </c>
      <c r="C104" s="58" t="s">
        <v>48</v>
      </c>
      <c r="D104" s="19" t="s">
        <v>288</v>
      </c>
      <c r="E104" s="23">
        <f>'Workpapers (Pages 1 to 5)'!D21</f>
        <v>360864991.069288</v>
      </c>
      <c r="F104" s="14"/>
      <c r="G104" s="14" t="s">
        <v>11</v>
      </c>
      <c r="H104" s="45">
        <f>J272</f>
        <v>1</v>
      </c>
      <c r="I104" s="14"/>
      <c r="J104" s="14">
        <f>+H104*E104</f>
        <v>360864991.069288</v>
      </c>
      <c r="K104" s="14"/>
      <c r="L104" s="19"/>
      <c r="N104" s="11"/>
      <c r="O104" s="11"/>
      <c r="P104" s="11"/>
    </row>
    <row r="105" spans="1:12" ht="15.75">
      <c r="A105" s="5">
        <v>3</v>
      </c>
      <c r="C105" s="58" t="s">
        <v>49</v>
      </c>
      <c r="D105" s="19" t="s">
        <v>289</v>
      </c>
      <c r="E105" s="23">
        <f>'Workpapers (Pages 1 to 5)'!E21</f>
        <v>513304618.1894475</v>
      </c>
      <c r="F105" s="14"/>
      <c r="G105" s="14" t="s">
        <v>47</v>
      </c>
      <c r="H105" s="45" t="s">
        <v>2</v>
      </c>
      <c r="I105" s="14"/>
      <c r="J105" s="14" t="s">
        <v>2</v>
      </c>
      <c r="K105" s="14"/>
      <c r="L105" s="19"/>
    </row>
    <row r="106" spans="1:12" ht="15.75">
      <c r="A106" s="5">
        <v>4</v>
      </c>
      <c r="C106" s="58" t="s">
        <v>50</v>
      </c>
      <c r="D106" s="19" t="s">
        <v>304</v>
      </c>
      <c r="E106" s="23">
        <f>'Workpapers (Pages 1 to 5)'!F21</f>
        <v>31456696.486206237</v>
      </c>
      <c r="F106" s="14"/>
      <c r="G106" s="14" t="s">
        <v>51</v>
      </c>
      <c r="H106" s="45">
        <f>J290</f>
        <v>0.07042103127313899</v>
      </c>
      <c r="I106" s="14"/>
      <c r="J106" s="14">
        <f>+H106*E106</f>
        <v>2215213.007004771</v>
      </c>
      <c r="K106" s="14"/>
      <c r="L106" s="19"/>
    </row>
    <row r="107" spans="1:12" ht="16.5" thickBot="1">
      <c r="A107" s="5">
        <v>5</v>
      </c>
      <c r="C107" s="58" t="s">
        <v>52</v>
      </c>
      <c r="D107" s="19" t="s">
        <v>53</v>
      </c>
      <c r="E107" s="46">
        <f>'Workpapers (Pages 1 to 5)'!G21</f>
        <v>52002342.96969095</v>
      </c>
      <c r="F107" s="14"/>
      <c r="G107" s="14" t="s">
        <v>121</v>
      </c>
      <c r="H107" s="45">
        <f>L295</f>
        <v>0.06338717095089022</v>
      </c>
      <c r="I107" s="14"/>
      <c r="J107" s="24">
        <f>+H107*E107</f>
        <v>3296281.4036666243</v>
      </c>
      <c r="K107" s="14"/>
      <c r="L107" s="19"/>
    </row>
    <row r="108" spans="1:12" ht="15.75">
      <c r="A108" s="5">
        <v>6</v>
      </c>
      <c r="C108" s="70" t="s">
        <v>54</v>
      </c>
      <c r="D108" s="19"/>
      <c r="E108" s="14">
        <f>SUM(E103:E107)</f>
        <v>2332791895.763213</v>
      </c>
      <c r="F108" s="14"/>
      <c r="G108" s="14" t="s">
        <v>55</v>
      </c>
      <c r="H108" s="47">
        <f>IF(J108&gt;0,J108/E108,0)</f>
        <v>0.15705493753873534</v>
      </c>
      <c r="I108" s="14"/>
      <c r="J108" s="14">
        <f>SUM(J103:J107)</f>
        <v>366376485.4799594</v>
      </c>
      <c r="K108" s="14"/>
      <c r="L108" s="48"/>
    </row>
    <row r="109" spans="3:12" ht="15.75">
      <c r="C109" s="58"/>
      <c r="D109" s="14"/>
      <c r="E109" s="14"/>
      <c r="F109" s="14"/>
      <c r="G109" s="14"/>
      <c r="H109" s="47"/>
      <c r="I109" s="14"/>
      <c r="J109" s="14"/>
      <c r="K109" s="14"/>
      <c r="L109" s="48"/>
    </row>
    <row r="110" spans="3:12" ht="15.75">
      <c r="C110" s="58" t="s">
        <v>420</v>
      </c>
      <c r="D110" s="14"/>
      <c r="E110" s="14"/>
      <c r="F110" s="14"/>
      <c r="G110" s="14"/>
      <c r="H110" s="14"/>
      <c r="I110" s="14"/>
      <c r="J110" s="14"/>
      <c r="K110" s="14"/>
      <c r="L110" s="19"/>
    </row>
    <row r="111" spans="1:12" ht="15.75">
      <c r="A111" s="5">
        <v>7</v>
      </c>
      <c r="C111" s="8" t="str">
        <f>+C103</f>
        <v>  Production</v>
      </c>
      <c r="D111" s="14" t="s">
        <v>273</v>
      </c>
      <c r="E111" s="23">
        <f>'Workpapers (Pages 1 to 5)'!C41</f>
        <v>686861025.594012</v>
      </c>
      <c r="F111" s="14"/>
      <c r="G111" s="14" t="str">
        <f>+G103</f>
        <v>NA</v>
      </c>
      <c r="H111" s="45" t="str">
        <f>+H103</f>
        <v> </v>
      </c>
      <c r="I111" s="14"/>
      <c r="J111" s="14" t="s">
        <v>2</v>
      </c>
      <c r="K111" s="14"/>
      <c r="L111" s="19"/>
    </row>
    <row r="112" spans="1:12" ht="15.75">
      <c r="A112" s="5">
        <v>8</v>
      </c>
      <c r="C112" s="8" t="str">
        <f>+C104</f>
        <v>  Transmission</v>
      </c>
      <c r="D112" s="14" t="s">
        <v>274</v>
      </c>
      <c r="E112" s="23">
        <f>'Workpapers (Pages 1 to 5)'!D41</f>
        <v>96018181.39725742</v>
      </c>
      <c r="F112" s="14"/>
      <c r="G112" s="14" t="str">
        <f aca="true" t="shared" si="1" ref="G112:H115">+G104</f>
        <v>TP</v>
      </c>
      <c r="H112" s="45">
        <f t="shared" si="1"/>
        <v>1</v>
      </c>
      <c r="I112" s="14"/>
      <c r="J112" s="14">
        <f>+H112*E112</f>
        <v>96018181.39725742</v>
      </c>
      <c r="K112" s="14"/>
      <c r="L112" s="19"/>
    </row>
    <row r="113" spans="1:12" ht="15.75">
      <c r="A113" s="5">
        <v>9</v>
      </c>
      <c r="C113" s="8" t="str">
        <f>+C105</f>
        <v>  Distribution</v>
      </c>
      <c r="D113" s="14" t="s">
        <v>275</v>
      </c>
      <c r="E113" s="23">
        <f>'Workpapers (Pages 1 to 5)'!E41</f>
        <v>201355130.56185013</v>
      </c>
      <c r="F113" s="14"/>
      <c r="G113" s="14" t="str">
        <f t="shared" si="1"/>
        <v>NA</v>
      </c>
      <c r="H113" s="45" t="str">
        <f t="shared" si="1"/>
        <v> </v>
      </c>
      <c r="I113" s="14"/>
      <c r="J113" s="14" t="s">
        <v>2</v>
      </c>
      <c r="K113" s="14"/>
      <c r="L113" s="19"/>
    </row>
    <row r="114" spans="1:12" ht="15.75">
      <c r="A114" s="5">
        <v>10</v>
      </c>
      <c r="C114" s="8" t="str">
        <f>+C106</f>
        <v>  General &amp; Intangible</v>
      </c>
      <c r="D114" s="14" t="s">
        <v>303</v>
      </c>
      <c r="E114" s="23">
        <f>'Workpapers (Pages 1 to 5)'!F41</f>
        <v>18715770.094544753</v>
      </c>
      <c r="F114" s="14"/>
      <c r="G114" s="14" t="str">
        <f t="shared" si="1"/>
        <v>W/S</v>
      </c>
      <c r="H114" s="45">
        <f t="shared" si="1"/>
        <v>0.07042103127313899</v>
      </c>
      <c r="I114" s="14"/>
      <c r="J114" s="14">
        <f>+H114*E114</f>
        <v>1317983.8311288157</v>
      </c>
      <c r="K114" s="14"/>
      <c r="L114" s="19"/>
    </row>
    <row r="115" spans="1:12" ht="16.5" thickBot="1">
      <c r="A115" s="5">
        <v>11</v>
      </c>
      <c r="C115" s="8" t="str">
        <f>+C107</f>
        <v>  Common</v>
      </c>
      <c r="D115" s="14" t="s">
        <v>53</v>
      </c>
      <c r="E115" s="46">
        <f>'Workpapers (Pages 1 to 5)'!G41</f>
        <v>24325332.519307725</v>
      </c>
      <c r="F115" s="14"/>
      <c r="G115" s="14" t="str">
        <f t="shared" si="1"/>
        <v>CE</v>
      </c>
      <c r="H115" s="45">
        <f t="shared" si="1"/>
        <v>0.06338717095089022</v>
      </c>
      <c r="I115" s="14"/>
      <c r="J115" s="24">
        <f>+H115*E115</f>
        <v>1541914.0108386078</v>
      </c>
      <c r="K115" s="14"/>
      <c r="L115" s="19"/>
    </row>
    <row r="116" spans="1:12" ht="15.75">
      <c r="A116" s="5">
        <v>12</v>
      </c>
      <c r="C116" s="8" t="s">
        <v>56</v>
      </c>
      <c r="D116" s="14"/>
      <c r="E116" s="14">
        <f>SUM(E111:E115)</f>
        <v>1027275440.1669722</v>
      </c>
      <c r="F116" s="14"/>
      <c r="G116" s="14"/>
      <c r="H116" s="14"/>
      <c r="I116" s="14"/>
      <c r="J116" s="14">
        <f>SUM(J111:J115)</f>
        <v>98878079.23922485</v>
      </c>
      <c r="K116" s="14"/>
      <c r="L116" s="19"/>
    </row>
    <row r="117" spans="1:12" ht="15.75">
      <c r="A117" s="5"/>
      <c r="D117" s="14" t="s">
        <v>2</v>
      </c>
      <c r="F117" s="14"/>
      <c r="G117" s="14"/>
      <c r="H117" s="47"/>
      <c r="I117" s="14"/>
      <c r="K117" s="14"/>
      <c r="L117" s="48"/>
    </row>
    <row r="118" spans="1:12" ht="15.75">
      <c r="A118" s="5"/>
      <c r="C118" s="58" t="s">
        <v>421</v>
      </c>
      <c r="D118" s="14"/>
      <c r="E118" s="14"/>
      <c r="F118" s="14"/>
      <c r="G118" s="14"/>
      <c r="H118" s="14"/>
      <c r="I118" s="14"/>
      <c r="J118" s="14"/>
      <c r="K118" s="14"/>
      <c r="L118" s="19"/>
    </row>
    <row r="119" spans="1:12" ht="15.75">
      <c r="A119" s="5">
        <v>13</v>
      </c>
      <c r="C119" s="8" t="str">
        <f>+C111</f>
        <v>  Production</v>
      </c>
      <c r="D119" s="14" t="s">
        <v>57</v>
      </c>
      <c r="E119" s="14">
        <f>E103-E111</f>
        <v>688302221.4545686</v>
      </c>
      <c r="F119" s="14"/>
      <c r="G119" s="14"/>
      <c r="H119" s="47"/>
      <c r="I119" s="14"/>
      <c r="J119" s="14" t="s">
        <v>2</v>
      </c>
      <c r="K119" s="14"/>
      <c r="L119" s="48"/>
    </row>
    <row r="120" spans="1:12" ht="15.75">
      <c r="A120" s="5">
        <v>14</v>
      </c>
      <c r="C120" s="8" t="str">
        <f>+C112</f>
        <v>  Transmission</v>
      </c>
      <c r="D120" s="14" t="s">
        <v>58</v>
      </c>
      <c r="E120" s="14">
        <f>E104-E112</f>
        <v>264846809.6720306</v>
      </c>
      <c r="F120" s="14"/>
      <c r="G120" s="14"/>
      <c r="H120" s="45"/>
      <c r="I120" s="14"/>
      <c r="J120" s="14">
        <f>J104-J112</f>
        <v>264846809.6720306</v>
      </c>
      <c r="K120" s="14"/>
      <c r="L120" s="48"/>
    </row>
    <row r="121" spans="1:12" ht="15.75">
      <c r="A121" s="5">
        <v>15</v>
      </c>
      <c r="C121" s="8" t="str">
        <f>+C113</f>
        <v>  Distribution</v>
      </c>
      <c r="D121" s="14" t="s">
        <v>59</v>
      </c>
      <c r="E121" s="14">
        <f>E105-E113</f>
        <v>311949487.6275974</v>
      </c>
      <c r="F121" s="14"/>
      <c r="G121" s="14"/>
      <c r="H121" s="47"/>
      <c r="I121" s="14"/>
      <c r="J121" s="14" t="s">
        <v>2</v>
      </c>
      <c r="K121" s="14"/>
      <c r="L121" s="48"/>
    </row>
    <row r="122" spans="1:12" ht="15.75">
      <c r="A122" s="5">
        <v>16</v>
      </c>
      <c r="C122" s="8" t="str">
        <f>+C114</f>
        <v>  General &amp; Intangible</v>
      </c>
      <c r="D122" s="14" t="s">
        <v>60</v>
      </c>
      <c r="E122" s="14">
        <f>E106-E114</f>
        <v>12740926.391661484</v>
      </c>
      <c r="F122" s="14"/>
      <c r="G122" s="14"/>
      <c r="H122" s="47"/>
      <c r="I122" s="14"/>
      <c r="J122" s="14">
        <f>J106-J114</f>
        <v>897229.1758759553</v>
      </c>
      <c r="K122" s="14"/>
      <c r="L122" s="48"/>
    </row>
    <row r="123" spans="1:12" ht="16.5" thickBot="1">
      <c r="A123" s="5">
        <v>17</v>
      </c>
      <c r="C123" s="8" t="str">
        <f>+C115</f>
        <v>  Common</v>
      </c>
      <c r="D123" s="14" t="s">
        <v>61</v>
      </c>
      <c r="E123" s="24">
        <f>E107-E115</f>
        <v>27677010.450383224</v>
      </c>
      <c r="F123" s="14"/>
      <c r="G123" s="14"/>
      <c r="H123" s="47"/>
      <c r="I123" s="14"/>
      <c r="J123" s="24">
        <f>J107-J115</f>
        <v>1754367.3928280165</v>
      </c>
      <c r="K123" s="14"/>
      <c r="L123" s="48"/>
    </row>
    <row r="124" spans="1:12" ht="15.75">
      <c r="A124" s="5">
        <v>18</v>
      </c>
      <c r="C124" s="8" t="s">
        <v>62</v>
      </c>
      <c r="D124" s="14"/>
      <c r="E124" s="14">
        <f>SUM(E119:E123)</f>
        <v>1305516455.5962412</v>
      </c>
      <c r="F124" s="14"/>
      <c r="G124" s="14" t="s">
        <v>63</v>
      </c>
      <c r="H124" s="47">
        <f>IF(J124&gt;0,J124/E124,0)</f>
        <v>0.20489853275619235</v>
      </c>
      <c r="I124" s="14"/>
      <c r="J124" s="14">
        <f>SUM(J119:J123)</f>
        <v>267498406.24073458</v>
      </c>
      <c r="K124" s="14"/>
      <c r="L124" s="19"/>
    </row>
    <row r="125" spans="1:12" ht="15.75">
      <c r="A125" s="5"/>
      <c r="D125" s="14"/>
      <c r="F125" s="14"/>
      <c r="I125" s="14"/>
      <c r="K125" s="14"/>
      <c r="L125" s="48"/>
    </row>
    <row r="126" spans="1:13" s="11" customFormat="1" ht="15.75">
      <c r="A126" s="120" t="s">
        <v>398</v>
      </c>
      <c r="B126" s="150"/>
      <c r="C126" s="151" t="s">
        <v>399</v>
      </c>
      <c r="D126" s="19" t="s">
        <v>400</v>
      </c>
      <c r="E126" s="242">
        <f>'Workpapers (Pages 1 to 5)'!C66</f>
        <v>15256037.538461538</v>
      </c>
      <c r="F126" s="19"/>
      <c r="G126" s="19"/>
      <c r="H126" s="60">
        <f>H139</f>
        <v>1</v>
      </c>
      <c r="I126" s="19"/>
      <c r="J126" s="19">
        <f>+H126*E126</f>
        <v>15256037.538461538</v>
      </c>
      <c r="K126" s="19"/>
      <c r="L126" s="149"/>
      <c r="M126" s="243"/>
    </row>
    <row r="127" spans="1:13" s="11" customFormat="1" ht="15.75">
      <c r="A127" s="152"/>
      <c r="B127" s="150"/>
      <c r="C127" s="151" t="s">
        <v>401</v>
      </c>
      <c r="D127" s="19"/>
      <c r="E127" s="242"/>
      <c r="F127" s="19"/>
      <c r="G127" s="19"/>
      <c r="H127" s="60"/>
      <c r="I127" s="19"/>
      <c r="J127" s="19"/>
      <c r="K127" s="19"/>
      <c r="L127" s="149"/>
      <c r="M127" s="243"/>
    </row>
    <row r="128" spans="1:13" s="11" customFormat="1" ht="15.75">
      <c r="A128" s="152"/>
      <c r="B128" s="150"/>
      <c r="C128" s="11" t="s">
        <v>486</v>
      </c>
      <c r="D128" s="19"/>
      <c r="E128" s="242"/>
      <c r="F128" s="19"/>
      <c r="G128" s="19"/>
      <c r="H128" s="60"/>
      <c r="I128" s="19"/>
      <c r="J128" s="19"/>
      <c r="K128" s="19"/>
      <c r="L128" s="149"/>
      <c r="M128" s="243"/>
    </row>
    <row r="129" spans="1:12" ht="15.75">
      <c r="A129" s="120"/>
      <c r="B129" s="11"/>
      <c r="C129" s="11"/>
      <c r="D129" s="19"/>
      <c r="E129" s="11"/>
      <c r="F129" s="19"/>
      <c r="G129" s="11"/>
      <c r="H129" s="11"/>
      <c r="I129" s="19"/>
      <c r="J129" s="11"/>
      <c r="K129" s="19"/>
      <c r="L129" s="48"/>
    </row>
    <row r="130" spans="1:12" ht="15.75">
      <c r="A130" s="120"/>
      <c r="B130" s="11"/>
      <c r="C130" s="70" t="s">
        <v>422</v>
      </c>
      <c r="D130" s="19"/>
      <c r="E130" s="19"/>
      <c r="F130" s="19"/>
      <c r="G130" s="19"/>
      <c r="H130" s="19"/>
      <c r="I130" s="19"/>
      <c r="J130" s="19"/>
      <c r="K130" s="19"/>
      <c r="L130" s="19"/>
    </row>
    <row r="131" spans="1:12" ht="15.75">
      <c r="A131" s="120">
        <v>19</v>
      </c>
      <c r="B131" s="11"/>
      <c r="C131" s="58" t="s">
        <v>179</v>
      </c>
      <c r="D131" s="19" t="s">
        <v>2</v>
      </c>
      <c r="E131" s="23">
        <v>0</v>
      </c>
      <c r="F131" s="19"/>
      <c r="G131" s="19" t="str">
        <f>+G111</f>
        <v>NA</v>
      </c>
      <c r="H131" s="49" t="s">
        <v>238</v>
      </c>
      <c r="I131" s="19"/>
      <c r="J131" s="242">
        <v>0</v>
      </c>
      <c r="K131" s="19"/>
      <c r="L131" s="48"/>
    </row>
    <row r="132" spans="1:12" ht="15.75">
      <c r="A132" s="120">
        <v>20</v>
      </c>
      <c r="B132" s="11"/>
      <c r="C132" s="58" t="s">
        <v>180</v>
      </c>
      <c r="D132" s="19" t="s">
        <v>65</v>
      </c>
      <c r="E132" s="23">
        <f>'Workpapers (Pages 1 to 5)'!D90</f>
        <v>-223527245.3846154</v>
      </c>
      <c r="F132" s="19"/>
      <c r="G132" s="19" t="s">
        <v>64</v>
      </c>
      <c r="H132" s="60">
        <f>+H124</f>
        <v>0.20489853275619235</v>
      </c>
      <c r="I132" s="19"/>
      <c r="J132" s="242">
        <f>E132*H132</f>
        <v>-45800404.610341065</v>
      </c>
      <c r="K132" s="19"/>
      <c r="L132" s="48"/>
    </row>
    <row r="133" spans="1:12" ht="15.75">
      <c r="A133" s="120">
        <v>21</v>
      </c>
      <c r="B133" s="11"/>
      <c r="C133" s="58" t="s">
        <v>181</v>
      </c>
      <c r="D133" s="19" t="s">
        <v>66</v>
      </c>
      <c r="E133" s="23">
        <f>'Workpapers (Pages 1 to 5)'!E90</f>
        <v>-4880930.384615385</v>
      </c>
      <c r="F133" s="19"/>
      <c r="G133" s="19" t="s">
        <v>64</v>
      </c>
      <c r="H133" s="60">
        <f>+H132</f>
        <v>0.20489853275619235</v>
      </c>
      <c r="I133" s="19"/>
      <c r="J133" s="242">
        <f>E133*H133</f>
        <v>-1000095.47429281</v>
      </c>
      <c r="K133" s="19"/>
      <c r="L133" s="48"/>
    </row>
    <row r="134" spans="1:12" ht="15.75">
      <c r="A134" s="120">
        <v>22</v>
      </c>
      <c r="B134" s="11"/>
      <c r="C134" s="58" t="s">
        <v>183</v>
      </c>
      <c r="D134" s="19" t="s">
        <v>67</v>
      </c>
      <c r="E134" s="23">
        <f>'Workpapers (Pages 1 to 5)'!F90</f>
        <v>32021973</v>
      </c>
      <c r="F134" s="19"/>
      <c r="G134" s="19" t="str">
        <f>+G133</f>
        <v>NP</v>
      </c>
      <c r="H134" s="60">
        <f>+H133</f>
        <v>0.20489853275619235</v>
      </c>
      <c r="I134" s="19"/>
      <c r="J134" s="242">
        <f>E134*H134</f>
        <v>6561255.283658407</v>
      </c>
      <c r="K134" s="19"/>
      <c r="L134" s="48"/>
    </row>
    <row r="135" spans="1:13" ht="15.75">
      <c r="A135" s="120">
        <v>23</v>
      </c>
      <c r="B135" s="11"/>
      <c r="C135" s="11" t="s">
        <v>182</v>
      </c>
      <c r="D135" s="11" t="s">
        <v>281</v>
      </c>
      <c r="E135" s="23">
        <f>'Workpapers (Pages 1 to 5)'!G90</f>
        <v>0</v>
      </c>
      <c r="F135" s="19"/>
      <c r="G135" s="19" t="s">
        <v>64</v>
      </c>
      <c r="H135" s="60">
        <f>+H133</f>
        <v>0.20489853275619235</v>
      </c>
      <c r="I135" s="19"/>
      <c r="J135" s="244">
        <f>E135*H135</f>
        <v>0</v>
      </c>
      <c r="K135" s="19"/>
      <c r="L135" s="48"/>
      <c r="M135" s="245"/>
    </row>
    <row r="136" spans="1:13" s="11" customFormat="1" ht="16.5" thickBot="1">
      <c r="A136" s="120" t="s">
        <v>402</v>
      </c>
      <c r="C136" s="11" t="s">
        <v>403</v>
      </c>
      <c r="E136" s="46">
        <v>0</v>
      </c>
      <c r="F136" s="19"/>
      <c r="G136" s="19"/>
      <c r="H136" s="60">
        <v>0</v>
      </c>
      <c r="I136" s="19"/>
      <c r="J136" s="246">
        <f>+H136*E136</f>
        <v>0</v>
      </c>
      <c r="K136" s="19"/>
      <c r="L136" s="149"/>
      <c r="M136" s="243"/>
    </row>
    <row r="137" spans="1:12" ht="15.75">
      <c r="A137" s="120">
        <v>24</v>
      </c>
      <c r="B137" s="11"/>
      <c r="C137" s="58" t="s">
        <v>423</v>
      </c>
      <c r="D137" s="19"/>
      <c r="E137" s="242">
        <f>SUM(E131:E136)</f>
        <v>-196386202.76923078</v>
      </c>
      <c r="F137" s="19"/>
      <c r="G137" s="19"/>
      <c r="H137" s="19"/>
      <c r="I137" s="19"/>
      <c r="J137" s="242">
        <f>SUM(J131:J136)</f>
        <v>-40239244.800975464</v>
      </c>
      <c r="K137" s="19"/>
      <c r="L137" s="19"/>
    </row>
    <row r="138" spans="1:12" ht="15.75">
      <c r="A138" s="120"/>
      <c r="B138" s="11"/>
      <c r="C138" s="11"/>
      <c r="D138" s="19"/>
      <c r="E138" s="11"/>
      <c r="F138" s="19"/>
      <c r="G138" s="19"/>
      <c r="H138" s="48"/>
      <c r="I138" s="19"/>
      <c r="J138" s="11"/>
      <c r="K138" s="19"/>
      <c r="L138" s="48"/>
    </row>
    <row r="139" spans="1:12" ht="15.75">
      <c r="A139" s="120">
        <v>25</v>
      </c>
      <c r="B139" s="11"/>
      <c r="C139" s="70" t="s">
        <v>424</v>
      </c>
      <c r="D139" s="19" t="s">
        <v>68</v>
      </c>
      <c r="E139" s="19">
        <f>'Workpapers (Pages 1 to 5)'!C113</f>
        <v>78737</v>
      </c>
      <c r="F139" s="19"/>
      <c r="G139" s="19" t="str">
        <f>+G112</f>
        <v>TP</v>
      </c>
      <c r="H139" s="60">
        <f>+H112</f>
        <v>1</v>
      </c>
      <c r="I139" s="19"/>
      <c r="J139" s="19">
        <f>+H139*E139</f>
        <v>78737</v>
      </c>
      <c r="K139" s="19"/>
      <c r="L139" s="19"/>
    </row>
    <row r="140" spans="1:12" ht="15.75">
      <c r="A140" s="120"/>
      <c r="B140" s="11"/>
      <c r="C140" s="58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1:12" ht="15.75">
      <c r="A141" s="120"/>
      <c r="B141" s="11"/>
      <c r="C141" s="58" t="s">
        <v>226</v>
      </c>
      <c r="D141" s="19" t="s">
        <v>2</v>
      </c>
      <c r="E141" s="19"/>
      <c r="F141" s="19"/>
      <c r="G141" s="19"/>
      <c r="H141" s="19"/>
      <c r="I141" s="19"/>
      <c r="J141" s="19"/>
      <c r="K141" s="19"/>
      <c r="L141" s="19"/>
    </row>
    <row r="142" spans="1:12" ht="15.75">
      <c r="A142" s="120">
        <v>26</v>
      </c>
      <c r="B142" s="11"/>
      <c r="C142" s="58" t="s">
        <v>227</v>
      </c>
      <c r="D142" s="11" t="s">
        <v>223</v>
      </c>
      <c r="E142" s="19">
        <f>+E197/8</f>
        <v>4977558.417281001</v>
      </c>
      <c r="F142" s="19"/>
      <c r="G142" s="19"/>
      <c r="H142" s="48"/>
      <c r="I142" s="19"/>
      <c r="J142" s="19">
        <f>+J197/8</f>
        <v>515104.87028478266</v>
      </c>
      <c r="K142" s="13"/>
      <c r="L142" s="48"/>
    </row>
    <row r="143" spans="1:12" ht="15.75">
      <c r="A143" s="120">
        <v>27</v>
      </c>
      <c r="B143" s="11"/>
      <c r="C143" s="58" t="s">
        <v>425</v>
      </c>
      <c r="D143" s="19" t="s">
        <v>314</v>
      </c>
      <c r="E143" s="23">
        <f>+'Workpapers (Pages 1 to 5)'!E140</f>
        <v>2047563.3213781943</v>
      </c>
      <c r="F143" s="19"/>
      <c r="G143" s="19" t="s">
        <v>69</v>
      </c>
      <c r="H143" s="60">
        <f>J282</f>
        <v>0.8353624049117707</v>
      </c>
      <c r="I143" s="19"/>
      <c r="J143" s="19">
        <f>+H143*E143</f>
        <v>1710457.4203556213</v>
      </c>
      <c r="K143" s="19" t="s">
        <v>2</v>
      </c>
      <c r="L143" s="48"/>
    </row>
    <row r="144" spans="1:12" ht="16.5" thickBot="1">
      <c r="A144" s="120">
        <v>28</v>
      </c>
      <c r="B144" s="11"/>
      <c r="C144" s="58" t="s">
        <v>426</v>
      </c>
      <c r="D144" s="19" t="s">
        <v>287</v>
      </c>
      <c r="E144" s="46">
        <f>+'Workpapers (Pages 1 to 5)'!C172</f>
        <v>1575000</v>
      </c>
      <c r="F144" s="19"/>
      <c r="G144" s="19" t="s">
        <v>70</v>
      </c>
      <c r="H144" s="60">
        <f>+H108</f>
        <v>0.15705493753873534</v>
      </c>
      <c r="I144" s="19"/>
      <c r="J144" s="73">
        <f>+H144*E144</f>
        <v>247361.52662350817</v>
      </c>
      <c r="K144" s="19"/>
      <c r="L144" s="48"/>
    </row>
    <row r="145" spans="1:12" ht="15.75">
      <c r="A145" s="120">
        <v>29</v>
      </c>
      <c r="B145" s="11"/>
      <c r="C145" s="58" t="s">
        <v>71</v>
      </c>
      <c r="D145" s="13"/>
      <c r="E145" s="19">
        <f>E142+E143+E144</f>
        <v>8600121.738659196</v>
      </c>
      <c r="F145" s="13"/>
      <c r="G145" s="13"/>
      <c r="H145" s="13"/>
      <c r="I145" s="13"/>
      <c r="J145" s="19">
        <f>J142+J143+J144</f>
        <v>2472923.817263912</v>
      </c>
      <c r="K145" s="13"/>
      <c r="L145" s="13"/>
    </row>
    <row r="146" spans="1:12" ht="16.5" thickBot="1">
      <c r="A146" s="11"/>
      <c r="B146" s="11"/>
      <c r="C146" s="11"/>
      <c r="D146" s="19"/>
      <c r="E146" s="247"/>
      <c r="F146" s="19"/>
      <c r="G146" s="19"/>
      <c r="H146" s="19"/>
      <c r="I146" s="19"/>
      <c r="J146" s="247"/>
      <c r="K146" s="19"/>
      <c r="L146" s="19"/>
    </row>
    <row r="147" spans="1:12" ht="16.5" thickBot="1">
      <c r="A147" s="120">
        <v>30</v>
      </c>
      <c r="B147" s="11"/>
      <c r="C147" s="58" t="s">
        <v>427</v>
      </c>
      <c r="D147" s="19"/>
      <c r="E147" s="248">
        <f>+E145+E139+E137+E126+E124</f>
        <v>1133065149.1041312</v>
      </c>
      <c r="F147" s="19"/>
      <c r="G147" s="19"/>
      <c r="H147" s="48"/>
      <c r="I147" s="19"/>
      <c r="J147" s="248">
        <f>+J145+J139+J137+J126+J124</f>
        <v>245066859.79548454</v>
      </c>
      <c r="K147" s="14"/>
      <c r="L147" s="48"/>
    </row>
    <row r="148" spans="1:12" ht="16.5" thickTop="1">
      <c r="A148" s="5"/>
      <c r="C148" s="8"/>
      <c r="D148" s="14"/>
      <c r="E148" s="52"/>
      <c r="F148" s="14"/>
      <c r="G148" s="14"/>
      <c r="H148" s="47"/>
      <c r="I148" s="14"/>
      <c r="J148" s="52"/>
      <c r="K148" s="14"/>
      <c r="L148" s="48"/>
    </row>
    <row r="149" spans="1:12" ht="15.75">
      <c r="A149" s="5"/>
      <c r="C149" s="8"/>
      <c r="D149" s="14"/>
      <c r="E149" s="52"/>
      <c r="F149" s="14"/>
      <c r="G149" s="14"/>
      <c r="H149" s="47"/>
      <c r="I149" s="14"/>
      <c r="J149" s="52"/>
      <c r="K149" s="14"/>
      <c r="L149" s="48"/>
    </row>
    <row r="150" spans="1:12" ht="15.75">
      <c r="A150" s="5"/>
      <c r="C150" s="8"/>
      <c r="D150" s="14"/>
      <c r="E150" s="52"/>
      <c r="F150" s="14"/>
      <c r="G150" s="14"/>
      <c r="H150" s="47"/>
      <c r="I150" s="14"/>
      <c r="J150" s="52"/>
      <c r="K150" s="14"/>
      <c r="L150" s="48"/>
    </row>
    <row r="151" spans="1:12" ht="15.75">
      <c r="A151" s="5"/>
      <c r="C151" s="8"/>
      <c r="D151" s="14"/>
      <c r="E151" s="52"/>
      <c r="F151" s="14"/>
      <c r="G151" s="14"/>
      <c r="H151" s="47"/>
      <c r="I151" s="14"/>
      <c r="J151" s="52"/>
      <c r="K151" s="14"/>
      <c r="L151" s="48"/>
    </row>
    <row r="152" spans="1:12" ht="15.75">
      <c r="A152" s="5"/>
      <c r="C152" s="8"/>
      <c r="D152" s="14"/>
      <c r="E152" s="52"/>
      <c r="F152" s="14"/>
      <c r="G152" s="14"/>
      <c r="H152" s="47"/>
      <c r="I152" s="14"/>
      <c r="J152" s="52"/>
      <c r="K152" s="14"/>
      <c r="L152" s="48"/>
    </row>
    <row r="153" spans="1:12" ht="15.75">
      <c r="A153" s="5"/>
      <c r="C153" s="8"/>
      <c r="D153" s="14"/>
      <c r="E153" s="52"/>
      <c r="F153" s="14"/>
      <c r="G153" s="14"/>
      <c r="H153" s="47"/>
      <c r="I153" s="14"/>
      <c r="J153" s="52"/>
      <c r="K153" s="14"/>
      <c r="L153" s="48"/>
    </row>
    <row r="154" spans="1:12" ht="15.75">
      <c r="A154" s="5"/>
      <c r="C154" s="8"/>
      <c r="D154" s="14"/>
      <c r="E154" s="52"/>
      <c r="F154" s="14"/>
      <c r="G154" s="14"/>
      <c r="H154" s="47"/>
      <c r="I154" s="14"/>
      <c r="J154" s="52"/>
      <c r="K154" s="14"/>
      <c r="L154" s="48"/>
    </row>
    <row r="155" spans="1:12" ht="15.75">
      <c r="A155" s="5"/>
      <c r="C155" s="8"/>
      <c r="D155" s="14"/>
      <c r="E155" s="52"/>
      <c r="F155" s="14"/>
      <c r="G155" s="14"/>
      <c r="H155" s="47"/>
      <c r="I155" s="14"/>
      <c r="J155" s="52"/>
      <c r="K155" s="14"/>
      <c r="L155" s="48"/>
    </row>
    <row r="156" spans="1:12" ht="15.75">
      <c r="A156" s="5"/>
      <c r="C156" s="8"/>
      <c r="D156" s="14"/>
      <c r="E156" s="52"/>
      <c r="F156" s="14"/>
      <c r="G156" s="14"/>
      <c r="H156" s="47"/>
      <c r="I156" s="14"/>
      <c r="J156" s="52"/>
      <c r="K156" s="14"/>
      <c r="L156" s="48"/>
    </row>
    <row r="157" spans="1:12" ht="15.75">
      <c r="A157" s="5"/>
      <c r="C157" s="8"/>
      <c r="D157" s="14"/>
      <c r="E157" s="52"/>
      <c r="F157" s="14"/>
      <c r="G157" s="14"/>
      <c r="H157" s="47"/>
      <c r="I157" s="14"/>
      <c r="J157" s="52"/>
      <c r="K157" s="14"/>
      <c r="L157" s="48"/>
    </row>
    <row r="158" spans="1:12" ht="15.75">
      <c r="A158" s="5"/>
      <c r="C158" s="8"/>
      <c r="D158" s="14"/>
      <c r="E158" s="52"/>
      <c r="F158" s="14"/>
      <c r="G158" s="14"/>
      <c r="H158" s="47"/>
      <c r="I158" s="14"/>
      <c r="J158" s="52"/>
      <c r="K158" s="14"/>
      <c r="L158" s="48"/>
    </row>
    <row r="159" spans="1:12" ht="15.75">
      <c r="A159" s="5"/>
      <c r="C159" s="8"/>
      <c r="D159" s="14"/>
      <c r="E159" s="52"/>
      <c r="F159" s="14"/>
      <c r="G159" s="14"/>
      <c r="H159" s="47"/>
      <c r="I159" s="14"/>
      <c r="J159" s="52"/>
      <c r="K159" s="14"/>
      <c r="L159" s="48"/>
    </row>
    <row r="160" spans="1:12" ht="15.75">
      <c r="A160" s="5"/>
      <c r="C160" s="8"/>
      <c r="D160" s="14"/>
      <c r="E160" s="52"/>
      <c r="F160" s="14"/>
      <c r="G160" s="14"/>
      <c r="H160" s="47"/>
      <c r="I160" s="14"/>
      <c r="J160" s="52"/>
      <c r="K160" s="14"/>
      <c r="L160" s="48"/>
    </row>
    <row r="161" spans="1:12" ht="15.75">
      <c r="A161" s="5"/>
      <c r="C161" s="8"/>
      <c r="D161" s="14"/>
      <c r="E161" s="52"/>
      <c r="F161" s="14"/>
      <c r="G161" s="14"/>
      <c r="H161" s="47"/>
      <c r="I161" s="14"/>
      <c r="J161" s="52"/>
      <c r="K161" s="14"/>
      <c r="L161" s="48"/>
    </row>
    <row r="162" spans="1:12" ht="15.75">
      <c r="A162" s="5"/>
      <c r="C162" s="8"/>
      <c r="D162" s="14"/>
      <c r="E162" s="52"/>
      <c r="F162" s="14"/>
      <c r="G162" s="14"/>
      <c r="H162" s="47"/>
      <c r="I162" s="14"/>
      <c r="J162" s="52"/>
      <c r="K162" s="14"/>
      <c r="L162" s="48"/>
    </row>
    <row r="163" spans="1:12" ht="15.75">
      <c r="A163" s="5"/>
      <c r="C163" s="8"/>
      <c r="D163" s="14"/>
      <c r="E163" s="52"/>
      <c r="F163" s="14"/>
      <c r="G163" s="14"/>
      <c r="H163" s="47"/>
      <c r="I163" s="14"/>
      <c r="J163" s="52"/>
      <c r="K163" s="14"/>
      <c r="L163" s="48"/>
    </row>
    <row r="164" spans="1:12" ht="15.75">
      <c r="A164" s="5"/>
      <c r="C164" s="8"/>
      <c r="D164" s="14"/>
      <c r="E164" s="52"/>
      <c r="F164" s="14"/>
      <c r="G164" s="14"/>
      <c r="H164" s="47"/>
      <c r="I164" s="14"/>
      <c r="J164" s="52"/>
      <c r="K164" s="14"/>
      <c r="L164" s="48"/>
    </row>
    <row r="165" spans="1:12" ht="15.75">
      <c r="A165" s="5"/>
      <c r="C165" s="8"/>
      <c r="D165" s="14"/>
      <c r="E165" s="52"/>
      <c r="F165" s="14"/>
      <c r="G165" s="14"/>
      <c r="H165" s="47"/>
      <c r="I165" s="14"/>
      <c r="J165" s="52"/>
      <c r="K165" s="14"/>
      <c r="L165" s="48"/>
    </row>
    <row r="166" spans="1:12" ht="15.75">
      <c r="A166" s="5"/>
      <c r="C166" s="8"/>
      <c r="D166" s="14"/>
      <c r="E166" s="52"/>
      <c r="F166" s="14"/>
      <c r="G166" s="14"/>
      <c r="H166" s="47"/>
      <c r="I166" s="14"/>
      <c r="J166" s="52"/>
      <c r="K166" s="14"/>
      <c r="L166" s="48"/>
    </row>
    <row r="168" spans="1:12" ht="15.75">
      <c r="A168" s="5"/>
      <c r="C168" s="8"/>
      <c r="D168" s="14"/>
      <c r="E168" s="52"/>
      <c r="F168" s="14"/>
      <c r="G168" s="14"/>
      <c r="H168" s="47"/>
      <c r="I168" s="14"/>
      <c r="J168" s="52"/>
      <c r="K168" s="14"/>
      <c r="L168" s="48"/>
    </row>
    <row r="169" spans="1:12" ht="15.75">
      <c r="A169" s="2" t="s">
        <v>460</v>
      </c>
      <c r="C169" s="8"/>
      <c r="D169" s="14"/>
      <c r="E169" s="52"/>
      <c r="F169" s="14"/>
      <c r="G169" s="14"/>
      <c r="H169" s="47"/>
      <c r="I169" s="14"/>
      <c r="J169" s="52"/>
      <c r="K169" s="14"/>
      <c r="L169" s="53" t="s">
        <v>482</v>
      </c>
    </row>
    <row r="170" spans="1:12" ht="15.75">
      <c r="A170" s="2" t="s">
        <v>483</v>
      </c>
      <c r="C170" s="8"/>
      <c r="D170" s="14"/>
      <c r="E170" s="52"/>
      <c r="F170" s="14"/>
      <c r="G170" s="14"/>
      <c r="H170" s="47"/>
      <c r="I170" s="14"/>
      <c r="J170" s="52"/>
      <c r="K170" s="14"/>
      <c r="L170" s="53"/>
    </row>
    <row r="171" spans="1:12" ht="15.75">
      <c r="A171" s="351"/>
      <c r="B171" s="351"/>
      <c r="C171" s="351"/>
      <c r="D171" s="351"/>
      <c r="E171" s="351"/>
      <c r="F171" s="351"/>
      <c r="G171" s="351"/>
      <c r="H171" s="351"/>
      <c r="I171" s="351"/>
      <c r="J171" s="351"/>
      <c r="K171" s="351"/>
      <c r="L171" s="351"/>
    </row>
    <row r="172" spans="1:12" ht="15.75">
      <c r="A172" s="1" t="s">
        <v>272</v>
      </c>
      <c r="C172" s="2"/>
      <c r="D172" s="2"/>
      <c r="E172" s="3"/>
      <c r="F172" s="2"/>
      <c r="G172" s="2"/>
      <c r="H172" s="2"/>
      <c r="I172" s="4"/>
      <c r="J172" s="5"/>
      <c r="K172" s="5"/>
      <c r="L172" s="6" t="s">
        <v>487</v>
      </c>
    </row>
    <row r="173" spans="1:12" ht="15.75">
      <c r="A173" s="1" t="s">
        <v>474</v>
      </c>
      <c r="C173" s="2"/>
      <c r="D173" s="2"/>
      <c r="E173" s="3"/>
      <c r="F173" s="2"/>
      <c r="G173" s="2"/>
      <c r="H173" s="2"/>
      <c r="I173" s="4"/>
      <c r="J173" s="7"/>
      <c r="K173" s="7"/>
      <c r="L173" s="6" t="s">
        <v>488</v>
      </c>
    </row>
    <row r="174" spans="3:12" ht="15.75">
      <c r="C174" s="2"/>
      <c r="D174" s="2"/>
      <c r="E174" s="3"/>
      <c r="F174" s="2"/>
      <c r="G174" s="2"/>
      <c r="H174" s="2"/>
      <c r="I174" s="4"/>
      <c r="J174" s="7"/>
      <c r="K174" s="7"/>
      <c r="L174" s="6"/>
    </row>
    <row r="175" spans="3:12" ht="15.75">
      <c r="C175" s="2"/>
      <c r="D175" s="2"/>
      <c r="E175" s="3"/>
      <c r="F175" s="2"/>
      <c r="G175" s="2"/>
      <c r="H175" s="2"/>
      <c r="I175" s="4"/>
      <c r="J175" s="4"/>
      <c r="L175" s="9" t="s">
        <v>266</v>
      </c>
    </row>
    <row r="176" spans="3:12" ht="15.75">
      <c r="C176" s="2"/>
      <c r="D176" s="2"/>
      <c r="E176" s="3"/>
      <c r="F176" s="2"/>
      <c r="G176" s="2"/>
      <c r="H176" s="2"/>
      <c r="I176" s="4"/>
      <c r="J176" s="4"/>
      <c r="K176" s="10"/>
      <c r="L176" s="36" t="s">
        <v>269</v>
      </c>
    </row>
    <row r="177" spans="3:12" ht="15.75">
      <c r="C177" s="2"/>
      <c r="D177" s="2"/>
      <c r="E177" s="3"/>
      <c r="F177" s="2"/>
      <c r="G177" s="2"/>
      <c r="H177" s="2"/>
      <c r="I177" s="4"/>
      <c r="J177" s="4"/>
      <c r="K177" s="10"/>
      <c r="L177" s="36"/>
    </row>
    <row r="178" spans="3:12" ht="15.75">
      <c r="C178" s="2" t="s">
        <v>0</v>
      </c>
      <c r="D178" s="2"/>
      <c r="E178" s="3" t="s">
        <v>1</v>
      </c>
      <c r="F178" s="2"/>
      <c r="G178" s="2"/>
      <c r="H178" s="2"/>
      <c r="I178" s="4"/>
      <c r="J178" s="236" t="str">
        <f>J7</f>
        <v>For the 12 months ended 12/31/11</v>
      </c>
      <c r="K178" s="237"/>
      <c r="L178" s="237"/>
    </row>
    <row r="179" spans="3:12" ht="15.75">
      <c r="C179" s="2"/>
      <c r="D179" s="14" t="s">
        <v>2</v>
      </c>
      <c r="E179" s="14" t="s">
        <v>3</v>
      </c>
      <c r="F179" s="14"/>
      <c r="G179" s="14"/>
      <c r="H179" s="14"/>
      <c r="I179" s="4"/>
      <c r="J179" s="4"/>
      <c r="K179" s="10"/>
      <c r="L179" s="13"/>
    </row>
    <row r="180" spans="3:12" ht="15.75">
      <c r="C180" s="2"/>
      <c r="D180" s="14"/>
      <c r="E180" s="14"/>
      <c r="F180" s="14"/>
      <c r="G180" s="14"/>
      <c r="H180" s="14"/>
      <c r="I180" s="4"/>
      <c r="J180" s="4"/>
      <c r="K180" s="10"/>
      <c r="L180" s="13"/>
    </row>
    <row r="181" spans="1:12" ht="15.75">
      <c r="A181" s="5"/>
      <c r="E181" s="305" t="s">
        <v>476</v>
      </c>
      <c r="K181" s="14"/>
      <c r="L181" s="19"/>
    </row>
    <row r="182" spans="1:12" ht="15.75">
      <c r="A182" s="5"/>
      <c r="C182" s="37" t="s">
        <v>34</v>
      </c>
      <c r="D182" s="37" t="s">
        <v>35</v>
      </c>
      <c r="E182" s="37" t="s">
        <v>36</v>
      </c>
      <c r="F182" s="14" t="s">
        <v>2</v>
      </c>
      <c r="G182" s="14"/>
      <c r="H182" s="38" t="s">
        <v>37</v>
      </c>
      <c r="I182" s="14"/>
      <c r="J182" s="39" t="s">
        <v>38</v>
      </c>
      <c r="K182" s="14"/>
      <c r="L182" s="19"/>
    </row>
    <row r="183" spans="1:12" ht="15.75">
      <c r="A183" s="5"/>
      <c r="C183" s="37"/>
      <c r="D183" s="4"/>
      <c r="E183" s="4"/>
      <c r="F183" s="4"/>
      <c r="G183" s="4"/>
      <c r="H183" s="4"/>
      <c r="I183" s="4"/>
      <c r="J183" s="4"/>
      <c r="K183" s="4"/>
      <c r="L183" s="54"/>
    </row>
    <row r="184" spans="1:12" ht="15.75">
      <c r="A184" s="5" t="s">
        <v>4</v>
      </c>
      <c r="C184" s="8"/>
      <c r="D184" s="40" t="s">
        <v>39</v>
      </c>
      <c r="E184" s="14"/>
      <c r="F184" s="14"/>
      <c r="G184" s="14"/>
      <c r="H184" s="5"/>
      <c r="I184" s="14"/>
      <c r="J184" s="41" t="s">
        <v>40</v>
      </c>
      <c r="K184" s="14"/>
      <c r="L184" s="54"/>
    </row>
    <row r="185" spans="1:12" ht="16.5" thickBot="1">
      <c r="A185" s="16" t="s">
        <v>6</v>
      </c>
      <c r="C185" s="8"/>
      <c r="D185" s="42" t="s">
        <v>41</v>
      </c>
      <c r="E185" s="41" t="s">
        <v>42</v>
      </c>
      <c r="F185" s="43"/>
      <c r="G185" s="41" t="s">
        <v>43</v>
      </c>
      <c r="I185" s="43"/>
      <c r="J185" s="5" t="s">
        <v>44</v>
      </c>
      <c r="K185" s="14"/>
      <c r="L185" s="54"/>
    </row>
    <row r="186" spans="3:12" ht="15.75">
      <c r="C186" s="8"/>
      <c r="D186" s="14"/>
      <c r="E186" s="55"/>
      <c r="F186" s="56"/>
      <c r="G186" s="57"/>
      <c r="I186" s="56"/>
      <c r="J186" s="55"/>
      <c r="K186" s="14"/>
      <c r="L186" s="19"/>
    </row>
    <row r="187" spans="1:12" ht="15.75">
      <c r="A187" s="5"/>
      <c r="C187" s="8" t="s">
        <v>72</v>
      </c>
      <c r="D187" s="14"/>
      <c r="E187" s="14"/>
      <c r="F187" s="14"/>
      <c r="G187" s="14"/>
      <c r="H187" s="14"/>
      <c r="I187" s="14"/>
      <c r="J187" s="14"/>
      <c r="K187" s="14"/>
      <c r="L187" s="19"/>
    </row>
    <row r="188" spans="1:12" ht="15.75">
      <c r="A188" s="5">
        <v>1</v>
      </c>
      <c r="C188" s="8" t="s">
        <v>73</v>
      </c>
      <c r="D188" s="14" t="s">
        <v>305</v>
      </c>
      <c r="E188" s="23">
        <f>'Workpapers (page 6 and 7)'!E26*1000</f>
        <v>13158589.5903</v>
      </c>
      <c r="F188" s="14"/>
      <c r="G188" s="14" t="s">
        <v>69</v>
      </c>
      <c r="H188" s="45">
        <f>J282</f>
        <v>0.8353624049117707</v>
      </c>
      <c r="I188" s="14"/>
      <c r="J188" s="14">
        <f>+H188*E188</f>
        <v>10992191.0454</v>
      </c>
      <c r="K188" s="10"/>
      <c r="L188" s="19"/>
    </row>
    <row r="189" spans="1:12" ht="15.75">
      <c r="A189" s="120" t="s">
        <v>292</v>
      </c>
      <c r="B189" s="11"/>
      <c r="C189" s="58" t="s">
        <v>301</v>
      </c>
      <c r="D189" s="19"/>
      <c r="E189" s="23">
        <f>'Workpapers (page 6 and 7)'!E10*1000</f>
        <v>9411689.92</v>
      </c>
      <c r="F189" s="14"/>
      <c r="G189" s="249"/>
      <c r="H189" s="45">
        <v>1</v>
      </c>
      <c r="I189" s="14"/>
      <c r="J189" s="14">
        <f>+H189*E189</f>
        <v>9411689.92</v>
      </c>
      <c r="K189" s="10"/>
      <c r="L189" s="19"/>
    </row>
    <row r="190" spans="1:12" ht="15.75">
      <c r="A190" s="5">
        <v>2</v>
      </c>
      <c r="C190" s="8" t="s">
        <v>74</v>
      </c>
      <c r="D190" s="14" t="s">
        <v>306</v>
      </c>
      <c r="E190" s="23">
        <v>0</v>
      </c>
      <c r="F190" s="14"/>
      <c r="G190" s="14" t="s">
        <v>2</v>
      </c>
      <c r="H190" s="45">
        <v>1</v>
      </c>
      <c r="I190" s="14"/>
      <c r="J190" s="14">
        <f aca="true" t="shared" si="2" ref="J190:J196">+H190*E190</f>
        <v>0</v>
      </c>
      <c r="K190" s="10"/>
      <c r="L190" s="19"/>
    </row>
    <row r="191" spans="1:12" ht="15.75">
      <c r="A191" s="5">
        <v>3</v>
      </c>
      <c r="C191" s="8" t="s">
        <v>75</v>
      </c>
      <c r="D191" s="14" t="s">
        <v>307</v>
      </c>
      <c r="E191" s="23">
        <f>'Workpapers (page 6 and 7)'!E52*1000</f>
        <v>36642243.66794801</v>
      </c>
      <c r="F191" s="14"/>
      <c r="G191" s="14" t="s">
        <v>51</v>
      </c>
      <c r="H191" s="45">
        <f>+H114</f>
        <v>0.07042103127313899</v>
      </c>
      <c r="I191" s="14"/>
      <c r="J191" s="14">
        <f t="shared" si="2"/>
        <v>2580384.5872585457</v>
      </c>
      <c r="K191" s="14"/>
      <c r="L191" s="19" t="s">
        <v>2</v>
      </c>
    </row>
    <row r="192" spans="1:12" ht="15.75">
      <c r="A192" s="5">
        <v>4</v>
      </c>
      <c r="C192" s="8" t="s">
        <v>76</v>
      </c>
      <c r="D192" s="14"/>
      <c r="E192" s="23">
        <v>0</v>
      </c>
      <c r="F192" s="14"/>
      <c r="G192" s="14" t="str">
        <f>+G191</f>
        <v>W/S</v>
      </c>
      <c r="H192" s="45">
        <f>+H191</f>
        <v>0.07042103127313899</v>
      </c>
      <c r="I192" s="14"/>
      <c r="J192" s="14">
        <f t="shared" si="2"/>
        <v>0</v>
      </c>
      <c r="K192" s="14"/>
      <c r="L192" s="19"/>
    </row>
    <row r="193" spans="1:12" ht="15.75">
      <c r="A193" s="5">
        <v>5</v>
      </c>
      <c r="C193" s="58" t="s">
        <v>244</v>
      </c>
      <c r="D193" s="19"/>
      <c r="E193" s="23">
        <f>'Workpapers (page 6 and 7)'!E29*1000</f>
        <v>568676</v>
      </c>
      <c r="F193" s="14"/>
      <c r="G193" s="14" t="str">
        <f>+G192</f>
        <v>W/S</v>
      </c>
      <c r="H193" s="45">
        <f>+H192</f>
        <v>0.07042103127313899</v>
      </c>
      <c r="I193" s="14"/>
      <c r="J193" s="14">
        <f t="shared" si="2"/>
        <v>40046.75038028359</v>
      </c>
      <c r="K193" s="14"/>
      <c r="L193" s="19"/>
    </row>
    <row r="194" spans="1:12" ht="15.75">
      <c r="A194" s="5" t="s">
        <v>236</v>
      </c>
      <c r="C194" s="58" t="s">
        <v>237</v>
      </c>
      <c r="D194" s="19"/>
      <c r="E194" s="23">
        <v>0</v>
      </c>
      <c r="F194" s="14"/>
      <c r="G194" s="59" t="str">
        <f>+G188</f>
        <v>TE</v>
      </c>
      <c r="H194" s="60">
        <f>+H188</f>
        <v>0.8353624049117707</v>
      </c>
      <c r="I194" s="14"/>
      <c r="J194" s="14">
        <f>+H194*E194</f>
        <v>0</v>
      </c>
      <c r="K194" s="14"/>
      <c r="L194" s="19"/>
    </row>
    <row r="195" spans="1:12" ht="15.75">
      <c r="A195" s="5">
        <v>6</v>
      </c>
      <c r="C195" s="58" t="s">
        <v>52</v>
      </c>
      <c r="D195" s="19" t="str">
        <f>+D115</f>
        <v>356.1</v>
      </c>
      <c r="E195" s="23">
        <v>0</v>
      </c>
      <c r="F195" s="14"/>
      <c r="G195" s="14" t="s">
        <v>121</v>
      </c>
      <c r="H195" s="45">
        <f>+H115</f>
        <v>0.06338717095089022</v>
      </c>
      <c r="I195" s="14"/>
      <c r="J195" s="14">
        <f t="shared" si="2"/>
        <v>0</v>
      </c>
      <c r="K195" s="14"/>
      <c r="L195" s="19"/>
    </row>
    <row r="196" spans="1:12" ht="16.5" thickBot="1">
      <c r="A196" s="5">
        <v>7</v>
      </c>
      <c r="C196" s="8" t="s">
        <v>77</v>
      </c>
      <c r="D196" s="14"/>
      <c r="E196" s="46">
        <v>0</v>
      </c>
      <c r="F196" s="14"/>
      <c r="G196" s="14" t="s">
        <v>2</v>
      </c>
      <c r="H196" s="45">
        <v>1</v>
      </c>
      <c r="I196" s="14"/>
      <c r="J196" s="24">
        <f t="shared" si="2"/>
        <v>0</v>
      </c>
      <c r="K196" s="14"/>
      <c r="L196" s="19"/>
    </row>
    <row r="197" spans="1:12" ht="15.75">
      <c r="A197" s="120">
        <v>8</v>
      </c>
      <c r="B197" s="11"/>
      <c r="C197" s="58" t="s">
        <v>433</v>
      </c>
      <c r="D197" s="19"/>
      <c r="E197" s="19">
        <f>+E188-E189-E190+E191-E192-E193+E194+E195+E196</f>
        <v>39820467.33824801</v>
      </c>
      <c r="F197" s="19"/>
      <c r="G197" s="19"/>
      <c r="H197" s="19"/>
      <c r="I197" s="19"/>
      <c r="J197" s="19">
        <f>+J188-J189-J190+J191-J192-J193+J194+J195+J196</f>
        <v>4120838.9622782613</v>
      </c>
      <c r="K197" s="14"/>
      <c r="L197" s="19"/>
    </row>
    <row r="198" spans="1:12" ht="15.75">
      <c r="A198" s="120"/>
      <c r="B198" s="11"/>
      <c r="C198" s="11"/>
      <c r="D198" s="19"/>
      <c r="E198" s="11"/>
      <c r="F198" s="19"/>
      <c r="G198" s="19"/>
      <c r="H198" s="19"/>
      <c r="I198" s="19"/>
      <c r="J198" s="11"/>
      <c r="K198" s="14"/>
      <c r="L198" s="19"/>
    </row>
    <row r="199" spans="1:12" ht="15.75">
      <c r="A199" s="120"/>
      <c r="B199" s="11"/>
      <c r="C199" s="58" t="s">
        <v>78</v>
      </c>
      <c r="D199" s="19"/>
      <c r="E199" s="19"/>
      <c r="F199" s="19"/>
      <c r="G199" s="19"/>
      <c r="H199" s="19"/>
      <c r="I199" s="19"/>
      <c r="J199" s="19"/>
      <c r="K199" s="14"/>
      <c r="L199" s="19"/>
    </row>
    <row r="200" spans="1:12" ht="15.75">
      <c r="A200" s="120">
        <v>9</v>
      </c>
      <c r="B200" s="11"/>
      <c r="C200" s="58" t="str">
        <f>+C188</f>
        <v>  Transmission </v>
      </c>
      <c r="D200" s="19" t="s">
        <v>79</v>
      </c>
      <c r="E200" s="23">
        <f>'Workpapers (page 6 and 7)'!E56*1000</f>
        <v>7139000</v>
      </c>
      <c r="F200" s="19"/>
      <c r="G200" s="19" t="s">
        <v>11</v>
      </c>
      <c r="H200" s="60">
        <f>+H139</f>
        <v>1</v>
      </c>
      <c r="I200" s="19"/>
      <c r="J200" s="19">
        <f>+H200*E200</f>
        <v>7139000</v>
      </c>
      <c r="K200" s="14"/>
      <c r="L200" s="48"/>
    </row>
    <row r="201" spans="1:13" s="11" customFormat="1" ht="15.75">
      <c r="A201" s="120" t="s">
        <v>404</v>
      </c>
      <c r="B201" s="250"/>
      <c r="C201" s="58" t="s">
        <v>405</v>
      </c>
      <c r="D201" s="148"/>
      <c r="E201" s="23">
        <v>0</v>
      </c>
      <c r="F201" s="19"/>
      <c r="G201" s="19"/>
      <c r="H201" s="60">
        <v>1</v>
      </c>
      <c r="I201" s="19"/>
      <c r="J201" s="19">
        <f>+H201*E201</f>
        <v>0</v>
      </c>
      <c r="K201" s="148"/>
      <c r="L201" s="149"/>
      <c r="M201" s="150"/>
    </row>
    <row r="202" spans="1:15" ht="15.75">
      <c r="A202" s="5">
        <v>10</v>
      </c>
      <c r="C202" s="8" t="s">
        <v>80</v>
      </c>
      <c r="D202" s="14" t="s">
        <v>308</v>
      </c>
      <c r="E202" s="23">
        <f>'Workpapers (page 6 and 7)'!E57*1000</f>
        <v>561000</v>
      </c>
      <c r="F202" s="14"/>
      <c r="G202" s="14" t="s">
        <v>51</v>
      </c>
      <c r="H202" s="45">
        <f>+H191</f>
        <v>0.07042103127313899</v>
      </c>
      <c r="I202" s="14"/>
      <c r="J202" s="14">
        <f>+H202*E202</f>
        <v>39506.198544230974</v>
      </c>
      <c r="K202" s="19"/>
      <c r="L202" s="48"/>
      <c r="M202" s="11"/>
      <c r="N202" s="11"/>
      <c r="O202" s="11"/>
    </row>
    <row r="203" spans="1:12" ht="16.5" thickBot="1">
      <c r="A203" s="5">
        <v>11</v>
      </c>
      <c r="C203" s="8" t="str">
        <f>+C195</f>
        <v>  Common</v>
      </c>
      <c r="D203" s="14" t="s">
        <v>309</v>
      </c>
      <c r="E203" s="46">
        <f>'Workpapers (page 6 and 7)'!E58*1000</f>
        <v>1180000</v>
      </c>
      <c r="F203" s="14"/>
      <c r="G203" s="14" t="s">
        <v>121</v>
      </c>
      <c r="H203" s="45">
        <f>+H195</f>
        <v>0.06338717095089022</v>
      </c>
      <c r="I203" s="14"/>
      <c r="J203" s="24">
        <f>+H203*E203</f>
        <v>74796.86172205045</v>
      </c>
      <c r="K203" s="14"/>
      <c r="L203" s="48"/>
    </row>
    <row r="204" spans="1:12" ht="15.75">
      <c r="A204" s="120">
        <v>12</v>
      </c>
      <c r="B204" s="11"/>
      <c r="C204" s="58" t="s">
        <v>81</v>
      </c>
      <c r="D204" s="19"/>
      <c r="E204" s="19">
        <f>SUM(E200:E203)</f>
        <v>8880000</v>
      </c>
      <c r="F204" s="19"/>
      <c r="G204" s="19"/>
      <c r="H204" s="19"/>
      <c r="I204" s="19"/>
      <c r="J204" s="19">
        <f>SUM(J200:J203)</f>
        <v>7253303.0602662815</v>
      </c>
      <c r="K204" s="14"/>
      <c r="L204" s="19"/>
    </row>
    <row r="205" spans="1:12" ht="15.75">
      <c r="A205" s="5"/>
      <c r="C205" s="8"/>
      <c r="D205" s="14"/>
      <c r="E205" s="14"/>
      <c r="F205" s="14"/>
      <c r="G205" s="14"/>
      <c r="H205" s="14"/>
      <c r="I205" s="14"/>
      <c r="J205" s="14"/>
      <c r="K205" s="14"/>
      <c r="L205" s="19"/>
    </row>
    <row r="206" spans="1:12" ht="15.75">
      <c r="A206" s="5" t="s">
        <v>2</v>
      </c>
      <c r="C206" s="8" t="s">
        <v>82</v>
      </c>
      <c r="E206" s="14"/>
      <c r="F206" s="14"/>
      <c r="G206" s="14"/>
      <c r="H206" s="14"/>
      <c r="I206" s="14"/>
      <c r="J206" s="14"/>
      <c r="K206" s="14"/>
      <c r="L206" s="19"/>
    </row>
    <row r="207" spans="1:12" ht="15.75">
      <c r="A207" s="5"/>
      <c r="C207" s="8" t="s">
        <v>83</v>
      </c>
      <c r="F207" s="14"/>
      <c r="G207" s="14"/>
      <c r="I207" s="14"/>
      <c r="K207" s="14"/>
      <c r="L207" s="48"/>
    </row>
    <row r="208" spans="1:12" ht="15.75">
      <c r="A208" s="5">
        <v>13</v>
      </c>
      <c r="C208" s="8" t="s">
        <v>84</v>
      </c>
      <c r="D208" s="14" t="s">
        <v>276</v>
      </c>
      <c r="E208" s="23">
        <v>0</v>
      </c>
      <c r="F208" s="14"/>
      <c r="G208" s="14" t="s">
        <v>51</v>
      </c>
      <c r="H208" s="21">
        <f>+H202</f>
        <v>0.07042103127313899</v>
      </c>
      <c r="I208" s="14"/>
      <c r="J208" s="14">
        <f>+H208*E208</f>
        <v>0</v>
      </c>
      <c r="K208" s="14"/>
      <c r="L208" s="48"/>
    </row>
    <row r="209" spans="1:12" ht="15.75">
      <c r="A209" s="5">
        <v>14</v>
      </c>
      <c r="C209" s="8" t="s">
        <v>85</v>
      </c>
      <c r="D209" s="14" t="str">
        <f>+D208</f>
        <v>263.i</v>
      </c>
      <c r="E209" s="23">
        <v>0</v>
      </c>
      <c r="F209" s="14"/>
      <c r="G209" s="14" t="str">
        <f>+G208</f>
        <v>W/S</v>
      </c>
      <c r="H209" s="21">
        <f>+H208</f>
        <v>0.07042103127313899</v>
      </c>
      <c r="I209" s="14"/>
      <c r="J209" s="14">
        <f>+H209*E209</f>
        <v>0</v>
      </c>
      <c r="K209" s="14"/>
      <c r="L209" s="48"/>
    </row>
    <row r="210" spans="1:12" ht="15.75">
      <c r="A210" s="5">
        <v>15</v>
      </c>
      <c r="C210" s="8" t="s">
        <v>86</v>
      </c>
      <c r="D210" s="14" t="s">
        <v>2</v>
      </c>
      <c r="F210" s="14"/>
      <c r="G210" s="14"/>
      <c r="I210" s="14"/>
      <c r="K210" s="14"/>
      <c r="L210" s="48"/>
    </row>
    <row r="211" spans="1:12" ht="15.75">
      <c r="A211" s="5">
        <v>16</v>
      </c>
      <c r="C211" s="8" t="s">
        <v>87</v>
      </c>
      <c r="D211" s="14" t="s">
        <v>276</v>
      </c>
      <c r="E211" s="23">
        <f>+'Workpapers (page 6 and 7)'!E75*1000</f>
        <v>9680000.399999999</v>
      </c>
      <c r="F211" s="14"/>
      <c r="G211" s="14" t="s">
        <v>70</v>
      </c>
      <c r="H211" s="21">
        <f>+H108</f>
        <v>0.15705493753873534</v>
      </c>
      <c r="I211" s="14"/>
      <c r="J211" s="14">
        <f>+H211*E211</f>
        <v>1520291.8581969328</v>
      </c>
      <c r="K211" s="14"/>
      <c r="L211" s="48"/>
    </row>
    <row r="212" spans="1:12" ht="15.75">
      <c r="A212" s="5">
        <v>17</v>
      </c>
      <c r="C212" s="8" t="s">
        <v>88</v>
      </c>
      <c r="D212" s="14" t="s">
        <v>276</v>
      </c>
      <c r="E212" s="23">
        <f>+'Workpapers (page 6 and 7)'!F75*1000</f>
        <v>8087840</v>
      </c>
      <c r="F212" s="14"/>
      <c r="G212" s="19" t="str">
        <f>+G131</f>
        <v>NA</v>
      </c>
      <c r="H212" s="61" t="s">
        <v>238</v>
      </c>
      <c r="I212" s="14"/>
      <c r="J212" s="14">
        <v>0</v>
      </c>
      <c r="K212" s="14"/>
      <c r="L212" s="48"/>
    </row>
    <row r="213" spans="1:12" ht="15.75">
      <c r="A213" s="5">
        <v>18</v>
      </c>
      <c r="C213" s="8" t="s">
        <v>89</v>
      </c>
      <c r="D213" s="14" t="str">
        <f>+D212</f>
        <v>263.i</v>
      </c>
      <c r="E213" s="23">
        <v>0</v>
      </c>
      <c r="F213" s="14"/>
      <c r="G213" s="14" t="str">
        <f>+G211</f>
        <v>GP</v>
      </c>
      <c r="H213" s="21">
        <f>+H211</f>
        <v>0.15705493753873534</v>
      </c>
      <c r="I213" s="14"/>
      <c r="J213" s="14">
        <f>+H213*E213</f>
        <v>0</v>
      </c>
      <c r="K213" s="14"/>
      <c r="L213" s="48"/>
    </row>
    <row r="214" spans="1:12" ht="16.5" thickBot="1">
      <c r="A214" s="5">
        <v>19</v>
      </c>
      <c r="C214" s="8" t="s">
        <v>90</v>
      </c>
      <c r="D214" s="14"/>
      <c r="E214" s="46">
        <v>0</v>
      </c>
      <c r="F214" s="14"/>
      <c r="G214" s="14" t="s">
        <v>70</v>
      </c>
      <c r="H214" s="21">
        <f>+H211</f>
        <v>0.15705493753873534</v>
      </c>
      <c r="I214" s="14"/>
      <c r="J214" s="24">
        <f>+H214*E214</f>
        <v>0</v>
      </c>
      <c r="K214" s="14"/>
      <c r="L214" s="48"/>
    </row>
    <row r="215" spans="1:12" ht="15.75">
      <c r="A215" s="5">
        <v>20</v>
      </c>
      <c r="C215" s="8" t="s">
        <v>91</v>
      </c>
      <c r="D215" s="14"/>
      <c r="E215" s="14">
        <f>SUM(E208:E214)</f>
        <v>17767840.4</v>
      </c>
      <c r="F215" s="14"/>
      <c r="G215" s="14"/>
      <c r="H215" s="21"/>
      <c r="I215" s="14"/>
      <c r="J215" s="14">
        <f>SUM(J208:J214)</f>
        <v>1520291.8581969328</v>
      </c>
      <c r="K215" s="14"/>
      <c r="L215" s="19"/>
    </row>
    <row r="216" spans="1:12" ht="15.75">
      <c r="A216" s="5"/>
      <c r="C216" s="8"/>
      <c r="D216" s="14"/>
      <c r="E216" s="14"/>
      <c r="F216" s="14"/>
      <c r="G216" s="14"/>
      <c r="H216" s="21"/>
      <c r="I216" s="14"/>
      <c r="J216" s="14"/>
      <c r="K216" s="14"/>
      <c r="L216" s="19"/>
    </row>
    <row r="217" spans="1:12" ht="15.75">
      <c r="A217" s="5" t="s">
        <v>92</v>
      </c>
      <c r="C217" s="8"/>
      <c r="D217" s="14"/>
      <c r="E217" s="14"/>
      <c r="F217" s="14"/>
      <c r="G217" s="14"/>
      <c r="H217" s="21"/>
      <c r="I217" s="14"/>
      <c r="J217" s="14"/>
      <c r="K217" s="14"/>
      <c r="L217" s="19"/>
    </row>
    <row r="218" spans="1:11" ht="15.75">
      <c r="A218" s="5" t="s">
        <v>2</v>
      </c>
      <c r="C218" s="8" t="s">
        <v>93</v>
      </c>
      <c r="D218" s="14" t="s">
        <v>94</v>
      </c>
      <c r="E218" s="14"/>
      <c r="F218" s="14"/>
      <c r="H218" s="62"/>
      <c r="I218" s="14"/>
      <c r="K218" s="14"/>
    </row>
    <row r="219" spans="1:11" ht="15.75">
      <c r="A219" s="5">
        <v>21</v>
      </c>
      <c r="C219" s="63" t="s">
        <v>211</v>
      </c>
      <c r="D219" s="14"/>
      <c r="E219" s="64">
        <f>IF(E374&gt;0,1-(((1-E375)*(1-E374))/(1-E375*E374*E376)),0)</f>
        <v>0.40525</v>
      </c>
      <c r="F219" s="14"/>
      <c r="H219" s="62"/>
      <c r="I219" s="14"/>
      <c r="K219" s="14"/>
    </row>
    <row r="220" spans="1:11" ht="15.75">
      <c r="A220" s="5">
        <v>22</v>
      </c>
      <c r="C220" s="1" t="s">
        <v>212</v>
      </c>
      <c r="D220" s="14"/>
      <c r="E220" s="64">
        <f>IF(J314&gt;0,(E219/(1-E219))*(1-J311/J314),0)</f>
        <v>0.46987071743253406</v>
      </c>
      <c r="F220" s="14"/>
      <c r="H220" s="62"/>
      <c r="I220" s="14"/>
      <c r="K220" s="14"/>
    </row>
    <row r="221" spans="1:11" ht="15.75">
      <c r="A221" s="5"/>
      <c r="C221" s="8" t="s">
        <v>218</v>
      </c>
      <c r="D221" s="14"/>
      <c r="E221" s="14"/>
      <c r="F221" s="14"/>
      <c r="H221" s="62"/>
      <c r="I221" s="14"/>
      <c r="K221" s="14"/>
    </row>
    <row r="222" spans="1:11" ht="15.75">
      <c r="A222" s="5"/>
      <c r="C222" s="8" t="s">
        <v>215</v>
      </c>
      <c r="D222" s="14"/>
      <c r="E222" s="14"/>
      <c r="F222" s="14"/>
      <c r="H222" s="62"/>
      <c r="I222" s="14"/>
      <c r="K222" s="14"/>
    </row>
    <row r="223" spans="1:11" ht="15.75">
      <c r="A223" s="5">
        <v>23</v>
      </c>
      <c r="C223" s="63" t="s">
        <v>214</v>
      </c>
      <c r="D223" s="14"/>
      <c r="E223" s="65">
        <f>IF(E219&gt;0,1/(1-E219),0)</f>
        <v>1.6813787305590584</v>
      </c>
      <c r="F223" s="14"/>
      <c r="H223" s="62"/>
      <c r="I223" s="14"/>
      <c r="K223" s="14"/>
    </row>
    <row r="224" spans="1:11" ht="15.75">
      <c r="A224" s="5">
        <v>24</v>
      </c>
      <c r="C224" s="8" t="s">
        <v>213</v>
      </c>
      <c r="D224" s="14"/>
      <c r="E224" s="23">
        <f>-'Workpapers (page 6 and 7)'!E77*1000</f>
        <v>-491793</v>
      </c>
      <c r="F224" s="14"/>
      <c r="H224" s="62"/>
      <c r="I224" s="14"/>
      <c r="K224" s="14"/>
    </row>
    <row r="225" spans="1:11" ht="15.75">
      <c r="A225" s="5"/>
      <c r="C225" s="8"/>
      <c r="D225" s="14"/>
      <c r="E225" s="14"/>
      <c r="F225" s="14"/>
      <c r="H225" s="62"/>
      <c r="I225" s="14"/>
      <c r="K225" s="14"/>
    </row>
    <row r="226" spans="1:12" ht="15.75">
      <c r="A226" s="5">
        <v>25</v>
      </c>
      <c r="C226" s="63" t="s">
        <v>216</v>
      </c>
      <c r="D226" s="66"/>
      <c r="E226" s="14">
        <f>E220*E230</f>
        <v>52064726.132750794</v>
      </c>
      <c r="F226" s="14"/>
      <c r="G226" s="14" t="s">
        <v>47</v>
      </c>
      <c r="H226" s="21"/>
      <c r="I226" s="14"/>
      <c r="J226" s="14">
        <f>E220*J230</f>
        <v>11260904.944039125</v>
      </c>
      <c r="K226" s="14"/>
      <c r="L226" s="67" t="s">
        <v>2</v>
      </c>
    </row>
    <row r="227" spans="1:12" ht="16.5" thickBot="1">
      <c r="A227" s="5">
        <v>26</v>
      </c>
      <c r="C227" s="1" t="s">
        <v>221</v>
      </c>
      <c r="D227" s="66"/>
      <c r="E227" s="251">
        <f>E223*E224</f>
        <v>-826890.2900378311</v>
      </c>
      <c r="F227" s="14"/>
      <c r="G227" s="1" t="s">
        <v>64</v>
      </c>
      <c r="H227" s="21">
        <f>H124</f>
        <v>0.20489853275619235</v>
      </c>
      <c r="I227" s="14"/>
      <c r="J227" s="251">
        <f>H227*E227</f>
        <v>-169428.60717909393</v>
      </c>
      <c r="K227" s="14"/>
      <c r="L227" s="67"/>
    </row>
    <row r="228" spans="1:12" ht="15.75">
      <c r="A228" s="5">
        <v>27</v>
      </c>
      <c r="C228" s="68" t="s">
        <v>193</v>
      </c>
      <c r="D228" s="1" t="s">
        <v>222</v>
      </c>
      <c r="E228" s="53">
        <f>+E226+E227</f>
        <v>51237835.84271296</v>
      </c>
      <c r="F228" s="14"/>
      <c r="G228" s="14" t="s">
        <v>2</v>
      </c>
      <c r="H228" s="21" t="s">
        <v>2</v>
      </c>
      <c r="I228" s="14"/>
      <c r="J228" s="53">
        <f>+J226+J227</f>
        <v>11091476.33686003</v>
      </c>
      <c r="K228" s="14"/>
      <c r="L228" s="19"/>
    </row>
    <row r="229" spans="1:12" ht="15.75">
      <c r="A229" s="5" t="s">
        <v>2</v>
      </c>
      <c r="D229" s="69"/>
      <c r="E229" s="14"/>
      <c r="F229" s="14"/>
      <c r="G229" s="14"/>
      <c r="H229" s="21"/>
      <c r="I229" s="14"/>
      <c r="J229" s="14"/>
      <c r="K229" s="14"/>
      <c r="L229" s="19"/>
    </row>
    <row r="230" spans="1:11" ht="15.75">
      <c r="A230" s="5">
        <v>28</v>
      </c>
      <c r="C230" s="8" t="s">
        <v>95</v>
      </c>
      <c r="D230" s="47"/>
      <c r="E230" s="14">
        <f>+$J314*E147</f>
        <v>110806492.51190346</v>
      </c>
      <c r="F230" s="14"/>
      <c r="G230" s="14" t="s">
        <v>47</v>
      </c>
      <c r="H230" s="62"/>
      <c r="I230" s="14"/>
      <c r="J230" s="14">
        <f>+$J314*J147</f>
        <v>23965964.5222646</v>
      </c>
      <c r="K230" s="14"/>
    </row>
    <row r="231" spans="1:12" ht="15.75">
      <c r="A231" s="5"/>
      <c r="C231" s="68" t="s">
        <v>96</v>
      </c>
      <c r="E231" s="14"/>
      <c r="F231" s="14"/>
      <c r="G231" s="14"/>
      <c r="H231" s="62"/>
      <c r="I231" s="14"/>
      <c r="J231" s="14"/>
      <c r="K231" s="14"/>
      <c r="L231" s="48"/>
    </row>
    <row r="232" spans="1:12" ht="16.5" thickBot="1">
      <c r="A232" s="5"/>
      <c r="C232" s="8"/>
      <c r="E232" s="24"/>
      <c r="F232" s="14"/>
      <c r="G232" s="14"/>
      <c r="H232" s="62"/>
      <c r="I232" s="14"/>
      <c r="J232" s="24"/>
      <c r="K232" s="14"/>
      <c r="L232" s="48"/>
    </row>
    <row r="233" spans="1:12" ht="16.5" thickBot="1">
      <c r="A233" s="5">
        <v>29</v>
      </c>
      <c r="C233" s="8" t="s">
        <v>217</v>
      </c>
      <c r="D233" s="14"/>
      <c r="E233" s="51">
        <f>+E230+E228+E215+E204+E197</f>
        <v>228512636.09286445</v>
      </c>
      <c r="F233" s="14"/>
      <c r="G233" s="14"/>
      <c r="H233" s="14"/>
      <c r="I233" s="14"/>
      <c r="J233" s="51">
        <f>+J230+J228+J215+J204+J197</f>
        <v>47951874.7398661</v>
      </c>
      <c r="K233" s="17"/>
      <c r="L233" s="13"/>
    </row>
    <row r="234" spans="1:12" ht="16.5" thickTop="1">
      <c r="A234" s="5">
        <v>30</v>
      </c>
      <c r="C234" s="8" t="s">
        <v>489</v>
      </c>
      <c r="D234" s="14"/>
      <c r="E234" s="52"/>
      <c r="F234" s="14"/>
      <c r="G234" s="14"/>
      <c r="H234" s="14"/>
      <c r="I234" s="14"/>
      <c r="J234" s="52"/>
      <c r="K234" s="17"/>
      <c r="L234" s="13"/>
    </row>
    <row r="235" spans="1:12" ht="15.75">
      <c r="A235" s="5"/>
      <c r="C235" s="8" t="s">
        <v>490</v>
      </c>
      <c r="D235" s="14"/>
      <c r="E235" s="52"/>
      <c r="F235" s="14"/>
      <c r="G235" s="14"/>
      <c r="H235" s="14"/>
      <c r="I235" s="14"/>
      <c r="J235" s="52"/>
      <c r="K235" s="10"/>
      <c r="L235" s="13"/>
    </row>
    <row r="236" spans="1:12" ht="15.75">
      <c r="A236" s="5"/>
      <c r="C236" s="8" t="s">
        <v>491</v>
      </c>
      <c r="D236" s="14"/>
      <c r="E236" s="286">
        <f>+'[5]Attach GG Proj #1- Year 1'!$L$81</f>
        <v>17645427.7851693</v>
      </c>
      <c r="F236" s="14"/>
      <c r="G236" s="14"/>
      <c r="H236" s="14"/>
      <c r="I236" s="14"/>
      <c r="J236" s="279">
        <f>E236</f>
        <v>17645427.7851693</v>
      </c>
      <c r="K236" s="10"/>
      <c r="L236" s="13"/>
    </row>
    <row r="237" spans="1:12" ht="15.75">
      <c r="A237" s="5">
        <v>31</v>
      </c>
      <c r="C237" s="8" t="s">
        <v>492</v>
      </c>
      <c r="D237" s="14"/>
      <c r="E237" s="252">
        <f>E233-E236</f>
        <v>210867208.30769515</v>
      </c>
      <c r="F237" s="14"/>
      <c r="G237" s="14"/>
      <c r="H237" s="14"/>
      <c r="I237" s="14"/>
      <c r="J237" s="252">
        <f>J233-J236</f>
        <v>30306446.9546968</v>
      </c>
      <c r="K237" s="17"/>
      <c r="L237" s="13"/>
    </row>
    <row r="238" spans="1:12" ht="15.75">
      <c r="A238" s="5"/>
      <c r="C238" s="8" t="s">
        <v>493</v>
      </c>
      <c r="D238" s="14"/>
      <c r="E238" s="52"/>
      <c r="F238" s="14"/>
      <c r="G238" s="14"/>
      <c r="H238" s="14"/>
      <c r="I238" s="14"/>
      <c r="J238" s="52"/>
      <c r="K238" s="10"/>
      <c r="L238" s="13"/>
    </row>
    <row r="239" spans="1:12" ht="15.75">
      <c r="A239" s="5"/>
      <c r="C239" s="8"/>
      <c r="D239" s="14"/>
      <c r="E239" s="52"/>
      <c r="F239" s="14"/>
      <c r="G239" s="14"/>
      <c r="H239" s="14"/>
      <c r="I239" s="14"/>
      <c r="J239" s="52"/>
      <c r="K239" s="17"/>
      <c r="L239" s="13"/>
    </row>
    <row r="240" spans="1:12" ht="15.75">
      <c r="A240" s="5"/>
      <c r="C240" s="8"/>
      <c r="D240" s="14"/>
      <c r="E240" s="52"/>
      <c r="F240" s="14"/>
      <c r="G240" s="14"/>
      <c r="H240" s="14"/>
      <c r="I240" s="14"/>
      <c r="J240" s="52"/>
      <c r="K240" s="10"/>
      <c r="L240" s="13"/>
    </row>
    <row r="241" spans="1:12" ht="15.75">
      <c r="A241" s="5"/>
      <c r="C241" s="8"/>
      <c r="D241" s="14"/>
      <c r="E241" s="52"/>
      <c r="F241" s="14"/>
      <c r="G241" s="14"/>
      <c r="H241" s="14"/>
      <c r="I241" s="14"/>
      <c r="J241" s="52"/>
      <c r="K241" s="10"/>
      <c r="L241" s="13"/>
    </row>
    <row r="242" spans="1:12" ht="15.75">
      <c r="A242" s="5"/>
      <c r="C242" s="8"/>
      <c r="D242" s="14"/>
      <c r="E242" s="52"/>
      <c r="F242" s="14"/>
      <c r="G242" s="14"/>
      <c r="H242" s="14"/>
      <c r="I242" s="14"/>
      <c r="J242" s="52"/>
      <c r="K242" s="10"/>
      <c r="L242" s="13"/>
    </row>
    <row r="243" spans="1:12" ht="15.75">
      <c r="A243" s="5"/>
      <c r="C243" s="8"/>
      <c r="D243" s="14"/>
      <c r="E243" s="52"/>
      <c r="F243" s="14"/>
      <c r="G243" s="14"/>
      <c r="H243" s="14"/>
      <c r="I243" s="14"/>
      <c r="J243" s="52"/>
      <c r="K243" s="10"/>
      <c r="L243" s="13"/>
    </row>
    <row r="244" spans="1:12" ht="15.75">
      <c r="A244" s="5"/>
      <c r="C244" s="8"/>
      <c r="D244" s="14"/>
      <c r="E244" s="52"/>
      <c r="F244" s="14"/>
      <c r="G244" s="14"/>
      <c r="H244" s="14"/>
      <c r="I244" s="14"/>
      <c r="J244" s="52"/>
      <c r="K244" s="10"/>
      <c r="L244" s="13"/>
    </row>
    <row r="245" spans="1:12" ht="15.75">
      <c r="A245" s="5"/>
      <c r="C245" s="8"/>
      <c r="D245" s="14"/>
      <c r="E245" s="52"/>
      <c r="F245" s="14"/>
      <c r="G245" s="14"/>
      <c r="H245" s="14"/>
      <c r="I245" s="14"/>
      <c r="J245" s="52"/>
      <c r="K245" s="10"/>
      <c r="L245" s="13"/>
    </row>
    <row r="246" spans="1:12" ht="15.75">
      <c r="A246" s="5"/>
      <c r="C246" s="8"/>
      <c r="D246" s="14"/>
      <c r="E246" s="52"/>
      <c r="F246" s="14"/>
      <c r="G246" s="14"/>
      <c r="H246" s="14"/>
      <c r="I246" s="14"/>
      <c r="J246" s="52"/>
      <c r="K246" s="10"/>
      <c r="L246" s="13"/>
    </row>
    <row r="247" spans="1:12" ht="15.75">
      <c r="A247" s="5"/>
      <c r="C247" s="8"/>
      <c r="D247" s="14"/>
      <c r="E247" s="52"/>
      <c r="F247" s="14"/>
      <c r="G247" s="14"/>
      <c r="H247" s="14"/>
      <c r="I247" s="14"/>
      <c r="J247" s="52"/>
      <c r="K247" s="10"/>
      <c r="L247" s="13"/>
    </row>
    <row r="248" spans="1:12" ht="15.75">
      <c r="A248" s="5"/>
      <c r="C248" s="8"/>
      <c r="D248" s="14"/>
      <c r="E248" s="52"/>
      <c r="F248" s="14"/>
      <c r="G248" s="14"/>
      <c r="H248" s="14"/>
      <c r="I248" s="14"/>
      <c r="J248" s="52"/>
      <c r="K248" s="10"/>
      <c r="L248" s="13"/>
    </row>
    <row r="249" spans="1:12" ht="15.75">
      <c r="A249" s="5"/>
      <c r="C249" s="8"/>
      <c r="D249" s="14"/>
      <c r="E249" s="52"/>
      <c r="F249" s="14"/>
      <c r="G249" s="14"/>
      <c r="H249" s="14"/>
      <c r="I249" s="14"/>
      <c r="J249" s="52"/>
      <c r="K249" s="10"/>
      <c r="L249" s="13"/>
    </row>
    <row r="250" spans="1:12" ht="15.75">
      <c r="A250" s="2" t="s">
        <v>460</v>
      </c>
      <c r="C250" s="8"/>
      <c r="D250" s="14"/>
      <c r="E250" s="52"/>
      <c r="F250" s="14"/>
      <c r="G250" s="14"/>
      <c r="H250" s="47"/>
      <c r="I250" s="14"/>
      <c r="J250" s="52"/>
      <c r="K250" s="19"/>
      <c r="L250" s="53" t="s">
        <v>482</v>
      </c>
    </row>
    <row r="251" spans="1:12" ht="15.75">
      <c r="A251" s="2" t="s">
        <v>483</v>
      </c>
      <c r="C251" s="58"/>
      <c r="D251" s="14"/>
      <c r="E251" s="52"/>
      <c r="F251" s="14"/>
      <c r="G251" s="14"/>
      <c r="H251" s="47"/>
      <c r="I251" s="14"/>
      <c r="J251" s="52"/>
      <c r="K251" s="14"/>
      <c r="L251" s="53"/>
    </row>
    <row r="252" spans="1:12" ht="15.75">
      <c r="A252" s="352"/>
      <c r="B252" s="353"/>
      <c r="C252" s="353"/>
      <c r="D252" s="353"/>
      <c r="E252" s="353"/>
      <c r="F252" s="353"/>
      <c r="G252" s="353"/>
      <c r="H252" s="353"/>
      <c r="I252" s="353"/>
      <c r="J252" s="353"/>
      <c r="K252" s="353"/>
      <c r="L252" s="353"/>
    </row>
    <row r="253" spans="1:12" ht="15.75">
      <c r="A253" s="353"/>
      <c r="B253" s="353"/>
      <c r="C253" s="353"/>
      <c r="D253" s="353"/>
      <c r="E253" s="353"/>
      <c r="F253" s="353"/>
      <c r="G253" s="353"/>
      <c r="H253" s="353"/>
      <c r="I253" s="353"/>
      <c r="J253" s="353"/>
      <c r="K253" s="353"/>
      <c r="L253" s="353"/>
    </row>
    <row r="254" spans="1:12" ht="15.75">
      <c r="A254" s="1" t="s">
        <v>272</v>
      </c>
      <c r="C254" s="2"/>
      <c r="D254" s="2"/>
      <c r="E254" s="3"/>
      <c r="F254" s="2"/>
      <c r="G254" s="2"/>
      <c r="H254" s="2"/>
      <c r="I254" s="4"/>
      <c r="J254" s="5"/>
      <c r="K254" s="5"/>
      <c r="L254" s="6" t="s">
        <v>494</v>
      </c>
    </row>
    <row r="255" spans="1:12" ht="15.75">
      <c r="A255" s="1" t="s">
        <v>474</v>
      </c>
      <c r="C255" s="2"/>
      <c r="D255" s="2"/>
      <c r="E255" s="3"/>
      <c r="F255" s="2"/>
      <c r="G255" s="2"/>
      <c r="H255" s="2"/>
      <c r="I255" s="4"/>
      <c r="J255" s="7"/>
      <c r="K255" s="7"/>
      <c r="L255" s="6" t="s">
        <v>495</v>
      </c>
    </row>
    <row r="256" spans="3:12" ht="15.75">
      <c r="C256" s="2"/>
      <c r="D256" s="2"/>
      <c r="E256" s="3"/>
      <c r="F256" s="2"/>
      <c r="G256" s="2"/>
      <c r="H256" s="2"/>
      <c r="I256" s="4"/>
      <c r="J256" s="4"/>
      <c r="L256" s="9" t="s">
        <v>266</v>
      </c>
    </row>
    <row r="257" spans="3:12" ht="15.75">
      <c r="C257" s="2"/>
      <c r="D257" s="2"/>
      <c r="E257" s="3"/>
      <c r="F257" s="2"/>
      <c r="G257" s="2"/>
      <c r="H257" s="2"/>
      <c r="I257" s="4"/>
      <c r="J257" s="4"/>
      <c r="K257" s="10"/>
      <c r="L257" s="36" t="s">
        <v>270</v>
      </c>
    </row>
    <row r="258" spans="3:12" ht="15.75">
      <c r="C258" s="2"/>
      <c r="D258" s="2"/>
      <c r="E258" s="3"/>
      <c r="F258" s="2"/>
      <c r="G258" s="2"/>
      <c r="H258" s="2"/>
      <c r="I258" s="4"/>
      <c r="J258" s="4"/>
      <c r="K258" s="10"/>
      <c r="L258" s="36"/>
    </row>
    <row r="259" spans="3:12" ht="15.75">
      <c r="C259" s="2" t="s">
        <v>0</v>
      </c>
      <c r="D259" s="2"/>
      <c r="E259" s="3" t="s">
        <v>1</v>
      </c>
      <c r="F259" s="2"/>
      <c r="G259" s="2"/>
      <c r="H259" s="2"/>
      <c r="I259" s="4"/>
      <c r="J259" s="236" t="str">
        <f>J7</f>
        <v>For the 12 months ended 12/31/11</v>
      </c>
      <c r="K259" s="237"/>
      <c r="L259" s="237"/>
    </row>
    <row r="260" spans="3:12" ht="15.75">
      <c r="C260" s="2"/>
      <c r="D260" s="14" t="s">
        <v>2</v>
      </c>
      <c r="E260" s="14" t="s">
        <v>3</v>
      </c>
      <c r="F260" s="14"/>
      <c r="G260" s="14"/>
      <c r="H260" s="14"/>
      <c r="I260" s="4"/>
      <c r="J260" s="4"/>
      <c r="K260" s="10"/>
      <c r="L260" s="13"/>
    </row>
    <row r="261" spans="1:12" ht="15.75">
      <c r="A261" s="5"/>
      <c r="K261" s="14"/>
      <c r="L261" s="19"/>
    </row>
    <row r="262" spans="1:12" ht="15.75">
      <c r="A262" s="5"/>
      <c r="E262" s="305" t="s">
        <v>476</v>
      </c>
      <c r="K262" s="14"/>
      <c r="L262" s="19"/>
    </row>
    <row r="263" spans="1:12" ht="15.75">
      <c r="A263" s="5"/>
      <c r="D263" s="44" t="s">
        <v>97</v>
      </c>
      <c r="F263" s="10"/>
      <c r="G263" s="10"/>
      <c r="H263" s="10"/>
      <c r="I263" s="10"/>
      <c r="J263" s="10"/>
      <c r="K263" s="14"/>
      <c r="L263" s="19"/>
    </row>
    <row r="264" spans="1:12" ht="15.75">
      <c r="A264" s="5" t="s">
        <v>4</v>
      </c>
      <c r="C264" s="44"/>
      <c r="D264" s="10"/>
      <c r="E264" s="10"/>
      <c r="F264" s="10"/>
      <c r="G264" s="10"/>
      <c r="H264" s="10"/>
      <c r="I264" s="10"/>
      <c r="J264" s="10"/>
      <c r="K264" s="14"/>
      <c r="L264" s="19"/>
    </row>
    <row r="265" spans="1:12" ht="16.5" thickBot="1">
      <c r="A265" s="16" t="s">
        <v>6</v>
      </c>
      <c r="C265" s="70" t="s">
        <v>102</v>
      </c>
      <c r="D265" s="13"/>
      <c r="E265" s="13"/>
      <c r="F265" s="13"/>
      <c r="G265" s="13"/>
      <c r="H265" s="13"/>
      <c r="I265" s="11"/>
      <c r="J265" s="11"/>
      <c r="K265" s="19"/>
      <c r="L265" s="19"/>
    </row>
    <row r="266" spans="1:12" ht="15.75">
      <c r="A266" s="5"/>
      <c r="C266" s="70"/>
      <c r="D266" s="13"/>
      <c r="E266" s="13"/>
      <c r="F266" s="13"/>
      <c r="G266" s="13"/>
      <c r="H266" s="13"/>
      <c r="I266" s="13"/>
      <c r="J266" s="13"/>
      <c r="K266" s="19"/>
      <c r="L266" s="19"/>
    </row>
    <row r="267" spans="1:12" ht="15.75">
      <c r="A267" s="5">
        <v>1</v>
      </c>
      <c r="C267" s="26" t="s">
        <v>103</v>
      </c>
      <c r="D267" s="13"/>
      <c r="E267" s="19"/>
      <c r="F267" s="19"/>
      <c r="G267" s="19"/>
      <c r="H267" s="19"/>
      <c r="I267" s="19"/>
      <c r="J267" s="19">
        <f>E104</f>
        <v>360864991.069288</v>
      </c>
      <c r="K267" s="19"/>
      <c r="L267" s="19"/>
    </row>
    <row r="268" spans="1:12" ht="15.75">
      <c r="A268" s="5">
        <v>2</v>
      </c>
      <c r="C268" s="26" t="s">
        <v>104</v>
      </c>
      <c r="D268" s="11"/>
      <c r="E268" s="11"/>
      <c r="F268" s="11"/>
      <c r="G268" s="11"/>
      <c r="H268" s="11"/>
      <c r="I268" s="11"/>
      <c r="J268" s="23">
        <v>0</v>
      </c>
      <c r="K268" s="19"/>
      <c r="L268" s="19"/>
    </row>
    <row r="269" spans="1:12" ht="16.5" thickBot="1">
      <c r="A269" s="5">
        <v>3</v>
      </c>
      <c r="C269" s="71" t="s">
        <v>105</v>
      </c>
      <c r="D269" s="72"/>
      <c r="E269" s="73"/>
      <c r="F269" s="19"/>
      <c r="G269" s="19"/>
      <c r="H269" s="74"/>
      <c r="I269" s="19"/>
      <c r="J269" s="46">
        <v>0</v>
      </c>
      <c r="K269" s="19"/>
      <c r="L269" s="19"/>
    </row>
    <row r="270" spans="1:12" ht="15.75">
      <c r="A270" s="5">
        <v>4</v>
      </c>
      <c r="C270" s="26" t="s">
        <v>260</v>
      </c>
      <c r="D270" s="13"/>
      <c r="E270" s="19"/>
      <c r="F270" s="19"/>
      <c r="G270" s="19"/>
      <c r="H270" s="74"/>
      <c r="I270" s="19"/>
      <c r="J270" s="19">
        <f>J267-J268-J269</f>
        <v>360864991.069288</v>
      </c>
      <c r="K270" s="19"/>
      <c r="L270" s="19"/>
    </row>
    <row r="271" spans="1:12" ht="15.75">
      <c r="A271" s="5"/>
      <c r="C271" s="11"/>
      <c r="D271" s="13"/>
      <c r="E271" s="19"/>
      <c r="F271" s="19"/>
      <c r="G271" s="19"/>
      <c r="H271" s="74"/>
      <c r="I271" s="19"/>
      <c r="J271" s="11"/>
      <c r="K271" s="19"/>
      <c r="L271" s="19"/>
    </row>
    <row r="272" spans="1:12" ht="15.75">
      <c r="A272" s="5">
        <v>5</v>
      </c>
      <c r="C272" s="26" t="s">
        <v>261</v>
      </c>
      <c r="D272" s="75"/>
      <c r="E272" s="76"/>
      <c r="F272" s="76"/>
      <c r="G272" s="76"/>
      <c r="H272" s="77"/>
      <c r="I272" s="19" t="s">
        <v>106</v>
      </c>
      <c r="J272" s="49">
        <f>IF(J267&gt;0,J270/J267,0)</f>
        <v>1</v>
      </c>
      <c r="K272" s="19"/>
      <c r="L272" s="19"/>
    </row>
    <row r="273" spans="1:16" ht="15.75">
      <c r="A273" s="5"/>
      <c r="C273" s="11"/>
      <c r="D273" s="11"/>
      <c r="E273" s="11"/>
      <c r="F273" s="11"/>
      <c r="G273" s="11"/>
      <c r="H273" s="11"/>
      <c r="I273" s="11"/>
      <c r="J273" s="11"/>
      <c r="K273" s="19"/>
      <c r="L273" s="19"/>
      <c r="N273" s="253" t="s">
        <v>496</v>
      </c>
      <c r="O273" s="253"/>
      <c r="P273" s="253"/>
    </row>
    <row r="274" spans="1:19" ht="15.75">
      <c r="A274" s="5"/>
      <c r="C274" s="58" t="s">
        <v>98</v>
      </c>
      <c r="D274" s="11"/>
      <c r="E274" s="11"/>
      <c r="F274" s="11"/>
      <c r="G274" s="11"/>
      <c r="H274" s="11"/>
      <c r="I274" s="11"/>
      <c r="J274" s="11"/>
      <c r="K274" s="19"/>
      <c r="L274" s="19"/>
      <c r="N274" s="254"/>
      <c r="O274" s="239"/>
      <c r="P274" s="255"/>
      <c r="Q274" s="254"/>
      <c r="R274" s="239"/>
      <c r="S274" s="239"/>
    </row>
    <row r="275" spans="1:19" ht="15.75">
      <c r="A275" s="5"/>
      <c r="C275" s="11"/>
      <c r="D275" s="11"/>
      <c r="E275" s="11"/>
      <c r="F275" s="11"/>
      <c r="G275" s="11"/>
      <c r="H275" s="11"/>
      <c r="I275" s="11"/>
      <c r="J275" s="11"/>
      <c r="K275" s="19"/>
      <c r="L275" s="19"/>
      <c r="N275" s="354" t="s">
        <v>461</v>
      </c>
      <c r="O275" s="355"/>
      <c r="P275" s="355"/>
      <c r="Q275" s="355"/>
      <c r="R275" s="355"/>
      <c r="S275" s="356"/>
    </row>
    <row r="276" spans="1:19" ht="15.75">
      <c r="A276" s="5">
        <v>6</v>
      </c>
      <c r="C276" s="11" t="s">
        <v>99</v>
      </c>
      <c r="D276" s="11"/>
      <c r="E276" s="13"/>
      <c r="F276" s="13"/>
      <c r="G276" s="13"/>
      <c r="H276" s="12"/>
      <c r="I276" s="13"/>
      <c r="J276" s="19">
        <f>E188</f>
        <v>13158589.5903</v>
      </c>
      <c r="K276" s="19"/>
      <c r="L276" s="19"/>
      <c r="N276" s="204"/>
      <c r="O276" s="205"/>
      <c r="P276" s="206"/>
      <c r="Q276" s="207"/>
      <c r="R276" s="205"/>
      <c r="S276" s="208"/>
    </row>
    <row r="277" spans="1:19" ht="16.5" thickBot="1">
      <c r="A277" s="5">
        <v>7</v>
      </c>
      <c r="C277" s="71" t="s">
        <v>100</v>
      </c>
      <c r="D277" s="72"/>
      <c r="E277" s="73"/>
      <c r="F277" s="73"/>
      <c r="G277" s="19"/>
      <c r="H277" s="19"/>
      <c r="I277" s="19"/>
      <c r="J277" s="46">
        <f>('Workpapers (page 6 and 7)'!E7+'Workpapers (page 6 and 7)'!E8+'Workpapers (page 6 and 7)'!E9)*1000</f>
        <v>2166398.5449</v>
      </c>
      <c r="K277" s="19"/>
      <c r="L277" s="19"/>
      <c r="M277" s="26"/>
      <c r="N277" s="217">
        <f>J277</f>
        <v>2166398.5449</v>
      </c>
      <c r="O277" s="210" t="s">
        <v>462</v>
      </c>
      <c r="P277" s="206"/>
      <c r="Q277" s="207"/>
      <c r="R277" s="205"/>
      <c r="S277" s="208"/>
    </row>
    <row r="278" spans="1:19" ht="15.75">
      <c r="A278" s="5">
        <v>8</v>
      </c>
      <c r="C278" s="26" t="s">
        <v>259</v>
      </c>
      <c r="D278" s="75"/>
      <c r="E278" s="76"/>
      <c r="F278" s="76"/>
      <c r="G278" s="76"/>
      <c r="H278" s="77"/>
      <c r="I278" s="76"/>
      <c r="J278" s="19">
        <f>+J276-J277</f>
        <v>10992191.0454</v>
      </c>
      <c r="K278" s="11"/>
      <c r="N278" s="234">
        <f>436738+166592</f>
        <v>603330</v>
      </c>
      <c r="O278" s="211" t="s">
        <v>463</v>
      </c>
      <c r="P278" s="212"/>
      <c r="Q278" s="212"/>
      <c r="R278"/>
      <c r="S278" s="213"/>
    </row>
    <row r="279" spans="1:19" ht="15.75">
      <c r="A279" s="5"/>
      <c r="C279" s="26"/>
      <c r="D279" s="13"/>
      <c r="E279" s="19"/>
      <c r="F279" s="19"/>
      <c r="G279" s="19"/>
      <c r="H279" s="19"/>
      <c r="I279" s="11"/>
      <c r="J279" s="11"/>
      <c r="K279" s="11"/>
      <c r="N279" s="221">
        <f>N277-N278</f>
        <v>1563068.5449</v>
      </c>
      <c r="O279" s="211" t="s">
        <v>464</v>
      </c>
      <c r="P279"/>
      <c r="Q279"/>
      <c r="R279"/>
      <c r="S279" s="213"/>
    </row>
    <row r="280" spans="1:19" ht="15.75">
      <c r="A280" s="5">
        <v>9</v>
      </c>
      <c r="C280" s="26" t="s">
        <v>258</v>
      </c>
      <c r="D280" s="13"/>
      <c r="E280" s="19"/>
      <c r="F280" s="19"/>
      <c r="G280" s="19"/>
      <c r="H280" s="19"/>
      <c r="I280" s="19"/>
      <c r="J280" s="60">
        <f>IF(J276&gt;0,J278/J276,0)</f>
        <v>0.8353624049117707</v>
      </c>
      <c r="K280" s="11"/>
      <c r="N280" s="214"/>
      <c r="O280" s="215" t="s">
        <v>465</v>
      </c>
      <c r="P280" s="216"/>
      <c r="Q280" s="216"/>
      <c r="R280" s="205"/>
      <c r="S280" s="208"/>
    </row>
    <row r="281" spans="1:19" ht="15.75">
      <c r="A281" s="5">
        <v>10</v>
      </c>
      <c r="C281" s="26" t="s">
        <v>262</v>
      </c>
      <c r="D281" s="13"/>
      <c r="E281" s="19"/>
      <c r="F281" s="19"/>
      <c r="G281" s="19"/>
      <c r="H281" s="19"/>
      <c r="I281" s="13" t="s">
        <v>11</v>
      </c>
      <c r="J281" s="78">
        <f>J272</f>
        <v>1</v>
      </c>
      <c r="K281" s="11"/>
      <c r="N281" s="217">
        <v>0</v>
      </c>
      <c r="O281" s="216" t="s">
        <v>466</v>
      </c>
      <c r="P281" s="218"/>
      <c r="Q281" s="216"/>
      <c r="R281" s="205"/>
      <c r="S281" s="208"/>
    </row>
    <row r="282" spans="1:19" ht="15.75">
      <c r="A282" s="5">
        <v>11</v>
      </c>
      <c r="C282" s="26" t="s">
        <v>263</v>
      </c>
      <c r="D282" s="13"/>
      <c r="E282" s="13"/>
      <c r="F282" s="13"/>
      <c r="G282" s="13"/>
      <c r="H282" s="13"/>
      <c r="I282" s="13" t="s">
        <v>101</v>
      </c>
      <c r="J282" s="79">
        <f>+J281*J280</f>
        <v>0.8353624049117707</v>
      </c>
      <c r="K282" s="11"/>
      <c r="N282" s="209" t="s">
        <v>2</v>
      </c>
      <c r="O282" s="216" t="s">
        <v>467</v>
      </c>
      <c r="P282" s="218"/>
      <c r="Q282" s="216"/>
      <c r="R282" s="205"/>
      <c r="S282" s="208"/>
    </row>
    <row r="283" spans="1:19" ht="15.75">
      <c r="A283" s="5"/>
      <c r="D283" s="10"/>
      <c r="E283" s="14"/>
      <c r="F283" s="14"/>
      <c r="G283" s="14"/>
      <c r="H283" s="80"/>
      <c r="I283" s="14"/>
      <c r="N283" s="219" t="s">
        <v>2</v>
      </c>
      <c r="O283" s="216" t="s">
        <v>468</v>
      </c>
      <c r="P283" s="218"/>
      <c r="Q283" s="220"/>
      <c r="R283" s="205"/>
      <c r="S283" s="208"/>
    </row>
    <row r="284" spans="1:19" ht="15.75">
      <c r="A284" s="5" t="s">
        <v>2</v>
      </c>
      <c r="C284" s="8" t="s">
        <v>107</v>
      </c>
      <c r="D284" s="14"/>
      <c r="E284" s="14"/>
      <c r="F284" s="14"/>
      <c r="G284" s="14"/>
      <c r="H284" s="14"/>
      <c r="I284" s="14"/>
      <c r="J284" s="14"/>
      <c r="K284" s="14"/>
      <c r="L284" s="19"/>
      <c r="N284" s="221">
        <f>SUM(N281:N283)</f>
        <v>0</v>
      </c>
      <c r="O284" s="222" t="s">
        <v>469</v>
      </c>
      <c r="P284" s="206"/>
      <c r="Q284" s="207"/>
      <c r="R284" s="205"/>
      <c r="S284" s="208"/>
    </row>
    <row r="285" spans="1:19" ht="16.5" thickBot="1">
      <c r="A285" s="5" t="s">
        <v>2</v>
      </c>
      <c r="C285" s="8"/>
      <c r="D285" s="24" t="s">
        <v>108</v>
      </c>
      <c r="E285" s="81" t="s">
        <v>109</v>
      </c>
      <c r="F285" s="81" t="s">
        <v>11</v>
      </c>
      <c r="G285" s="14"/>
      <c r="H285" s="81" t="s">
        <v>110</v>
      </c>
      <c r="I285" s="14"/>
      <c r="J285" s="14"/>
      <c r="K285" s="14"/>
      <c r="L285" s="19"/>
      <c r="N285" s="223">
        <f>N279-N284</f>
        <v>1563068.5449</v>
      </c>
      <c r="O285" s="224" t="s">
        <v>470</v>
      </c>
      <c r="P285" s="225"/>
      <c r="Q285" s="226"/>
      <c r="R285" s="227"/>
      <c r="S285" s="228"/>
    </row>
    <row r="286" spans="1:12" ht="15.75">
      <c r="A286" s="5">
        <v>12</v>
      </c>
      <c r="C286" s="8" t="s">
        <v>46</v>
      </c>
      <c r="D286" s="14" t="s">
        <v>310</v>
      </c>
      <c r="E286" s="23">
        <f>'Workpapapers  (Page 8)'!E7*1000</f>
        <v>13544051.285699999</v>
      </c>
      <c r="F286" s="82">
        <v>0</v>
      </c>
      <c r="G286" s="82"/>
      <c r="H286" s="14">
        <f>E286*F286</f>
        <v>0</v>
      </c>
      <c r="I286" s="14"/>
      <c r="J286" s="14"/>
      <c r="K286" s="14"/>
      <c r="L286" s="19"/>
    </row>
    <row r="287" spans="1:12" ht="15.75">
      <c r="A287" s="5">
        <v>13</v>
      </c>
      <c r="C287" s="8" t="s">
        <v>48</v>
      </c>
      <c r="D287" s="14" t="s">
        <v>311</v>
      </c>
      <c r="E287" s="23">
        <f>'Workpapapers  (Page 8)'!E8*1000</f>
        <v>1611504.5092999998</v>
      </c>
      <c r="F287" s="82">
        <f>+J272</f>
        <v>1</v>
      </c>
      <c r="G287" s="82"/>
      <c r="H287" s="14">
        <f>E287*F287</f>
        <v>1611504.5092999998</v>
      </c>
      <c r="I287" s="14"/>
      <c r="J287" s="14"/>
      <c r="K287" s="14"/>
      <c r="L287" s="19"/>
    </row>
    <row r="288" spans="1:12" ht="15.75">
      <c r="A288" s="5">
        <v>14</v>
      </c>
      <c r="C288" s="8" t="s">
        <v>49</v>
      </c>
      <c r="D288" s="14" t="s">
        <v>312</v>
      </c>
      <c r="E288" s="23">
        <f>'Workpapapers  (Page 8)'!E9*1000</f>
        <v>5635429.591120999</v>
      </c>
      <c r="F288" s="82">
        <v>0</v>
      </c>
      <c r="G288" s="82"/>
      <c r="H288" s="14">
        <f>E288*F288</f>
        <v>0</v>
      </c>
      <c r="I288" s="14"/>
      <c r="J288" s="83" t="s">
        <v>111</v>
      </c>
      <c r="K288" s="14"/>
      <c r="L288" s="19"/>
    </row>
    <row r="289" spans="1:12" ht="16.5" thickBot="1">
      <c r="A289" s="5">
        <v>15</v>
      </c>
      <c r="C289" s="8" t="s">
        <v>112</v>
      </c>
      <c r="D289" s="14" t="s">
        <v>313</v>
      </c>
      <c r="E289" s="46">
        <f>'Workpapapers  (Page 8)'!E10*1000</f>
        <v>2092867.3516999998</v>
      </c>
      <c r="F289" s="82">
        <v>0</v>
      </c>
      <c r="G289" s="82"/>
      <c r="H289" s="24">
        <f>E289*F289</f>
        <v>0</v>
      </c>
      <c r="I289" s="14"/>
      <c r="J289" s="16" t="s">
        <v>113</v>
      </c>
      <c r="K289" s="14"/>
      <c r="L289" s="19"/>
    </row>
    <row r="290" spans="1:12" ht="15.75">
      <c r="A290" s="5">
        <v>16</v>
      </c>
      <c r="C290" s="8" t="s">
        <v>232</v>
      </c>
      <c r="D290" s="14"/>
      <c r="E290" s="14">
        <f>SUM(E286:E289)</f>
        <v>22883852.737820998</v>
      </c>
      <c r="F290" s="14"/>
      <c r="G290" s="14"/>
      <c r="H290" s="14">
        <f>SUM(H286:H289)</f>
        <v>1611504.5092999998</v>
      </c>
      <c r="I290" s="37" t="s">
        <v>114</v>
      </c>
      <c r="J290" s="45">
        <f>IF(H290&gt;0,H290/E290,0)</f>
        <v>0.07042103127313899</v>
      </c>
      <c r="K290" s="80" t="s">
        <v>114</v>
      </c>
      <c r="L290" s="19" t="s">
        <v>224</v>
      </c>
    </row>
    <row r="291" spans="1:12" ht="15.75">
      <c r="A291" s="5"/>
      <c r="C291" s="8"/>
      <c r="D291" s="14"/>
      <c r="E291" s="14"/>
      <c r="F291" s="14"/>
      <c r="G291" s="14"/>
      <c r="H291" s="14"/>
      <c r="I291" s="14"/>
      <c r="J291" s="14"/>
      <c r="K291" s="14"/>
      <c r="L291" s="19"/>
    </row>
    <row r="292" spans="1:12" ht="15.75">
      <c r="A292" s="5"/>
      <c r="C292" s="8" t="s">
        <v>115</v>
      </c>
      <c r="D292" s="14"/>
      <c r="E292" s="14"/>
      <c r="F292" s="14"/>
      <c r="G292" s="14"/>
      <c r="H292" s="14"/>
      <c r="I292" s="14"/>
      <c r="J292" s="14"/>
      <c r="K292" s="14"/>
      <c r="L292" s="19"/>
    </row>
    <row r="293" spans="1:10" ht="15.75">
      <c r="A293" s="5"/>
      <c r="C293" s="8"/>
      <c r="D293" s="14"/>
      <c r="E293" s="40" t="s">
        <v>109</v>
      </c>
      <c r="F293" s="14"/>
      <c r="G293" s="14"/>
      <c r="H293" s="80" t="s">
        <v>116</v>
      </c>
      <c r="I293" s="62" t="s">
        <v>2</v>
      </c>
      <c r="J293" s="47" t="str">
        <f>+J288</f>
        <v>W&amp;S Allocator</v>
      </c>
    </row>
    <row r="294" spans="1:12" ht="15.75">
      <c r="A294" s="5">
        <v>17</v>
      </c>
      <c r="C294" s="8" t="s">
        <v>117</v>
      </c>
      <c r="D294" s="14" t="s">
        <v>118</v>
      </c>
      <c r="E294" s="23">
        <f>'Workpapapers  (Page 8)'!E14*1000000</f>
        <v>2307000000</v>
      </c>
      <c r="F294" s="14"/>
      <c r="H294" s="5" t="s">
        <v>119</v>
      </c>
      <c r="I294" s="84"/>
      <c r="J294" s="5" t="s">
        <v>120</v>
      </c>
      <c r="K294" s="14"/>
      <c r="L294" s="12" t="s">
        <v>121</v>
      </c>
    </row>
    <row r="295" spans="1:12" ht="15.75">
      <c r="A295" s="5">
        <v>18</v>
      </c>
      <c r="C295" s="8" t="s">
        <v>122</v>
      </c>
      <c r="D295" s="14" t="s">
        <v>277</v>
      </c>
      <c r="E295" s="23">
        <f>'Workpapapers  (Page 8)'!E15*1000000</f>
        <v>256000000</v>
      </c>
      <c r="F295" s="14"/>
      <c r="H295" s="21">
        <f>IF(E297&gt;0,E294/E297,0)</f>
        <v>0.9001170503316426</v>
      </c>
      <c r="I295" s="80" t="s">
        <v>123</v>
      </c>
      <c r="J295" s="21">
        <f>J290</f>
        <v>0.07042103127313899</v>
      </c>
      <c r="K295" s="62" t="s">
        <v>114</v>
      </c>
      <c r="L295" s="85">
        <f>J295*H295</f>
        <v>0.06338717095089022</v>
      </c>
    </row>
    <row r="296" spans="1:12" ht="16.5" thickBot="1">
      <c r="A296" s="5">
        <v>19</v>
      </c>
      <c r="C296" s="86" t="s">
        <v>124</v>
      </c>
      <c r="D296" s="24" t="s">
        <v>278</v>
      </c>
      <c r="E296" s="46">
        <v>0</v>
      </c>
      <c r="F296" s="14"/>
      <c r="G296" s="14"/>
      <c r="H296" s="14" t="s">
        <v>2</v>
      </c>
      <c r="I296" s="14"/>
      <c r="J296" s="14"/>
      <c r="K296" s="14"/>
      <c r="L296" s="19"/>
    </row>
    <row r="297" spans="1:12" ht="15.75">
      <c r="A297" s="5">
        <v>20</v>
      </c>
      <c r="C297" s="8" t="s">
        <v>194</v>
      </c>
      <c r="D297" s="14"/>
      <c r="E297" s="14">
        <f>E294+E295+E296</f>
        <v>2563000000</v>
      </c>
      <c r="F297" s="14"/>
      <c r="G297" s="14"/>
      <c r="H297" s="14"/>
      <c r="I297" s="14"/>
      <c r="J297" s="14"/>
      <c r="K297" s="14"/>
      <c r="L297" s="19"/>
    </row>
    <row r="298" spans="1:12" ht="15.75">
      <c r="A298" s="5"/>
      <c r="C298" s="8"/>
      <c r="D298" s="14"/>
      <c r="F298" s="14"/>
      <c r="G298" s="14"/>
      <c r="H298" s="14"/>
      <c r="I298" s="14"/>
      <c r="J298" s="14"/>
      <c r="K298" s="14"/>
      <c r="L298" s="19"/>
    </row>
    <row r="299" spans="1:19" ht="16.5" thickBot="1">
      <c r="A299" s="5"/>
      <c r="B299" s="4"/>
      <c r="C299" s="2" t="s">
        <v>125</v>
      </c>
      <c r="D299" s="14"/>
      <c r="E299" s="14"/>
      <c r="F299" s="14"/>
      <c r="G299" s="14"/>
      <c r="H299" s="14"/>
      <c r="I299" s="14"/>
      <c r="J299" s="81" t="s">
        <v>109</v>
      </c>
      <c r="K299" s="14"/>
      <c r="L299" s="19"/>
      <c r="N299" s="254"/>
      <c r="O299" s="239"/>
      <c r="P299" s="255"/>
      <c r="Q299" s="254"/>
      <c r="R299" s="239"/>
      <c r="S299" s="239"/>
    </row>
    <row r="300" spans="1:19" ht="15.75">
      <c r="A300" s="5">
        <v>21</v>
      </c>
      <c r="B300" s="4"/>
      <c r="C300" s="4"/>
      <c r="D300" s="14" t="s">
        <v>282</v>
      </c>
      <c r="E300" s="14"/>
      <c r="F300" s="14"/>
      <c r="G300" s="14"/>
      <c r="H300" s="14"/>
      <c r="I300" s="14"/>
      <c r="J300" s="87">
        <f>'Workapapers (Page 9)'!E7*1000</f>
        <v>40420950.946666665</v>
      </c>
      <c r="K300" s="14"/>
      <c r="L300" s="19"/>
      <c r="N300" s="254"/>
      <c r="O300" s="239"/>
      <c r="P300" s="255"/>
      <c r="Q300" s="254"/>
      <c r="R300" s="239"/>
      <c r="S300" s="239"/>
    </row>
    <row r="301" spans="1:12" ht="15.75">
      <c r="A301" s="5"/>
      <c r="C301" s="8"/>
      <c r="D301" s="14"/>
      <c r="E301" s="14"/>
      <c r="F301" s="14"/>
      <c r="G301" s="14"/>
      <c r="H301" s="14"/>
      <c r="I301" s="14"/>
      <c r="J301" s="14"/>
      <c r="K301" s="14"/>
      <c r="L301" s="19"/>
    </row>
    <row r="302" spans="1:12" ht="15.75">
      <c r="A302" s="5">
        <v>22</v>
      </c>
      <c r="B302" s="4"/>
      <c r="C302" s="2"/>
      <c r="D302" s="14" t="s">
        <v>126</v>
      </c>
      <c r="E302" s="14"/>
      <c r="F302" s="14"/>
      <c r="G302" s="14"/>
      <c r="H302" s="14"/>
      <c r="I302" s="19"/>
      <c r="J302" s="88">
        <v>0</v>
      </c>
      <c r="K302" s="14"/>
      <c r="L302" s="19"/>
    </row>
    <row r="303" spans="1:12" ht="15.75">
      <c r="A303" s="5"/>
      <c r="B303" s="4"/>
      <c r="C303" s="2"/>
      <c r="D303" s="14"/>
      <c r="E303" s="14"/>
      <c r="F303" s="14"/>
      <c r="G303" s="14"/>
      <c r="H303" s="14"/>
      <c r="I303" s="14"/>
      <c r="J303" s="14"/>
      <c r="K303" s="14"/>
      <c r="L303" s="19"/>
    </row>
    <row r="304" spans="1:12" ht="15.75">
      <c r="A304" s="5"/>
      <c r="B304" s="4"/>
      <c r="C304" s="2" t="s">
        <v>127</v>
      </c>
      <c r="D304" s="14"/>
      <c r="E304" s="14"/>
      <c r="F304" s="14"/>
      <c r="G304" s="14"/>
      <c r="H304" s="14"/>
      <c r="I304" s="14"/>
      <c r="J304" s="14"/>
      <c r="K304" s="14"/>
      <c r="L304" s="19"/>
    </row>
    <row r="305" spans="1:12" ht="15.75">
      <c r="A305" s="5">
        <v>23</v>
      </c>
      <c r="B305" s="4"/>
      <c r="C305" s="2"/>
      <c r="D305" s="14" t="s">
        <v>283</v>
      </c>
      <c r="E305" s="4"/>
      <c r="F305" s="14"/>
      <c r="G305" s="14"/>
      <c r="H305" s="14"/>
      <c r="I305" s="14"/>
      <c r="J305" s="23">
        <f>'Workapapers (Page 9)'!E13*1000</f>
        <v>725333000</v>
      </c>
      <c r="K305" s="14"/>
      <c r="L305" s="19"/>
    </row>
    <row r="306" spans="1:12" ht="15.75">
      <c r="A306" s="5">
        <v>24</v>
      </c>
      <c r="B306" s="4"/>
      <c r="C306" s="2"/>
      <c r="D306" s="14" t="s">
        <v>234</v>
      </c>
      <c r="E306" s="14"/>
      <c r="F306" s="14"/>
      <c r="G306" s="14"/>
      <c r="H306" s="14"/>
      <c r="I306" s="14"/>
      <c r="J306" s="89">
        <f>-E312</f>
        <v>0</v>
      </c>
      <c r="K306" s="14"/>
      <c r="L306" s="19"/>
    </row>
    <row r="307" spans="1:12" ht="16.5" thickBot="1">
      <c r="A307" s="5">
        <v>25</v>
      </c>
      <c r="B307" s="4"/>
      <c r="C307" s="2"/>
      <c r="D307" s="14" t="s">
        <v>284</v>
      </c>
      <c r="E307" s="14"/>
      <c r="F307" s="14"/>
      <c r="G307" s="14"/>
      <c r="H307" s="14"/>
      <c r="I307" s="14"/>
      <c r="J307" s="46">
        <v>0</v>
      </c>
      <c r="K307" s="14"/>
      <c r="L307" s="19"/>
    </row>
    <row r="308" spans="1:12" ht="15.75">
      <c r="A308" s="5">
        <v>26</v>
      </c>
      <c r="B308" s="4"/>
      <c r="C308" s="4"/>
      <c r="D308" s="14" t="s">
        <v>128</v>
      </c>
      <c r="E308" s="4" t="s">
        <v>129</v>
      </c>
      <c r="F308" s="4"/>
      <c r="G308" s="4"/>
      <c r="H308" s="4"/>
      <c r="I308" s="4"/>
      <c r="J308" s="14">
        <f>+J305+J306+J307</f>
        <v>725333000</v>
      </c>
      <c r="K308" s="14"/>
      <c r="L308" s="19"/>
    </row>
    <row r="309" spans="1:12" ht="15.75">
      <c r="A309" s="5"/>
      <c r="C309" s="8"/>
      <c r="D309" s="14"/>
      <c r="E309" s="14"/>
      <c r="F309" s="14"/>
      <c r="G309" s="14"/>
      <c r="H309" s="80" t="s">
        <v>130</v>
      </c>
      <c r="I309" s="14"/>
      <c r="J309" s="14"/>
      <c r="K309" s="14"/>
      <c r="L309" s="19"/>
    </row>
    <row r="310" spans="1:12" ht="16.5" thickBot="1">
      <c r="A310" s="5"/>
      <c r="C310" s="8"/>
      <c r="D310" s="14"/>
      <c r="E310" s="16" t="s">
        <v>109</v>
      </c>
      <c r="F310" s="16" t="s">
        <v>131</v>
      </c>
      <c r="G310" s="14"/>
      <c r="H310" s="16" t="s">
        <v>132</v>
      </c>
      <c r="I310" s="14"/>
      <c r="J310" s="16" t="s">
        <v>133</v>
      </c>
      <c r="K310" s="14"/>
      <c r="L310" s="19"/>
    </row>
    <row r="311" spans="1:11" ht="15.75">
      <c r="A311" s="5">
        <v>27</v>
      </c>
      <c r="C311" s="2" t="s">
        <v>285</v>
      </c>
      <c r="E311" s="23">
        <f>'Workapapers (Page 9)'!E6*1000</f>
        <v>606218437</v>
      </c>
      <c r="F311" s="90">
        <f>IF($E$314&gt;0,E311/$E$314,0)</f>
        <v>0.45527226373306073</v>
      </c>
      <c r="G311" s="91"/>
      <c r="H311" s="91">
        <f>IF(E311&gt;0,J300/E311,0)</f>
        <v>0.06667720491428515</v>
      </c>
      <c r="J311" s="91">
        <f>H311*F311</f>
        <v>0.03035628202071976</v>
      </c>
      <c r="K311" s="92" t="s">
        <v>134</v>
      </c>
    </row>
    <row r="312" spans="1:11" ht="15.75">
      <c r="A312" s="5">
        <v>28</v>
      </c>
      <c r="C312" s="2" t="s">
        <v>286</v>
      </c>
      <c r="E312" s="23">
        <v>0</v>
      </c>
      <c r="F312" s="90">
        <f>IF($E$314&gt;0,E312/$E$314,0)</f>
        <v>0</v>
      </c>
      <c r="G312" s="91"/>
      <c r="H312" s="91">
        <f>IF(E312&gt;0,J302/E312,0)</f>
        <v>0</v>
      </c>
      <c r="J312" s="91">
        <f>H312*F312</f>
        <v>0</v>
      </c>
      <c r="K312" s="14"/>
    </row>
    <row r="313" spans="1:11" ht="16.5" thickBot="1">
      <c r="A313" s="5">
        <v>29</v>
      </c>
      <c r="C313" s="2" t="s">
        <v>135</v>
      </c>
      <c r="E313" s="24">
        <f>J308</f>
        <v>725333000</v>
      </c>
      <c r="F313" s="90">
        <f>IF($E$314&gt;0,E313/$E$314,0)</f>
        <v>0.5447277362669393</v>
      </c>
      <c r="G313" s="91"/>
      <c r="H313" s="93">
        <v>0.1238</v>
      </c>
      <c r="J313" s="256">
        <f>H313*F313</f>
        <v>0.06743729374984708</v>
      </c>
      <c r="K313" s="14"/>
    </row>
    <row r="314" spans="1:11" ht="15.75">
      <c r="A314" s="5">
        <v>30</v>
      </c>
      <c r="C314" s="8" t="s">
        <v>228</v>
      </c>
      <c r="E314" s="14">
        <f>E313+E312+E311</f>
        <v>1331551437</v>
      </c>
      <c r="F314" s="14" t="s">
        <v>2</v>
      </c>
      <c r="G314" s="14"/>
      <c r="H314" s="14"/>
      <c r="I314" s="14"/>
      <c r="J314" s="21">
        <f>SUM(J311:J313)</f>
        <v>0.09779357577056684</v>
      </c>
      <c r="K314" s="92" t="s">
        <v>136</v>
      </c>
    </row>
    <row r="315" spans="6:9" ht="15.75">
      <c r="F315" s="14"/>
      <c r="G315" s="14"/>
      <c r="H315" s="14"/>
      <c r="I315" s="14"/>
    </row>
    <row r="316" spans="1:12" ht="15.75">
      <c r="A316" s="5"/>
      <c r="L316" s="19"/>
    </row>
    <row r="317" spans="1:12" ht="15.75">
      <c r="A317" s="5"/>
      <c r="C317" s="2" t="s">
        <v>137</v>
      </c>
      <c r="D317" s="4"/>
      <c r="E317" s="4"/>
      <c r="F317" s="4"/>
      <c r="G317" s="4"/>
      <c r="H317" s="4"/>
      <c r="I317" s="4"/>
      <c r="J317" s="4"/>
      <c r="K317" s="4"/>
      <c r="L317" s="26"/>
    </row>
    <row r="318" spans="1:11" ht="16.5" thickBot="1">
      <c r="A318" s="5"/>
      <c r="C318" s="2"/>
      <c r="D318" s="2"/>
      <c r="E318" s="2"/>
      <c r="F318" s="2"/>
      <c r="G318" s="2"/>
      <c r="H318" s="2"/>
      <c r="I318" s="2"/>
      <c r="J318" s="16" t="s">
        <v>195</v>
      </c>
      <c r="K318" s="94"/>
    </row>
    <row r="319" spans="1:11" ht="15.75">
      <c r="A319" s="5"/>
      <c r="C319" s="2" t="s">
        <v>138</v>
      </c>
      <c r="D319" s="4"/>
      <c r="E319" s="4" t="s">
        <v>139</v>
      </c>
      <c r="F319" s="4" t="s">
        <v>140</v>
      </c>
      <c r="G319" s="4"/>
      <c r="H319" s="95" t="s">
        <v>2</v>
      </c>
      <c r="I319" s="96"/>
      <c r="J319" s="97"/>
      <c r="K319" s="97"/>
    </row>
    <row r="320" spans="1:11" ht="15.75">
      <c r="A320" s="5">
        <v>31</v>
      </c>
      <c r="C320" s="1" t="s">
        <v>185</v>
      </c>
      <c r="D320" s="4"/>
      <c r="E320" s="4"/>
      <c r="G320" s="4"/>
      <c r="I320" s="96"/>
      <c r="J320" s="98">
        <v>0</v>
      </c>
      <c r="K320" s="99"/>
    </row>
    <row r="321" spans="1:11" ht="16.5" thickBot="1">
      <c r="A321" s="5">
        <v>32</v>
      </c>
      <c r="C321" s="50" t="s">
        <v>230</v>
      </c>
      <c r="D321" s="100"/>
      <c r="E321" s="50"/>
      <c r="F321" s="101"/>
      <c r="G321" s="101"/>
      <c r="H321" s="101"/>
      <c r="I321" s="4"/>
      <c r="J321" s="102">
        <v>0</v>
      </c>
      <c r="K321" s="103"/>
    </row>
    <row r="322" spans="1:15" ht="15.75">
      <c r="A322" s="5">
        <v>33</v>
      </c>
      <c r="C322" s="1" t="s">
        <v>141</v>
      </c>
      <c r="D322" s="10"/>
      <c r="F322" s="4"/>
      <c r="G322" s="4"/>
      <c r="H322" s="4"/>
      <c r="I322" s="4"/>
      <c r="J322" s="104">
        <f>+J320-J321</f>
        <v>0</v>
      </c>
      <c r="K322" s="99"/>
      <c r="N322" s="257"/>
      <c r="O322" s="257"/>
    </row>
    <row r="323" spans="1:15" ht="15.75">
      <c r="A323" s="5"/>
      <c r="C323" s="1" t="s">
        <v>2</v>
      </c>
      <c r="D323" s="10"/>
      <c r="F323" s="4"/>
      <c r="G323" s="4"/>
      <c r="H323" s="35"/>
      <c r="I323" s="4"/>
      <c r="J323" s="105" t="s">
        <v>2</v>
      </c>
      <c r="K323" s="97"/>
      <c r="L323" s="106"/>
      <c r="N323" s="257"/>
      <c r="O323" s="257"/>
    </row>
    <row r="324" spans="1:15" ht="15.75">
      <c r="A324" s="5">
        <v>34</v>
      </c>
      <c r="C324" s="2" t="s">
        <v>142</v>
      </c>
      <c r="D324" s="10"/>
      <c r="F324" s="4"/>
      <c r="G324" s="4"/>
      <c r="H324" s="107"/>
      <c r="I324" s="4"/>
      <c r="J324" s="108">
        <v>0</v>
      </c>
      <c r="K324" s="97"/>
      <c r="L324" s="106"/>
      <c r="N324" s="258" t="s">
        <v>497</v>
      </c>
      <c r="O324" s="257"/>
    </row>
    <row r="325" spans="1:15" ht="15.75">
      <c r="A325" s="5"/>
      <c r="D325" s="4"/>
      <c r="E325" s="4"/>
      <c r="F325" s="4"/>
      <c r="G325" s="4"/>
      <c r="H325" s="4"/>
      <c r="I325" s="4"/>
      <c r="J325" s="105"/>
      <c r="K325" s="97"/>
      <c r="L325" s="106"/>
      <c r="N325" s="259"/>
      <c r="O325" s="257"/>
    </row>
    <row r="326" spans="3:15" ht="15.75">
      <c r="C326" s="2" t="s">
        <v>294</v>
      </c>
      <c r="D326" s="4"/>
      <c r="E326" s="4" t="s">
        <v>279</v>
      </c>
      <c r="F326" s="4"/>
      <c r="G326" s="4"/>
      <c r="H326" s="4"/>
      <c r="I326" s="4"/>
      <c r="L326" s="109"/>
      <c r="N326" s="259"/>
      <c r="O326" s="257"/>
    </row>
    <row r="327" spans="1:15" ht="15.75">
      <c r="A327" s="5">
        <v>35</v>
      </c>
      <c r="C327" s="2" t="s">
        <v>143</v>
      </c>
      <c r="D327" s="14"/>
      <c r="E327" s="14"/>
      <c r="F327" s="14"/>
      <c r="G327" s="14"/>
      <c r="H327" s="14"/>
      <c r="I327" s="14"/>
      <c r="J327" s="110">
        <f>+'Workpapers (Page 11)'!C11+'Workpapers (Page 11)'!C14+'Workpapers (Page 11)'!C15+'Workpapers (Page 11)'!C16</f>
        <v>22376017.294706516</v>
      </c>
      <c r="K327" s="111"/>
      <c r="L327" s="109"/>
      <c r="N327" s="258" t="s">
        <v>498</v>
      </c>
      <c r="O327" s="257"/>
    </row>
    <row r="328" spans="1:15" ht="15.75">
      <c r="A328" s="5">
        <v>36</v>
      </c>
      <c r="C328" s="260" t="s">
        <v>229</v>
      </c>
      <c r="D328" s="261"/>
      <c r="E328" s="261"/>
      <c r="F328" s="261"/>
      <c r="G328" s="261"/>
      <c r="H328" s="4"/>
      <c r="I328" s="4"/>
      <c r="J328" s="110">
        <f>+'Workpapers (Page 11)'!C22+'Workpapers (Page 11)'!C14+'Workpapers (Page 11)'!C15+'Workpapers (Page 11)'!C16</f>
        <v>3144723.291686724</v>
      </c>
      <c r="L328" s="113"/>
      <c r="N328" s="258" t="s">
        <v>499</v>
      </c>
      <c r="O328" s="257"/>
    </row>
    <row r="329" spans="1:15" s="96" customFormat="1" ht="16.5" thickBot="1">
      <c r="A329" s="5" t="s">
        <v>500</v>
      </c>
      <c r="B329" s="1"/>
      <c r="C329" s="262" t="s">
        <v>501</v>
      </c>
      <c r="D329" s="263"/>
      <c r="E329" s="263"/>
      <c r="F329" s="263"/>
      <c r="G329" s="263"/>
      <c r="H329" s="263"/>
      <c r="I329" s="4"/>
      <c r="J329" s="112">
        <f>'Workpapers (Page 11)'!C25</f>
        <v>17645427.7851693</v>
      </c>
      <c r="L329" s="264"/>
      <c r="N329" s="265"/>
      <c r="O329" s="266"/>
    </row>
    <row r="330" spans="1:15" ht="15.75">
      <c r="A330" s="5">
        <v>37</v>
      </c>
      <c r="C330" s="1" t="s">
        <v>502</v>
      </c>
      <c r="D330" s="5"/>
      <c r="E330" s="14"/>
      <c r="F330" s="14"/>
      <c r="G330" s="14"/>
      <c r="H330" s="14"/>
      <c r="I330" s="4"/>
      <c r="J330" s="115">
        <f>+J327-J329-J328</f>
        <v>1585866.2178504923</v>
      </c>
      <c r="K330" s="111"/>
      <c r="L330" s="116"/>
      <c r="N330" s="257"/>
      <c r="O330" s="257"/>
    </row>
    <row r="331" spans="1:15" ht="15.75">
      <c r="A331" s="5"/>
      <c r="C331" s="114"/>
      <c r="D331" s="5"/>
      <c r="E331" s="14"/>
      <c r="F331" s="14"/>
      <c r="G331" s="14"/>
      <c r="H331" s="14"/>
      <c r="I331" s="4"/>
      <c r="J331" s="115"/>
      <c r="K331" s="111"/>
      <c r="L331" s="116"/>
      <c r="N331" s="257"/>
      <c r="O331" s="257"/>
    </row>
    <row r="332" spans="1:15" ht="15.75">
      <c r="A332" s="5"/>
      <c r="C332" s="114"/>
      <c r="D332" s="5"/>
      <c r="E332" s="14"/>
      <c r="F332" s="14"/>
      <c r="G332" s="14"/>
      <c r="H332" s="14"/>
      <c r="I332" s="4"/>
      <c r="J332" s="115"/>
      <c r="K332" s="111"/>
      <c r="L332" s="116"/>
      <c r="N332" s="257"/>
      <c r="O332" s="257"/>
    </row>
    <row r="333" spans="1:15" ht="15.75">
      <c r="A333" s="2" t="s">
        <v>460</v>
      </c>
      <c r="C333" s="8"/>
      <c r="D333" s="14"/>
      <c r="E333" s="52"/>
      <c r="F333" s="14"/>
      <c r="G333" s="14"/>
      <c r="H333" s="47"/>
      <c r="I333" s="14"/>
      <c r="J333" s="52"/>
      <c r="K333" s="19"/>
      <c r="L333" s="53" t="s">
        <v>482</v>
      </c>
      <c r="N333" s="257"/>
      <c r="O333" s="257"/>
    </row>
    <row r="334" spans="1:12" ht="15.75">
      <c r="A334" s="2" t="s">
        <v>483</v>
      </c>
      <c r="C334" s="58"/>
      <c r="D334" s="14"/>
      <c r="E334" s="52"/>
      <c r="F334" s="14"/>
      <c r="G334" s="14"/>
      <c r="H334" s="47"/>
      <c r="I334" s="14"/>
      <c r="J334" s="52"/>
      <c r="K334" s="14"/>
      <c r="L334" s="53"/>
    </row>
    <row r="335" spans="1:12" ht="15.75">
      <c r="A335" s="352"/>
      <c r="B335" s="353"/>
      <c r="C335" s="353"/>
      <c r="D335" s="353"/>
      <c r="E335" s="353"/>
      <c r="F335" s="353"/>
      <c r="G335" s="353"/>
      <c r="H335" s="353"/>
      <c r="I335" s="353"/>
      <c r="J335" s="353"/>
      <c r="K335" s="353"/>
      <c r="L335" s="353"/>
    </row>
    <row r="336" spans="1:12" ht="15.75">
      <c r="A336" s="353"/>
      <c r="B336" s="353"/>
      <c r="C336" s="353"/>
      <c r="D336" s="353"/>
      <c r="E336" s="353"/>
      <c r="F336" s="353"/>
      <c r="G336" s="353"/>
      <c r="H336" s="353"/>
      <c r="I336" s="353"/>
      <c r="J336" s="353"/>
      <c r="K336" s="353"/>
      <c r="L336" s="353"/>
    </row>
    <row r="337" spans="1:12" ht="15.75">
      <c r="A337" s="1" t="s">
        <v>272</v>
      </c>
      <c r="C337" s="2"/>
      <c r="D337" s="2"/>
      <c r="E337" s="3"/>
      <c r="F337" s="2"/>
      <c r="G337" s="2"/>
      <c r="H337" s="2"/>
      <c r="I337" s="4"/>
      <c r="J337" s="5"/>
      <c r="K337" s="5"/>
      <c r="L337" s="6" t="s">
        <v>503</v>
      </c>
    </row>
    <row r="338" spans="1:12" ht="15.75">
      <c r="A338" s="1" t="s">
        <v>474</v>
      </c>
      <c r="C338" s="2"/>
      <c r="D338" s="2"/>
      <c r="E338" s="3"/>
      <c r="F338" s="2"/>
      <c r="G338" s="2"/>
      <c r="H338" s="2"/>
      <c r="I338" s="4"/>
      <c r="J338" s="7"/>
      <c r="K338" s="7"/>
      <c r="L338" s="6" t="s">
        <v>504</v>
      </c>
    </row>
    <row r="339" spans="3:12" ht="15.75">
      <c r="C339" s="2"/>
      <c r="D339" s="2"/>
      <c r="E339" s="3"/>
      <c r="F339" s="2"/>
      <c r="G339" s="2"/>
      <c r="H339" s="2"/>
      <c r="I339" s="4"/>
      <c r="J339" s="4"/>
      <c r="L339" s="9" t="s">
        <v>266</v>
      </c>
    </row>
    <row r="340" spans="3:12" ht="15.75">
      <c r="C340" s="2"/>
      <c r="D340" s="2"/>
      <c r="E340" s="3"/>
      <c r="F340" s="2"/>
      <c r="G340" s="2"/>
      <c r="H340" s="2"/>
      <c r="I340" s="4"/>
      <c r="J340" s="4"/>
      <c r="K340" s="10"/>
      <c r="L340" s="36" t="s">
        <v>271</v>
      </c>
    </row>
    <row r="341" spans="3:12" ht="15.75">
      <c r="C341" s="2"/>
      <c r="D341" s="2"/>
      <c r="E341" s="3"/>
      <c r="F341" s="2"/>
      <c r="G341" s="2"/>
      <c r="H341" s="2"/>
      <c r="I341" s="4"/>
      <c r="J341" s="4"/>
      <c r="K341" s="10"/>
      <c r="L341" s="36"/>
    </row>
    <row r="342" spans="3:12" ht="15.75">
      <c r="C342" s="2" t="s">
        <v>0</v>
      </c>
      <c r="D342" s="2"/>
      <c r="E342" s="3" t="s">
        <v>1</v>
      </c>
      <c r="F342" s="2"/>
      <c r="G342" s="2"/>
      <c r="H342" s="2"/>
      <c r="I342" s="4"/>
      <c r="J342" s="236" t="str">
        <f>J7</f>
        <v>For the 12 months ended 12/31/11</v>
      </c>
      <c r="K342" s="237"/>
      <c r="L342" s="237"/>
    </row>
    <row r="343" spans="3:12" ht="15.75">
      <c r="C343" s="2"/>
      <c r="D343" s="14" t="s">
        <v>2</v>
      </c>
      <c r="E343" s="14" t="s">
        <v>3</v>
      </c>
      <c r="F343" s="14"/>
      <c r="G343" s="14"/>
      <c r="H343" s="14"/>
      <c r="I343" s="4"/>
      <c r="J343" s="4"/>
      <c r="K343" s="10"/>
      <c r="L343" s="13"/>
    </row>
    <row r="344" spans="1:12" ht="15.75">
      <c r="A344" s="5"/>
      <c r="B344" s="4"/>
      <c r="C344" s="114"/>
      <c r="D344" s="5"/>
      <c r="E344" s="14"/>
      <c r="F344" s="14"/>
      <c r="G344" s="14"/>
      <c r="H344" s="14"/>
      <c r="I344" s="4"/>
      <c r="J344" s="117"/>
      <c r="K344" s="97"/>
      <c r="L344" s="116"/>
    </row>
    <row r="345" spans="1:12" ht="15.75">
      <c r="A345" s="5"/>
      <c r="B345" s="4"/>
      <c r="C345" s="114"/>
      <c r="D345" s="5"/>
      <c r="E345" s="305" t="s">
        <v>476</v>
      </c>
      <c r="F345" s="14"/>
      <c r="G345" s="14"/>
      <c r="H345" s="14"/>
      <c r="I345" s="4"/>
      <c r="J345" s="117"/>
      <c r="K345" s="97"/>
      <c r="L345" s="116"/>
    </row>
    <row r="346" spans="1:12" ht="15.75">
      <c r="A346" s="5"/>
      <c r="B346" s="4"/>
      <c r="C346" s="114"/>
      <c r="D346" s="5"/>
      <c r="E346" s="14"/>
      <c r="F346" s="14"/>
      <c r="G346" s="14"/>
      <c r="H346" s="14"/>
      <c r="I346" s="4"/>
      <c r="J346" s="117"/>
      <c r="K346" s="97"/>
      <c r="L346" s="116"/>
    </row>
    <row r="347" spans="1:12" ht="15.75">
      <c r="A347" s="5"/>
      <c r="B347" s="4"/>
      <c r="C347" s="2" t="s">
        <v>144</v>
      </c>
      <c r="D347" s="5"/>
      <c r="E347" s="14"/>
      <c r="F347" s="14"/>
      <c r="G347" s="14"/>
      <c r="H347" s="14"/>
      <c r="I347" s="4"/>
      <c r="J347" s="14"/>
      <c r="K347" s="4"/>
      <c r="L347" s="19"/>
    </row>
    <row r="348" spans="1:12" ht="15.75">
      <c r="A348" s="5"/>
      <c r="B348" s="4"/>
      <c r="C348" s="2" t="s">
        <v>145</v>
      </c>
      <c r="D348" s="5"/>
      <c r="E348" s="14"/>
      <c r="F348" s="14"/>
      <c r="G348" s="14"/>
      <c r="H348" s="14"/>
      <c r="I348" s="4"/>
      <c r="J348" s="14"/>
      <c r="K348" s="4"/>
      <c r="L348" s="19"/>
    </row>
    <row r="349" spans="1:12" ht="15.75">
      <c r="A349" s="5" t="s">
        <v>146</v>
      </c>
      <c r="B349" s="4"/>
      <c r="C349" s="2"/>
      <c r="D349" s="4"/>
      <c r="E349" s="14"/>
      <c r="F349" s="14"/>
      <c r="G349" s="14"/>
      <c r="H349" s="14"/>
      <c r="I349" s="4"/>
      <c r="J349" s="14"/>
      <c r="K349" s="4"/>
      <c r="L349" s="19"/>
    </row>
    <row r="350" spans="1:12" ht="16.5" thickBot="1">
      <c r="A350" s="16" t="s">
        <v>147</v>
      </c>
      <c r="B350" s="4"/>
      <c r="C350" s="2"/>
      <c r="D350" s="4"/>
      <c r="E350" s="14"/>
      <c r="F350" s="14"/>
      <c r="G350" s="14"/>
      <c r="H350" s="14"/>
      <c r="I350" s="4"/>
      <c r="J350" s="14"/>
      <c r="K350" s="4"/>
      <c r="L350" s="19"/>
    </row>
    <row r="351" spans="1:12" ht="15.75">
      <c r="A351" s="5" t="s">
        <v>148</v>
      </c>
      <c r="B351" s="4"/>
      <c r="C351" s="70" t="s">
        <v>248</v>
      </c>
      <c r="D351" s="26"/>
      <c r="E351" s="19"/>
      <c r="F351" s="19"/>
      <c r="G351" s="19"/>
      <c r="H351" s="19"/>
      <c r="I351" s="26"/>
      <c r="J351" s="19"/>
      <c r="K351" s="26"/>
      <c r="L351" s="19"/>
    </row>
    <row r="352" spans="1:12" ht="15.75">
      <c r="A352" s="5" t="s">
        <v>149</v>
      </c>
      <c r="B352" s="4"/>
      <c r="C352" s="70" t="s">
        <v>249</v>
      </c>
      <c r="D352" s="26"/>
      <c r="E352" s="19"/>
      <c r="F352" s="19"/>
      <c r="G352" s="19"/>
      <c r="H352" s="19"/>
      <c r="I352" s="26"/>
      <c r="J352" s="19"/>
      <c r="K352" s="26"/>
      <c r="L352" s="19"/>
    </row>
    <row r="353" spans="1:12" ht="15.75">
      <c r="A353" s="5" t="s">
        <v>150</v>
      </c>
      <c r="B353" s="4"/>
      <c r="C353" s="70" t="s">
        <v>250</v>
      </c>
      <c r="D353" s="26"/>
      <c r="E353" s="26"/>
      <c r="F353" s="26"/>
      <c r="G353" s="26"/>
      <c r="H353" s="26"/>
      <c r="I353" s="26"/>
      <c r="J353" s="19"/>
      <c r="K353" s="26"/>
      <c r="L353" s="26"/>
    </row>
    <row r="354" spans="1:12" ht="15.75">
      <c r="A354" s="5" t="s">
        <v>151</v>
      </c>
      <c r="B354" s="4"/>
      <c r="C354" s="70" t="s">
        <v>250</v>
      </c>
      <c r="D354" s="26"/>
      <c r="E354" s="26"/>
      <c r="F354" s="26"/>
      <c r="G354" s="26"/>
      <c r="H354" s="26"/>
      <c r="I354" s="26"/>
      <c r="J354" s="19"/>
      <c r="K354" s="26"/>
      <c r="L354" s="26"/>
    </row>
    <row r="355" spans="1:12" ht="15.75">
      <c r="A355" s="5" t="s">
        <v>152</v>
      </c>
      <c r="B355" s="4"/>
      <c r="C355" s="26" t="s">
        <v>239</v>
      </c>
      <c r="D355" s="26"/>
      <c r="E355" s="26"/>
      <c r="F355" s="26"/>
      <c r="G355" s="26"/>
      <c r="H355" s="26"/>
      <c r="I355" s="26"/>
      <c r="J355" s="26"/>
      <c r="K355" s="26"/>
      <c r="L355" s="26"/>
    </row>
    <row r="356" spans="1:12" ht="15.75">
      <c r="A356" s="5" t="s">
        <v>153</v>
      </c>
      <c r="B356" s="4"/>
      <c r="C356" s="26" t="s">
        <v>154</v>
      </c>
      <c r="D356" s="26"/>
      <c r="E356" s="26"/>
      <c r="F356" s="26"/>
      <c r="G356" s="26"/>
      <c r="H356" s="26"/>
      <c r="I356" s="26"/>
      <c r="J356" s="26"/>
      <c r="K356" s="26"/>
      <c r="L356" s="26"/>
    </row>
    <row r="357" spans="1:12" ht="15.75">
      <c r="A357" s="5"/>
      <c r="B357" s="4"/>
      <c r="C357" s="26" t="s">
        <v>201</v>
      </c>
      <c r="D357" s="26"/>
      <c r="E357" s="26"/>
      <c r="F357" s="26"/>
      <c r="G357" s="26"/>
      <c r="H357" s="26"/>
      <c r="I357" s="26"/>
      <c r="J357" s="26"/>
      <c r="K357" s="26"/>
      <c r="L357" s="26"/>
    </row>
    <row r="358" spans="1:12" ht="15.75">
      <c r="A358" s="5"/>
      <c r="B358" s="4"/>
      <c r="C358" s="26" t="s">
        <v>247</v>
      </c>
      <c r="D358" s="26"/>
      <c r="E358" s="26"/>
      <c r="F358" s="26"/>
      <c r="G358" s="26"/>
      <c r="H358" s="26"/>
      <c r="I358" s="26"/>
      <c r="J358" s="26"/>
      <c r="K358" s="26"/>
      <c r="L358" s="26"/>
    </row>
    <row r="359" spans="1:12" ht="15.75">
      <c r="A359" s="5" t="s">
        <v>155</v>
      </c>
      <c r="B359" s="4"/>
      <c r="C359" s="26" t="s">
        <v>156</v>
      </c>
      <c r="D359" s="26"/>
      <c r="E359" s="26"/>
      <c r="F359" s="26"/>
      <c r="G359" s="26"/>
      <c r="H359" s="26"/>
      <c r="I359" s="26"/>
      <c r="J359" s="26"/>
      <c r="K359" s="26"/>
      <c r="L359" s="26"/>
    </row>
    <row r="360" spans="1:12" ht="15.75">
      <c r="A360" s="5" t="s">
        <v>157</v>
      </c>
      <c r="B360" s="4"/>
      <c r="C360" s="26" t="s">
        <v>158</v>
      </c>
      <c r="D360" s="26"/>
      <c r="E360" s="26"/>
      <c r="F360" s="26"/>
      <c r="G360" s="26"/>
      <c r="H360" s="26"/>
      <c r="I360" s="26"/>
      <c r="J360" s="26"/>
      <c r="K360" s="26"/>
      <c r="L360" s="26"/>
    </row>
    <row r="361" spans="1:12" ht="15.75">
      <c r="A361" s="5"/>
      <c r="B361" s="4"/>
      <c r="C361" s="26" t="s">
        <v>290</v>
      </c>
      <c r="D361" s="26"/>
      <c r="E361" s="26"/>
      <c r="F361" s="26"/>
      <c r="G361" s="26"/>
      <c r="H361" s="26"/>
      <c r="I361" s="26"/>
      <c r="J361" s="26"/>
      <c r="K361" s="26"/>
      <c r="L361" s="26"/>
    </row>
    <row r="362" spans="1:12" ht="15.75">
      <c r="A362" s="5" t="s">
        <v>159</v>
      </c>
      <c r="B362" s="4"/>
      <c r="C362" s="26" t="s">
        <v>245</v>
      </c>
      <c r="D362" s="26"/>
      <c r="E362" s="26"/>
      <c r="F362" s="26"/>
      <c r="G362" s="26"/>
      <c r="H362" s="26"/>
      <c r="I362" s="26"/>
      <c r="J362" s="26"/>
      <c r="K362" s="26"/>
      <c r="L362" s="26"/>
    </row>
    <row r="363" spans="1:12" ht="15.75">
      <c r="A363" s="5"/>
      <c r="B363" s="4"/>
      <c r="C363" s="11" t="s">
        <v>264</v>
      </c>
      <c r="D363" s="26"/>
      <c r="E363" s="26"/>
      <c r="F363" s="26"/>
      <c r="G363" s="26"/>
      <c r="H363" s="26"/>
      <c r="I363" s="26"/>
      <c r="J363" s="26"/>
      <c r="K363" s="26"/>
      <c r="L363" s="26"/>
    </row>
    <row r="364" spans="1:12" ht="15.75">
      <c r="A364" s="5"/>
      <c r="B364" s="4"/>
      <c r="C364" s="26" t="s">
        <v>246</v>
      </c>
      <c r="D364" s="26"/>
      <c r="E364" s="26"/>
      <c r="F364" s="26"/>
      <c r="G364" s="26"/>
      <c r="H364" s="26"/>
      <c r="I364" s="26"/>
      <c r="J364" s="26"/>
      <c r="K364" s="26"/>
      <c r="L364" s="26"/>
    </row>
    <row r="365" spans="1:12" ht="15.75">
      <c r="A365" s="5" t="s">
        <v>160</v>
      </c>
      <c r="B365" s="4"/>
      <c r="C365" s="26" t="s">
        <v>161</v>
      </c>
      <c r="D365" s="26"/>
      <c r="E365" s="26"/>
      <c r="F365" s="26"/>
      <c r="G365" s="26"/>
      <c r="H365" s="26"/>
      <c r="I365" s="26"/>
      <c r="J365" s="26"/>
      <c r="K365" s="26"/>
      <c r="L365" s="26"/>
    </row>
    <row r="366" spans="1:12" ht="15.75">
      <c r="A366" s="5"/>
      <c r="B366" s="4"/>
      <c r="C366" s="26" t="s">
        <v>240</v>
      </c>
      <c r="D366" s="26"/>
      <c r="E366" s="26"/>
      <c r="F366" s="26"/>
      <c r="G366" s="26"/>
      <c r="H366" s="26"/>
      <c r="I366" s="26"/>
      <c r="J366" s="26"/>
      <c r="K366" s="26"/>
      <c r="L366" s="26"/>
    </row>
    <row r="367" spans="1:12" ht="15.75">
      <c r="A367" s="5"/>
      <c r="B367" s="4"/>
      <c r="C367" s="26" t="s">
        <v>257</v>
      </c>
      <c r="D367" s="26"/>
      <c r="E367" s="26"/>
      <c r="F367" s="26"/>
      <c r="G367" s="26"/>
      <c r="H367" s="26"/>
      <c r="I367" s="26"/>
      <c r="J367" s="26"/>
      <c r="K367" s="26"/>
      <c r="L367" s="26"/>
    </row>
    <row r="368" spans="1:12" ht="15.75">
      <c r="A368" s="5" t="s">
        <v>162</v>
      </c>
      <c r="B368" s="4"/>
      <c r="C368" s="26" t="s">
        <v>184</v>
      </c>
      <c r="D368" s="26"/>
      <c r="E368" s="26"/>
      <c r="F368" s="26"/>
      <c r="G368" s="26"/>
      <c r="H368" s="26"/>
      <c r="I368" s="26"/>
      <c r="J368" s="26"/>
      <c r="K368" s="26"/>
      <c r="L368" s="26"/>
    </row>
    <row r="369" spans="1:12" ht="15.75">
      <c r="A369" s="5"/>
      <c r="B369" s="4"/>
      <c r="C369" s="26" t="s">
        <v>202</v>
      </c>
      <c r="D369" s="26"/>
      <c r="E369" s="26"/>
      <c r="F369" s="26"/>
      <c r="G369" s="26"/>
      <c r="H369" s="26"/>
      <c r="I369" s="26"/>
      <c r="J369" s="26"/>
      <c r="K369" s="26"/>
      <c r="L369" s="26"/>
    </row>
    <row r="370" spans="1:12" ht="15.75">
      <c r="A370" s="5"/>
      <c r="B370" s="4"/>
      <c r="C370" s="26" t="s">
        <v>203</v>
      </c>
      <c r="D370" s="26"/>
      <c r="E370" s="26"/>
      <c r="F370" s="26"/>
      <c r="G370" s="26"/>
      <c r="H370" s="26"/>
      <c r="I370" s="26"/>
      <c r="J370" s="26"/>
      <c r="K370" s="26"/>
      <c r="L370" s="26"/>
    </row>
    <row r="371" spans="1:12" ht="15.75">
      <c r="A371" s="5"/>
      <c r="B371" s="4"/>
      <c r="C371" s="26" t="s">
        <v>204</v>
      </c>
      <c r="D371" s="26"/>
      <c r="E371" s="26"/>
      <c r="F371" s="26"/>
      <c r="G371" s="26"/>
      <c r="H371" s="26"/>
      <c r="I371" s="26"/>
      <c r="J371" s="26"/>
      <c r="K371" s="26"/>
      <c r="L371" s="26"/>
    </row>
    <row r="372" spans="1:12" ht="15.75">
      <c r="A372" s="5"/>
      <c r="B372" s="4"/>
      <c r="C372" s="26" t="s">
        <v>205</v>
      </c>
      <c r="D372" s="26"/>
      <c r="E372" s="26"/>
      <c r="F372" s="26"/>
      <c r="G372" s="26"/>
      <c r="H372" s="26"/>
      <c r="I372" s="26"/>
      <c r="J372" s="26"/>
      <c r="K372" s="26"/>
      <c r="L372" s="26"/>
    </row>
    <row r="373" spans="1:12" ht="15.75">
      <c r="A373" s="5"/>
      <c r="B373" s="4"/>
      <c r="C373" s="26" t="s">
        <v>220</v>
      </c>
      <c r="D373" s="26"/>
      <c r="E373" s="26"/>
      <c r="F373" s="26"/>
      <c r="G373" s="26"/>
      <c r="H373" s="26"/>
      <c r="I373" s="26"/>
      <c r="J373" s="26"/>
      <c r="K373" s="26"/>
      <c r="L373" s="26"/>
    </row>
    <row r="374" spans="1:12" ht="15.75">
      <c r="A374" s="5" t="s">
        <v>2</v>
      </c>
      <c r="B374" s="4"/>
      <c r="C374" s="26" t="s">
        <v>219</v>
      </c>
      <c r="D374" s="26" t="s">
        <v>206</v>
      </c>
      <c r="E374" s="119">
        <v>0.35</v>
      </c>
      <c r="F374" s="26"/>
      <c r="G374" s="26"/>
      <c r="H374" s="26"/>
      <c r="I374" s="26"/>
      <c r="J374" s="26"/>
      <c r="K374" s="26"/>
      <c r="L374" s="26"/>
    </row>
    <row r="375" spans="1:14" ht="15.75">
      <c r="A375" s="5"/>
      <c r="B375" s="4"/>
      <c r="C375" s="26"/>
      <c r="D375" s="26" t="s">
        <v>207</v>
      </c>
      <c r="E375" s="119">
        <v>0.085</v>
      </c>
      <c r="F375" s="26" t="s">
        <v>208</v>
      </c>
      <c r="G375" s="26"/>
      <c r="H375" s="26"/>
      <c r="I375" s="26"/>
      <c r="J375" s="26"/>
      <c r="K375" s="26"/>
      <c r="L375" s="26"/>
      <c r="N375" s="267" t="s">
        <v>505</v>
      </c>
    </row>
    <row r="376" spans="1:12" ht="15.75">
      <c r="A376" s="5"/>
      <c r="B376" s="4"/>
      <c r="C376" s="26"/>
      <c r="D376" s="26" t="s">
        <v>209</v>
      </c>
      <c r="E376" s="119">
        <v>0</v>
      </c>
      <c r="F376" s="26" t="s">
        <v>210</v>
      </c>
      <c r="G376" s="26"/>
      <c r="H376" s="26"/>
      <c r="I376" s="26"/>
      <c r="J376" s="26"/>
      <c r="K376" s="26"/>
      <c r="L376" s="26"/>
    </row>
    <row r="377" spans="1:12" ht="15.75">
      <c r="A377" s="5" t="s">
        <v>163</v>
      </c>
      <c r="B377" s="4"/>
      <c r="C377" s="26" t="s">
        <v>295</v>
      </c>
      <c r="D377" s="26"/>
      <c r="E377" s="26"/>
      <c r="F377" s="26"/>
      <c r="G377" s="26"/>
      <c r="H377" s="26"/>
      <c r="I377" s="26"/>
      <c r="J377" s="123"/>
      <c r="K377" s="123"/>
      <c r="L377" s="26"/>
    </row>
    <row r="378" spans="1:12" ht="15.75">
      <c r="A378" s="5" t="s">
        <v>164</v>
      </c>
      <c r="B378" s="4"/>
      <c r="C378" s="26" t="s">
        <v>165</v>
      </c>
      <c r="D378" s="26"/>
      <c r="E378" s="26"/>
      <c r="F378" s="26"/>
      <c r="G378" s="26"/>
      <c r="H378" s="26"/>
      <c r="I378" s="26"/>
      <c r="J378" s="26"/>
      <c r="K378" s="26"/>
      <c r="L378" s="26"/>
    </row>
    <row r="379" spans="1:12" ht="15.75">
      <c r="A379" s="5"/>
      <c r="B379" s="4"/>
      <c r="C379" s="26" t="s">
        <v>166</v>
      </c>
      <c r="D379" s="26"/>
      <c r="E379" s="26"/>
      <c r="F379" s="26"/>
      <c r="G379" s="26"/>
      <c r="H379" s="26"/>
      <c r="I379" s="26"/>
      <c r="J379" s="26"/>
      <c r="K379" s="26"/>
      <c r="L379" s="26"/>
    </row>
    <row r="380" spans="1:12" ht="15.75">
      <c r="A380" s="5" t="s">
        <v>167</v>
      </c>
      <c r="B380" s="4"/>
      <c r="C380" s="26" t="s">
        <v>233</v>
      </c>
      <c r="D380" s="26"/>
      <c r="E380" s="26"/>
      <c r="F380" s="26"/>
      <c r="G380" s="26"/>
      <c r="H380" s="26"/>
      <c r="I380" s="26"/>
      <c r="J380" s="26"/>
      <c r="K380" s="26"/>
      <c r="L380" s="26"/>
    </row>
    <row r="381" spans="1:12" ht="15.75">
      <c r="A381" s="5"/>
      <c r="B381" s="4"/>
      <c r="C381" s="26" t="s">
        <v>506</v>
      </c>
      <c r="D381" s="26"/>
      <c r="E381" s="26"/>
      <c r="F381" s="26"/>
      <c r="G381" s="26"/>
      <c r="H381" s="26"/>
      <c r="I381" s="26"/>
      <c r="J381" s="26"/>
      <c r="K381" s="26"/>
      <c r="L381" s="26"/>
    </row>
    <row r="382" spans="1:12" ht="15.75">
      <c r="A382" s="5"/>
      <c r="B382" s="4"/>
      <c r="C382" s="26" t="s">
        <v>265</v>
      </c>
      <c r="D382" s="26"/>
      <c r="E382" s="26"/>
      <c r="F382" s="26"/>
      <c r="G382" s="26"/>
      <c r="H382" s="26"/>
      <c r="I382" s="26"/>
      <c r="J382" s="26"/>
      <c r="K382" s="26"/>
      <c r="L382" s="26"/>
    </row>
    <row r="383" spans="1:12" ht="15.75">
      <c r="A383" s="5" t="s">
        <v>168</v>
      </c>
      <c r="B383" s="4"/>
      <c r="C383" s="26" t="s">
        <v>231</v>
      </c>
      <c r="D383" s="26"/>
      <c r="E383" s="26"/>
      <c r="F383" s="26"/>
      <c r="G383" s="26"/>
      <c r="H383" s="26"/>
      <c r="I383" s="26"/>
      <c r="J383" s="26"/>
      <c r="K383" s="26"/>
      <c r="L383" s="26"/>
    </row>
    <row r="384" spans="1:12" ht="15.75">
      <c r="A384" s="5" t="s">
        <v>169</v>
      </c>
      <c r="B384" s="4"/>
      <c r="C384" s="26" t="s">
        <v>170</v>
      </c>
      <c r="D384" s="26"/>
      <c r="E384" s="26"/>
      <c r="F384" s="26"/>
      <c r="G384" s="26"/>
      <c r="H384" s="26"/>
      <c r="I384" s="26"/>
      <c r="J384" s="26"/>
      <c r="K384" s="26"/>
      <c r="L384" s="26"/>
    </row>
    <row r="385" spans="1:12" ht="15.75">
      <c r="A385" s="5"/>
      <c r="B385" s="4"/>
      <c r="C385" s="26" t="s">
        <v>171</v>
      </c>
      <c r="D385" s="26"/>
      <c r="E385" s="26"/>
      <c r="F385" s="26"/>
      <c r="G385" s="26"/>
      <c r="H385" s="26"/>
      <c r="I385" s="26"/>
      <c r="J385" s="26"/>
      <c r="K385" s="26"/>
      <c r="L385" s="26"/>
    </row>
    <row r="386" spans="1:12" ht="15.75">
      <c r="A386" s="5"/>
      <c r="B386" s="4"/>
      <c r="C386" s="26" t="s">
        <v>172</v>
      </c>
      <c r="D386" s="26"/>
      <c r="E386" s="26"/>
      <c r="F386" s="26"/>
      <c r="G386" s="26"/>
      <c r="H386" s="26"/>
      <c r="I386" s="26"/>
      <c r="J386" s="26"/>
      <c r="K386" s="26"/>
      <c r="L386" s="26"/>
    </row>
    <row r="387" spans="1:12" ht="15.75">
      <c r="A387" s="5" t="s">
        <v>173</v>
      </c>
      <c r="B387" s="4"/>
      <c r="C387" s="26" t="s">
        <v>196</v>
      </c>
      <c r="D387" s="26"/>
      <c r="E387" s="26"/>
      <c r="F387" s="26"/>
      <c r="G387" s="26"/>
      <c r="H387" s="26"/>
      <c r="I387" s="26"/>
      <c r="J387" s="26"/>
      <c r="K387" s="26"/>
      <c r="L387" s="26"/>
    </row>
    <row r="388" spans="1:12" ht="15.75">
      <c r="A388" s="5"/>
      <c r="B388" s="4"/>
      <c r="C388" s="26" t="s">
        <v>297</v>
      </c>
      <c r="D388" s="26"/>
      <c r="E388" s="26"/>
      <c r="F388" s="26"/>
      <c r="G388" s="26"/>
      <c r="H388" s="26"/>
      <c r="I388" s="26"/>
      <c r="J388" s="26"/>
      <c r="K388" s="26"/>
      <c r="L388" s="26"/>
    </row>
    <row r="389" spans="1:12" ht="15.75">
      <c r="A389" s="5" t="s">
        <v>174</v>
      </c>
      <c r="B389" s="4"/>
      <c r="C389" s="26" t="s">
        <v>175</v>
      </c>
      <c r="D389" s="26"/>
      <c r="E389" s="26"/>
      <c r="F389" s="26"/>
      <c r="G389" s="26"/>
      <c r="H389" s="26"/>
      <c r="I389" s="26"/>
      <c r="J389" s="26"/>
      <c r="K389" s="26"/>
      <c r="L389" s="26"/>
    </row>
    <row r="390" spans="1:12" ht="15.75">
      <c r="A390" s="5" t="s">
        <v>241</v>
      </c>
      <c r="B390" s="4"/>
      <c r="C390" s="26" t="s">
        <v>242</v>
      </c>
      <c r="D390" s="26"/>
      <c r="E390" s="26"/>
      <c r="F390" s="26"/>
      <c r="G390" s="26"/>
      <c r="H390" s="26"/>
      <c r="I390" s="26"/>
      <c r="J390" s="26"/>
      <c r="K390" s="26"/>
      <c r="L390" s="26"/>
    </row>
    <row r="391" spans="2:12" ht="15.75">
      <c r="B391" s="4"/>
      <c r="C391" s="26" t="s">
        <v>291</v>
      </c>
      <c r="D391" s="26"/>
      <c r="E391" s="26"/>
      <c r="F391" s="26"/>
      <c r="G391" s="26"/>
      <c r="H391" s="26"/>
      <c r="I391" s="26"/>
      <c r="J391" s="26"/>
      <c r="K391" s="26"/>
      <c r="L391" s="26"/>
    </row>
    <row r="392" spans="3:12" ht="15.75">
      <c r="C392" s="13" t="s">
        <v>243</v>
      </c>
      <c r="D392" s="13"/>
      <c r="E392" s="13"/>
      <c r="F392" s="13"/>
      <c r="G392" s="13"/>
      <c r="H392" s="13"/>
      <c r="I392" s="13"/>
      <c r="J392" s="13"/>
      <c r="K392" s="13"/>
      <c r="L392" s="13"/>
    </row>
    <row r="393" spans="1:12" ht="15.75">
      <c r="A393" s="32" t="s">
        <v>252</v>
      </c>
      <c r="C393" s="13" t="s">
        <v>253</v>
      </c>
      <c r="D393" s="13"/>
      <c r="E393" s="13"/>
      <c r="F393" s="13"/>
      <c r="G393" s="13"/>
      <c r="H393" s="13"/>
      <c r="I393" s="13"/>
      <c r="J393" s="13"/>
      <c r="K393" s="13"/>
      <c r="L393" s="13"/>
    </row>
    <row r="394" spans="3:12" ht="15.75">
      <c r="C394" s="13" t="s">
        <v>254</v>
      </c>
      <c r="D394" s="118"/>
      <c r="E394" s="13"/>
      <c r="F394" s="13"/>
      <c r="G394" s="13"/>
      <c r="H394" s="13"/>
      <c r="I394" s="13"/>
      <c r="J394" s="13"/>
      <c r="K394" s="13"/>
      <c r="L394" s="13"/>
    </row>
    <row r="395" spans="3:12" ht="15.75">
      <c r="C395" s="13" t="s">
        <v>256</v>
      </c>
      <c r="D395" s="13"/>
      <c r="E395" s="13"/>
      <c r="F395" s="13"/>
      <c r="G395" s="13"/>
      <c r="H395" s="13"/>
      <c r="I395" s="13"/>
      <c r="J395" s="13"/>
      <c r="K395" s="13"/>
      <c r="L395" s="13"/>
    </row>
    <row r="396" spans="3:12" ht="15.75">
      <c r="C396" s="13" t="s">
        <v>255</v>
      </c>
      <c r="D396" s="13"/>
      <c r="E396" s="118"/>
      <c r="F396" s="13"/>
      <c r="G396" s="13"/>
      <c r="H396" s="13"/>
      <c r="I396" s="13"/>
      <c r="J396" s="13"/>
      <c r="K396" s="13"/>
      <c r="L396" s="13"/>
    </row>
    <row r="397" spans="1:12" ht="15.75">
      <c r="A397" s="32" t="s">
        <v>280</v>
      </c>
      <c r="C397" s="13" t="s">
        <v>296</v>
      </c>
      <c r="D397" s="10"/>
      <c r="E397" s="10"/>
      <c r="F397" s="10"/>
      <c r="G397" s="10"/>
      <c r="H397" s="10"/>
      <c r="I397" s="10"/>
      <c r="J397" s="13"/>
      <c r="K397" s="13"/>
      <c r="L397" s="13"/>
    </row>
    <row r="398" spans="1:12" s="11" customFormat="1" ht="15.75">
      <c r="A398" s="122" t="s">
        <v>298</v>
      </c>
      <c r="C398" s="13" t="s">
        <v>299</v>
      </c>
      <c r="D398" s="13"/>
      <c r="E398" s="13"/>
      <c r="F398" s="13"/>
      <c r="G398" s="13"/>
      <c r="H398" s="13"/>
      <c r="I398" s="13"/>
      <c r="J398" s="13"/>
      <c r="K398" s="13"/>
      <c r="L398" s="13"/>
    </row>
    <row r="399" spans="1:12" s="11" customFormat="1" ht="15.75">
      <c r="A399" s="122"/>
      <c r="C399" s="13" t="s">
        <v>300</v>
      </c>
      <c r="D399" s="13"/>
      <c r="E399" s="13"/>
      <c r="F399" s="13"/>
      <c r="G399" s="13"/>
      <c r="H399" s="13"/>
      <c r="I399" s="13"/>
      <c r="J399" s="13"/>
      <c r="K399" s="13"/>
      <c r="L399" s="13"/>
    </row>
    <row r="400" spans="1:13" ht="15.75">
      <c r="A400" s="122" t="s">
        <v>321</v>
      </c>
      <c r="B400" s="11"/>
      <c r="C400" s="13" t="s">
        <v>408</v>
      </c>
      <c r="D400" s="13"/>
      <c r="E400" s="13"/>
      <c r="F400" s="13"/>
      <c r="G400" s="13"/>
      <c r="H400" s="13"/>
      <c r="I400" s="13"/>
      <c r="J400" s="13"/>
      <c r="K400" s="268"/>
      <c r="L400" s="269"/>
      <c r="M400" s="243"/>
    </row>
    <row r="401" spans="1:13" ht="15.75">
      <c r="A401" s="122"/>
      <c r="B401" s="11"/>
      <c r="C401" s="13" t="s">
        <v>409</v>
      </c>
      <c r="D401" s="13"/>
      <c r="E401" s="13"/>
      <c r="F401" s="13"/>
      <c r="G401" s="13"/>
      <c r="H401" s="13"/>
      <c r="I401" s="13"/>
      <c r="J401" s="13"/>
      <c r="K401" s="268"/>
      <c r="L401" s="269"/>
      <c r="M401" s="243"/>
    </row>
    <row r="402" spans="1:13" ht="15.75">
      <c r="A402" s="122"/>
      <c r="B402" s="11"/>
      <c r="C402" s="13" t="s">
        <v>410</v>
      </c>
      <c r="D402" s="13"/>
      <c r="E402" s="13"/>
      <c r="F402" s="13"/>
      <c r="G402" s="13"/>
      <c r="H402" s="13"/>
      <c r="I402" s="13"/>
      <c r="J402" s="13"/>
      <c r="K402" s="268"/>
      <c r="L402" s="269"/>
      <c r="M402" s="243"/>
    </row>
    <row r="403" spans="1:12" ht="15.75">
      <c r="A403" s="122" t="s">
        <v>322</v>
      </c>
      <c r="B403" s="11"/>
      <c r="C403" s="13" t="s">
        <v>507</v>
      </c>
      <c r="D403" s="13"/>
      <c r="E403" s="13"/>
      <c r="F403" s="13"/>
      <c r="G403" s="13"/>
      <c r="H403" s="13"/>
      <c r="I403" s="13"/>
      <c r="J403" s="13"/>
      <c r="K403" s="13"/>
      <c r="L403" s="13"/>
    </row>
    <row r="404" spans="1:12" ht="15.75">
      <c r="A404" s="122" t="s">
        <v>323</v>
      </c>
      <c r="B404" s="11"/>
      <c r="C404" s="13" t="s">
        <v>508</v>
      </c>
      <c r="D404" s="13"/>
      <c r="E404" s="13"/>
      <c r="F404" s="13"/>
      <c r="G404" s="13"/>
      <c r="H404" s="13"/>
      <c r="I404" s="13"/>
      <c r="J404" s="13"/>
      <c r="K404" s="13"/>
      <c r="L404" s="13"/>
    </row>
    <row r="405" spans="1:12" ht="15.75">
      <c r="A405" s="122" t="s">
        <v>407</v>
      </c>
      <c r="B405" s="11"/>
      <c r="C405" s="13" t="s">
        <v>415</v>
      </c>
      <c r="D405" s="13"/>
      <c r="E405" s="13"/>
      <c r="F405" s="13"/>
      <c r="G405" s="13"/>
      <c r="H405" s="13"/>
      <c r="I405" s="13"/>
      <c r="J405" s="13"/>
      <c r="K405" s="13"/>
      <c r="L405" s="13"/>
    </row>
    <row r="406" spans="1:12" ht="15.75">
      <c r="A406" s="122"/>
      <c r="B406" s="11"/>
      <c r="C406" s="13" t="s">
        <v>428</v>
      </c>
      <c r="D406" s="13"/>
      <c r="E406" s="13" t="s">
        <v>324</v>
      </c>
      <c r="F406" s="13"/>
      <c r="G406" s="321">
        <v>943916.6666</v>
      </c>
      <c r="H406" s="13"/>
      <c r="I406" s="13"/>
      <c r="J406" s="13"/>
      <c r="K406" s="13"/>
      <c r="L406" s="13"/>
    </row>
    <row r="407" spans="1:12" ht="15.75">
      <c r="A407" s="122"/>
      <c r="B407" s="11"/>
      <c r="C407" s="13" t="s">
        <v>429</v>
      </c>
      <c r="D407" s="13"/>
      <c r="E407" s="13" t="s">
        <v>324</v>
      </c>
      <c r="F407" s="154"/>
      <c r="G407" s="322">
        <v>1057167</v>
      </c>
      <c r="H407" s="13"/>
      <c r="I407" s="13"/>
      <c r="J407" s="13"/>
      <c r="K407" s="13"/>
      <c r="L407" s="13"/>
    </row>
    <row r="408" spans="1:12" ht="15.75">
      <c r="A408" s="122"/>
      <c r="B408" s="11"/>
      <c r="C408" s="13" t="s">
        <v>430</v>
      </c>
      <c r="D408" s="13"/>
      <c r="E408" s="13"/>
      <c r="F408" s="270"/>
      <c r="G408" s="22">
        <f>+G407-G406</f>
        <v>113250.3334</v>
      </c>
      <c r="H408" s="13"/>
      <c r="I408" s="13"/>
      <c r="J408" s="13"/>
      <c r="K408" s="13"/>
      <c r="L408" s="13"/>
    </row>
    <row r="409" spans="1:12" ht="15.75">
      <c r="A409" s="122"/>
      <c r="B409" s="11"/>
      <c r="C409" s="13" t="s">
        <v>431</v>
      </c>
      <c r="D409" s="13"/>
      <c r="E409" s="13" t="s">
        <v>325</v>
      </c>
      <c r="F409" s="13"/>
      <c r="G409" s="155">
        <v>25.02133</v>
      </c>
      <c r="H409" s="13"/>
      <c r="I409" s="13"/>
      <c r="J409" s="13"/>
      <c r="K409" s="13"/>
      <c r="L409" s="13"/>
    </row>
    <row r="410" spans="1:12" ht="15.75">
      <c r="A410" s="122"/>
      <c r="B410" s="11"/>
      <c r="C410" s="13" t="s">
        <v>432</v>
      </c>
      <c r="D410" s="13"/>
      <c r="E410" s="13"/>
      <c r="F410" s="13"/>
      <c r="G410" s="321">
        <f>+G408*G409</f>
        <v>2833673.964611422</v>
      </c>
      <c r="H410" s="13"/>
      <c r="I410" s="13"/>
      <c r="J410" s="13"/>
      <c r="K410" s="13"/>
      <c r="L410" s="13"/>
    </row>
    <row r="411" spans="1:12" s="272" customFormat="1" ht="15.75">
      <c r="A411" s="32" t="s">
        <v>509</v>
      </c>
      <c r="B411" s="1"/>
      <c r="C411" s="13" t="s">
        <v>510</v>
      </c>
      <c r="D411" s="10"/>
      <c r="E411" s="10"/>
      <c r="F411" s="10"/>
      <c r="G411" s="10"/>
      <c r="H411" s="10"/>
      <c r="I411" s="10"/>
      <c r="J411" s="13"/>
      <c r="K411" s="271"/>
      <c r="L411" s="271"/>
    </row>
    <row r="412" spans="1:12" s="272" customFormat="1" ht="15.75">
      <c r="A412" s="32"/>
      <c r="B412" s="1"/>
      <c r="C412" s="13" t="s">
        <v>511</v>
      </c>
      <c r="D412" s="10"/>
      <c r="E412" s="10"/>
      <c r="F412" s="10"/>
      <c r="G412" s="10"/>
      <c r="H412" s="10"/>
      <c r="I412" s="10"/>
      <c r="J412" s="13"/>
      <c r="K412" s="271"/>
      <c r="L412" s="271"/>
    </row>
    <row r="413" spans="1:12" s="272" customFormat="1" ht="15.75">
      <c r="A413" s="32" t="s">
        <v>512</v>
      </c>
      <c r="B413" s="1"/>
      <c r="C413" s="13" t="s">
        <v>513</v>
      </c>
      <c r="D413" s="10"/>
      <c r="E413" s="10"/>
      <c r="F413" s="10"/>
      <c r="G413" s="10"/>
      <c r="H413" s="10"/>
      <c r="I413" s="10"/>
      <c r="J413" s="13"/>
      <c r="K413" s="271"/>
      <c r="L413" s="271"/>
    </row>
    <row r="414" spans="1:12" s="272" customFormat="1" ht="15.75">
      <c r="A414" s="32"/>
      <c r="B414" s="1"/>
      <c r="C414" s="13" t="s">
        <v>514</v>
      </c>
      <c r="D414" s="10"/>
      <c r="E414" s="10"/>
      <c r="F414" s="10"/>
      <c r="G414" s="10"/>
      <c r="H414" s="10"/>
      <c r="I414" s="10"/>
      <c r="J414" s="13"/>
      <c r="K414" s="271"/>
      <c r="L414" s="271"/>
    </row>
    <row r="415" spans="1:12" ht="15.75">
      <c r="A415" s="32"/>
      <c r="C415" s="13"/>
      <c r="D415" s="10"/>
      <c r="E415" s="10"/>
      <c r="F415" s="10"/>
      <c r="G415" s="10"/>
      <c r="H415" s="10"/>
      <c r="I415" s="10"/>
      <c r="J415" s="13"/>
      <c r="K415" s="13"/>
      <c r="L415" s="13"/>
    </row>
    <row r="416" spans="1:12" ht="15.75">
      <c r="A416" s="32"/>
      <c r="C416" s="13"/>
      <c r="D416" s="10"/>
      <c r="E416" s="10"/>
      <c r="F416" s="10"/>
      <c r="G416" s="10"/>
      <c r="H416" s="10"/>
      <c r="I416" s="10"/>
      <c r="J416" s="13"/>
      <c r="K416" s="13"/>
      <c r="L416" s="13"/>
    </row>
    <row r="417" spans="1:12" ht="15.75">
      <c r="A417" s="32"/>
      <c r="C417" s="13"/>
      <c r="D417" s="10"/>
      <c r="E417" s="10"/>
      <c r="F417" s="10"/>
      <c r="G417" s="10"/>
      <c r="H417" s="10"/>
      <c r="I417" s="10"/>
      <c r="J417" s="13"/>
      <c r="K417" s="13"/>
      <c r="L417" s="13"/>
    </row>
    <row r="418" spans="1:12" ht="15.75">
      <c r="A418" s="32"/>
      <c r="C418" s="13"/>
      <c r="D418" s="10"/>
      <c r="E418" s="10"/>
      <c r="F418" s="10"/>
      <c r="G418" s="10"/>
      <c r="H418" s="10"/>
      <c r="I418" s="10"/>
      <c r="J418" s="13"/>
      <c r="K418" s="13"/>
      <c r="L418" s="13"/>
    </row>
    <row r="419" spans="1:12" ht="15.75">
      <c r="A419" s="2" t="s">
        <v>460</v>
      </c>
      <c r="C419" s="8"/>
      <c r="D419" s="14"/>
      <c r="E419" s="52"/>
      <c r="F419" s="14"/>
      <c r="G419" s="14"/>
      <c r="H419" s="47"/>
      <c r="I419" s="14"/>
      <c r="J419" s="52"/>
      <c r="K419" s="14"/>
      <c r="L419" s="53" t="s">
        <v>482</v>
      </c>
    </row>
    <row r="420" spans="1:12" ht="15.75">
      <c r="A420" s="2" t="s">
        <v>483</v>
      </c>
      <c r="C420" s="8"/>
      <c r="D420" s="14"/>
      <c r="E420" s="52"/>
      <c r="F420" s="14"/>
      <c r="G420" s="14"/>
      <c r="H420" s="47"/>
      <c r="I420" s="14"/>
      <c r="J420" s="52"/>
      <c r="K420" s="14"/>
      <c r="L420" s="48"/>
    </row>
    <row r="421" spans="3:12" ht="15.75">
      <c r="C421" s="10"/>
      <c r="D421" s="10"/>
      <c r="E421" s="10"/>
      <c r="F421" s="10"/>
      <c r="G421" s="10"/>
      <c r="H421" s="10"/>
      <c r="I421" s="10"/>
      <c r="J421" s="10"/>
      <c r="K421" s="10"/>
      <c r="L421" s="13"/>
    </row>
    <row r="422" spans="3:12" ht="15.75">
      <c r="C422" s="10"/>
      <c r="D422" s="10"/>
      <c r="E422" s="10"/>
      <c r="F422" s="10"/>
      <c r="G422" s="10"/>
      <c r="H422" s="10"/>
      <c r="I422" s="10"/>
      <c r="J422" s="10"/>
      <c r="K422" s="10"/>
      <c r="L422" s="13"/>
    </row>
    <row r="423" spans="3:12" ht="15.75">
      <c r="C423" s="10"/>
      <c r="D423" s="10"/>
      <c r="E423" s="10"/>
      <c r="F423" s="10"/>
      <c r="G423" s="10"/>
      <c r="H423" s="10"/>
      <c r="I423" s="10"/>
      <c r="J423" s="10"/>
      <c r="K423" s="10"/>
      <c r="L423" s="13"/>
    </row>
    <row r="424" ht="15.75">
      <c r="C424" s="11"/>
    </row>
  </sheetData>
  <sheetProtection/>
  <mergeCells count="4">
    <mergeCell ref="A171:L171"/>
    <mergeCell ref="A252:L253"/>
    <mergeCell ref="N275:S275"/>
    <mergeCell ref="A335:L336"/>
  </mergeCells>
  <printOptions/>
  <pageMargins left="0.7" right="0.7" top="0.75" bottom="0.75" header="0.3" footer="0.3"/>
  <pageSetup horizontalDpi="600" verticalDpi="600" orientation="portrait" scale="43" r:id="rId1"/>
  <rowBreaks count="4" manualBreakCount="4">
    <brk id="87" max="11" man="1"/>
    <brk id="171" max="11" man="1"/>
    <brk id="253" max="11" man="1"/>
    <brk id="336" max="11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76"/>
  <sheetViews>
    <sheetView zoomScale="80" zoomScaleNormal="80" zoomScalePageLayoutView="0" workbookViewId="0" topLeftCell="A154">
      <selection activeCell="C52" sqref="C52"/>
    </sheetView>
  </sheetViews>
  <sheetFormatPr defaultColWidth="8.88671875" defaultRowHeight="15"/>
  <cols>
    <col min="1" max="1" width="6.5546875" style="157" customWidth="1"/>
    <col min="2" max="2" width="23.3359375" style="157" customWidth="1"/>
    <col min="3" max="4" width="18.77734375" style="157" customWidth="1"/>
    <col min="5" max="5" width="16.21484375" style="157" bestFit="1" customWidth="1"/>
    <col min="6" max="7" width="18.77734375" style="157" customWidth="1"/>
    <col min="8" max="8" width="12.6640625" style="157" bestFit="1" customWidth="1"/>
    <col min="9" max="9" width="16.77734375" style="157" bestFit="1" customWidth="1"/>
    <col min="10" max="10" width="14.21484375" style="157" bestFit="1" customWidth="1"/>
    <col min="11" max="11" width="13.6640625" style="157" bestFit="1" customWidth="1"/>
    <col min="12" max="12" width="15.3359375" style="157" bestFit="1" customWidth="1"/>
    <col min="13" max="16384" width="8.88671875" style="157" customWidth="1"/>
  </cols>
  <sheetData>
    <row r="1" ht="18">
      <c r="A1" s="158" t="s">
        <v>397</v>
      </c>
    </row>
    <row r="2" ht="17.25">
      <c r="A2" s="157" t="s">
        <v>327</v>
      </c>
    </row>
    <row r="3" ht="17.25">
      <c r="A3" s="157" t="s">
        <v>532</v>
      </c>
    </row>
    <row r="4" ht="18">
      <c r="A4" s="158"/>
    </row>
    <row r="5" ht="17.25">
      <c r="B5" s="157" t="s">
        <v>332</v>
      </c>
    </row>
    <row r="6" spans="3:10" ht="39.75" customHeight="1">
      <c r="C6" s="159" t="s">
        <v>328</v>
      </c>
      <c r="D6" s="159" t="s">
        <v>40</v>
      </c>
      <c r="E6" s="159" t="s">
        <v>329</v>
      </c>
      <c r="F6" s="160" t="s">
        <v>333</v>
      </c>
      <c r="G6" s="343" t="s">
        <v>330</v>
      </c>
      <c r="H6" s="201"/>
      <c r="I6" s="201"/>
      <c r="J6" s="344"/>
    </row>
    <row r="7" spans="2:10" ht="17.25">
      <c r="B7" s="161">
        <v>40513</v>
      </c>
      <c r="C7" s="282">
        <f>+'[1]Workpapers (Pages 1 to 5)'!$C$19</f>
        <v>1362128897</v>
      </c>
      <c r="D7" s="282">
        <f>+'[1]Workpapers (Pages 1 to 5)'!$D$19</f>
        <v>357821105</v>
      </c>
      <c r="E7" s="282">
        <v>501899716.1266878</v>
      </c>
      <c r="F7" s="282">
        <v>30323491.94420179</v>
      </c>
      <c r="G7" s="282">
        <v>51458793.475848846</v>
      </c>
      <c r="H7" s="201"/>
      <c r="I7" s="201"/>
      <c r="J7" s="345"/>
    </row>
    <row r="8" spans="2:10" ht="17.25">
      <c r="B8" s="161">
        <v>40544</v>
      </c>
      <c r="C8" s="282">
        <v>1367325040.8017259</v>
      </c>
      <c r="D8" s="282">
        <f>+D7+438664.86+'[2]14-RECB CWIP'!$V$37</f>
        <v>358559769.86</v>
      </c>
      <c r="E8" s="282">
        <v>502533662.6114006</v>
      </c>
      <c r="F8" s="282">
        <v>30346484.541384205</v>
      </c>
      <c r="G8" s="282">
        <v>51540573.4497391</v>
      </c>
      <c r="H8" s="201"/>
      <c r="I8" s="201"/>
      <c r="J8" s="201"/>
    </row>
    <row r="9" spans="2:10" ht="17.25">
      <c r="B9" s="161">
        <v>40575</v>
      </c>
      <c r="C9" s="282">
        <v>1368559280.4421313</v>
      </c>
      <c r="D9" s="282">
        <v>358705991.4862674</v>
      </c>
      <c r="E9" s="282">
        <v>503797698.8484712</v>
      </c>
      <c r="F9" s="282">
        <v>30350697.057999313</v>
      </c>
      <c r="G9" s="282">
        <v>51543924.442018166</v>
      </c>
      <c r="H9" s="201"/>
      <c r="I9" s="201"/>
      <c r="J9" s="201"/>
    </row>
    <row r="10" spans="2:10" ht="17.25">
      <c r="B10" s="161">
        <v>40603</v>
      </c>
      <c r="C10" s="282">
        <v>1369582977.944124</v>
      </c>
      <c r="D10" s="282">
        <v>359071545.5401845</v>
      </c>
      <c r="E10" s="282">
        <v>505583093.3414032</v>
      </c>
      <c r="F10" s="282">
        <v>30817346.72537625</v>
      </c>
      <c r="G10" s="282">
        <v>51562530.66092429</v>
      </c>
      <c r="H10" s="201"/>
      <c r="I10" s="201"/>
      <c r="J10" s="201"/>
    </row>
    <row r="11" spans="2:7" ht="17.25">
      <c r="B11" s="161">
        <v>40634</v>
      </c>
      <c r="C11" s="282">
        <v>1371560620.34337</v>
      </c>
      <c r="D11" s="282">
        <v>359290877.9725348</v>
      </c>
      <c r="E11" s="282">
        <v>507034431.754303</v>
      </c>
      <c r="F11" s="282">
        <v>31258140.777965084</v>
      </c>
      <c r="G11" s="282">
        <v>51567178.17686225</v>
      </c>
    </row>
    <row r="12" spans="2:7" ht="17.25">
      <c r="B12" s="161">
        <v>40664</v>
      </c>
      <c r="C12" s="282">
        <v>1373660014.3895688</v>
      </c>
      <c r="D12" s="282">
        <v>359363988.7833183</v>
      </c>
      <c r="E12" s="282">
        <v>508341611.0011941</v>
      </c>
      <c r="F12" s="282">
        <v>31709069.616858505</v>
      </c>
      <c r="G12" s="282">
        <v>51794169.134805545</v>
      </c>
    </row>
    <row r="13" spans="2:7" ht="17.25">
      <c r="B13" s="161">
        <v>40695</v>
      </c>
      <c r="C13" s="282">
        <v>1375238364.5966177</v>
      </c>
      <c r="D13" s="282">
        <v>360168207.70193595</v>
      </c>
      <c r="E13" s="282">
        <v>515179139.8655497</v>
      </c>
      <c r="F13" s="282">
        <v>31773174.07950075</v>
      </c>
      <c r="G13" s="282">
        <v>52245984.84677839</v>
      </c>
    </row>
    <row r="14" spans="2:7" ht="17.25">
      <c r="B14" s="161">
        <v>40725</v>
      </c>
      <c r="C14" s="282">
        <v>1375238364.5966177</v>
      </c>
      <c r="D14" s="282">
        <v>360899315.8097702</v>
      </c>
      <c r="E14" s="282">
        <v>516444631.3679435</v>
      </c>
      <c r="F14" s="282">
        <v>31775526.43812464</v>
      </c>
      <c r="G14" s="282">
        <v>52249312.775661014</v>
      </c>
    </row>
    <row r="15" spans="2:7" ht="17.25">
      <c r="B15" s="161">
        <v>40756</v>
      </c>
      <c r="C15" s="282">
        <v>1379670432.2475545</v>
      </c>
      <c r="D15" s="282">
        <v>362288421.2146553</v>
      </c>
      <c r="E15" s="282">
        <v>518798364.1702429</v>
      </c>
      <c r="F15" s="282">
        <v>31785253.57869172</v>
      </c>
      <c r="G15" s="282">
        <v>52250960.320869684</v>
      </c>
    </row>
    <row r="16" spans="2:7" ht="17.25">
      <c r="B16" s="161">
        <v>40787</v>
      </c>
      <c r="C16" s="282">
        <v>1381083384.7614517</v>
      </c>
      <c r="D16" s="282">
        <v>362727086.07935584</v>
      </c>
      <c r="E16" s="282">
        <v>519763223.2331251</v>
      </c>
      <c r="F16" s="282">
        <v>31797807.028100498</v>
      </c>
      <c r="G16" s="282">
        <v>52331132.195400834</v>
      </c>
    </row>
    <row r="17" spans="2:7" ht="17.25">
      <c r="B17" s="161">
        <v>40817</v>
      </c>
      <c r="C17" s="282">
        <v>1381083406.327042</v>
      </c>
      <c r="D17" s="282">
        <v>362727086.07935584</v>
      </c>
      <c r="E17" s="282">
        <v>520683652.1167335</v>
      </c>
      <c r="F17" s="282">
        <v>31809134.77755429</v>
      </c>
      <c r="G17" s="282">
        <v>52341724.25069639</v>
      </c>
    </row>
    <row r="18" spans="2:7" ht="17.25">
      <c r="B18" s="161">
        <v>40848</v>
      </c>
      <c r="C18" s="282">
        <v>1383751176.2136557</v>
      </c>
      <c r="D18" s="282">
        <v>364189302.2950243</v>
      </c>
      <c r="E18" s="282">
        <v>523800018.5457286</v>
      </c>
      <c r="F18" s="282">
        <v>31840799.73900825</v>
      </c>
      <c r="G18" s="282">
        <v>52342163.65653791</v>
      </c>
    </row>
    <row r="19" spans="2:7" ht="17.25">
      <c r="B19" s="161">
        <v>40878</v>
      </c>
      <c r="C19" s="341">
        <v>1388240251.9676914</v>
      </c>
      <c r="D19" s="304">
        <v>365432186.07834256</v>
      </c>
      <c r="E19" s="304">
        <v>529100793.48003525</v>
      </c>
      <c r="F19" s="304">
        <v>33350128.01591583</v>
      </c>
      <c r="G19" s="304">
        <v>52802011.21983996</v>
      </c>
    </row>
    <row r="20" spans="2:7" ht="17.25">
      <c r="B20" s="161"/>
      <c r="C20" s="163"/>
      <c r="D20" s="163"/>
      <c r="E20" s="163"/>
      <c r="F20" s="163"/>
      <c r="G20" s="163"/>
    </row>
    <row r="21" spans="2:7" ht="17.25">
      <c r="B21" s="164" t="s">
        <v>331</v>
      </c>
      <c r="C21" s="165">
        <f>SUM(C7:C19)/13</f>
        <v>1375163247.0485806</v>
      </c>
      <c r="D21" s="165">
        <f>SUM(D7:D19)/13</f>
        <v>360864991.069288</v>
      </c>
      <c r="E21" s="165">
        <f>SUM(E7:E19)/13</f>
        <v>513304618.1894475</v>
      </c>
      <c r="F21" s="165">
        <f>SUM(F7:F19)/13</f>
        <v>31456696.486206237</v>
      </c>
      <c r="G21" s="165">
        <f>SUM(G7:G19)/13</f>
        <v>52002342.96969095</v>
      </c>
    </row>
    <row r="22" ht="17.25"/>
    <row r="23" ht="17.25"/>
    <row r="24" spans="9:12" ht="17.25">
      <c r="I24" s="201"/>
      <c r="J24" s="201"/>
      <c r="K24" s="201"/>
      <c r="L24" s="201"/>
    </row>
    <row r="25" spans="2:12" ht="17.25">
      <c r="B25" s="157" t="s">
        <v>416</v>
      </c>
      <c r="I25" s="201"/>
      <c r="J25" s="201"/>
      <c r="K25" s="201"/>
      <c r="L25" s="201"/>
    </row>
    <row r="26" spans="3:12" ht="17.25">
      <c r="C26" s="159" t="s">
        <v>328</v>
      </c>
      <c r="D26" s="159" t="s">
        <v>40</v>
      </c>
      <c r="E26" s="159" t="s">
        <v>329</v>
      </c>
      <c r="F26" s="160" t="s">
        <v>333</v>
      </c>
      <c r="G26" s="159" t="s">
        <v>330</v>
      </c>
      <c r="I26" s="344"/>
      <c r="J26" s="344"/>
      <c r="K26" s="201"/>
      <c r="L26" s="201"/>
    </row>
    <row r="27" spans="2:12" ht="17.25">
      <c r="B27" s="161">
        <v>40513</v>
      </c>
      <c r="C27" s="301">
        <f>-'[1]Workpapers (Pages 1 to 5)'!C39</f>
        <v>664731157.0439972</v>
      </c>
      <c r="D27" s="301">
        <f>-'[1]Workpapers (Pages 1 to 5)'!D39</f>
        <v>92100062.19745277</v>
      </c>
      <c r="E27" s="301">
        <f>-'[1]Workpapers (Pages 1 to 5)'!E39</f>
        <v>194657634</v>
      </c>
      <c r="F27" s="301">
        <f>-'[1]Workpapers (Pages 1 to 5)'!F39</f>
        <v>17950821</v>
      </c>
      <c r="G27" s="301">
        <f>-'[1]Workpapers (Pages 1 to 5)'!G39</f>
        <v>23663306</v>
      </c>
      <c r="I27" s="346"/>
      <c r="J27" s="347"/>
      <c r="K27" s="201"/>
      <c r="L27" s="201"/>
    </row>
    <row r="28" spans="2:12" ht="17.25">
      <c r="B28" s="161">
        <v>40544</v>
      </c>
      <c r="C28" s="302">
        <v>668032352.8313102</v>
      </c>
      <c r="D28" s="301">
        <v>93174560.25765388</v>
      </c>
      <c r="E28" s="302">
        <v>195819974.18105748</v>
      </c>
      <c r="F28" s="302">
        <v>18071912.588184997</v>
      </c>
      <c r="G28" s="302">
        <v>23774583.314757094</v>
      </c>
      <c r="I28" s="348"/>
      <c r="J28" s="347"/>
      <c r="K28" s="349"/>
      <c r="L28" s="201"/>
    </row>
    <row r="29" spans="2:12" ht="17.25">
      <c r="B29" s="161">
        <v>40575</v>
      </c>
      <c r="C29" s="302">
        <v>671845344.298168</v>
      </c>
      <c r="D29" s="301">
        <v>93767128.49077103</v>
      </c>
      <c r="E29" s="302">
        <v>196919850.7247308</v>
      </c>
      <c r="F29" s="302">
        <v>18194680.31136517</v>
      </c>
      <c r="G29" s="302">
        <v>23901424.1716844</v>
      </c>
      <c r="I29" s="348"/>
      <c r="J29" s="347"/>
      <c r="K29" s="349"/>
      <c r="L29" s="201"/>
    </row>
    <row r="30" spans="2:12" ht="17.25">
      <c r="B30" s="161">
        <v>40603</v>
      </c>
      <c r="C30" s="302">
        <v>675582205.1667244</v>
      </c>
      <c r="D30" s="301">
        <v>94347405.73016612</v>
      </c>
      <c r="E30" s="302">
        <v>197953354.32931423</v>
      </c>
      <c r="F30" s="302">
        <v>18316989.59799056</v>
      </c>
      <c r="G30" s="302">
        <v>24025288.759920668</v>
      </c>
      <c r="I30" s="348"/>
      <c r="J30" s="347"/>
      <c r="K30" s="349"/>
      <c r="L30" s="201"/>
    </row>
    <row r="31" spans="2:12" ht="17.25">
      <c r="B31" s="161">
        <v>40634</v>
      </c>
      <c r="C31" s="302">
        <v>678892404.3606136</v>
      </c>
      <c r="D31" s="301">
        <v>94936660.99739937</v>
      </c>
      <c r="E31" s="302">
        <v>199096039.76650932</v>
      </c>
      <c r="F31" s="302">
        <v>18445233.74550157</v>
      </c>
      <c r="G31" s="302">
        <v>24151934.20261818</v>
      </c>
      <c r="I31" s="348"/>
      <c r="J31" s="347"/>
      <c r="K31" s="349"/>
      <c r="L31" s="201"/>
    </row>
    <row r="32" spans="2:12" ht="17.25">
      <c r="B32" s="161">
        <v>40664</v>
      </c>
      <c r="C32" s="302">
        <v>682473265.4597147</v>
      </c>
      <c r="D32" s="301">
        <v>95534649.01165329</v>
      </c>
      <c r="E32" s="302">
        <v>200249722.59124994</v>
      </c>
      <c r="F32" s="302">
        <v>18576269.48870086</v>
      </c>
      <c r="G32" s="302">
        <v>24235086.14690128</v>
      </c>
      <c r="I32" s="348"/>
      <c r="J32" s="347"/>
      <c r="K32" s="349"/>
      <c r="L32" s="201"/>
    </row>
    <row r="33" spans="2:12" ht="17.25">
      <c r="B33" s="161">
        <v>40695</v>
      </c>
      <c r="C33" s="302">
        <v>686370159.3734874</v>
      </c>
      <c r="D33" s="301">
        <v>96090951.16769677</v>
      </c>
      <c r="E33" s="302">
        <v>201217523.95433038</v>
      </c>
      <c r="F33" s="302">
        <v>18705073.063731473</v>
      </c>
      <c r="G33" s="302">
        <v>24274850.776082966</v>
      </c>
      <c r="I33" s="348"/>
      <c r="J33" s="347"/>
      <c r="K33" s="349"/>
      <c r="L33" s="201"/>
    </row>
    <row r="34" spans="2:12" ht="17.25">
      <c r="B34" s="161">
        <v>40725</v>
      </c>
      <c r="C34" s="302">
        <v>690584287.4574873</v>
      </c>
      <c r="D34" s="301">
        <v>96652798.31513391</v>
      </c>
      <c r="E34" s="302">
        <v>202395416.2020933</v>
      </c>
      <c r="F34" s="302">
        <v>18839343.643829096</v>
      </c>
      <c r="G34" s="302">
        <v>24403573.176482815</v>
      </c>
      <c r="I34" s="348"/>
      <c r="J34" s="347"/>
      <c r="K34" s="349"/>
      <c r="L34" s="201"/>
    </row>
    <row r="35" spans="2:12" ht="17.25">
      <c r="B35" s="161">
        <v>40756</v>
      </c>
      <c r="C35" s="302">
        <v>694104415.550966</v>
      </c>
      <c r="D35" s="301">
        <v>97178258.8194072</v>
      </c>
      <c r="E35" s="302">
        <v>203530042.45988283</v>
      </c>
      <c r="F35" s="302">
        <v>18972999.490628872</v>
      </c>
      <c r="G35" s="302">
        <v>24532632.611259777</v>
      </c>
      <c r="I35" s="348"/>
      <c r="J35" s="347"/>
      <c r="K35" s="349"/>
      <c r="L35" s="201"/>
    </row>
    <row r="36" spans="2:12" ht="17.25">
      <c r="B36" s="161">
        <v>40787</v>
      </c>
      <c r="C36" s="302">
        <v>698110314.8015316</v>
      </c>
      <c r="D36" s="301">
        <v>97760431.38002507</v>
      </c>
      <c r="E36" s="302">
        <v>204723092.9613613</v>
      </c>
      <c r="F36" s="302">
        <v>19106453.932743568</v>
      </c>
      <c r="G36" s="302">
        <v>24646331.80954705</v>
      </c>
      <c r="I36" s="348"/>
      <c r="J36" s="347"/>
      <c r="K36" s="349"/>
      <c r="L36" s="201"/>
    </row>
    <row r="37" spans="2:12" ht="17.25">
      <c r="B37" s="161">
        <v>40817</v>
      </c>
      <c r="C37" s="302">
        <v>702359014.6329895</v>
      </c>
      <c r="D37" s="301">
        <v>98368435.50338154</v>
      </c>
      <c r="E37" s="302">
        <v>205915485.3112336</v>
      </c>
      <c r="F37" s="302">
        <v>19240060.36710054</v>
      </c>
      <c r="G37" s="302">
        <v>24773859.18225978</v>
      </c>
      <c r="I37" s="348"/>
      <c r="J37" s="347"/>
      <c r="K37" s="349"/>
      <c r="L37" s="201"/>
    </row>
    <row r="38" spans="2:12" ht="17.25">
      <c r="B38" s="161">
        <v>40848</v>
      </c>
      <c r="C38" s="302">
        <v>706250846.2965913</v>
      </c>
      <c r="D38" s="301">
        <v>98892806.10071972</v>
      </c>
      <c r="E38" s="302">
        <v>207039589.89821082</v>
      </c>
      <c r="F38" s="302">
        <v>19373708.79519554</v>
      </c>
      <c r="G38" s="302">
        <v>24903400.61962453</v>
      </c>
      <c r="I38" s="348"/>
      <c r="J38" s="347"/>
      <c r="K38" s="349"/>
      <c r="L38" s="201"/>
    </row>
    <row r="39" spans="2:12" ht="17.25">
      <c r="B39" s="161">
        <v>40878</v>
      </c>
      <c r="C39" s="342">
        <v>709857565.4485744</v>
      </c>
      <c r="D39" s="316">
        <v>99432210.19288586</v>
      </c>
      <c r="E39" s="315">
        <v>208098970.9240778</v>
      </c>
      <c r="F39" s="303">
        <v>19511465.20410954</v>
      </c>
      <c r="G39" s="303">
        <v>24943051.979861885</v>
      </c>
      <c r="I39" s="350"/>
      <c r="J39" s="347"/>
      <c r="K39" s="349"/>
      <c r="L39" s="201"/>
    </row>
    <row r="40" spans="2:12" ht="17.25">
      <c r="B40" s="161"/>
      <c r="C40" s="163"/>
      <c r="D40" s="163"/>
      <c r="E40" s="163"/>
      <c r="F40" s="163"/>
      <c r="G40" s="163"/>
      <c r="I40" s="201"/>
      <c r="J40" s="201"/>
      <c r="K40" s="201"/>
      <c r="L40" s="201"/>
    </row>
    <row r="41" spans="2:12" ht="17.25">
      <c r="B41" s="164" t="s">
        <v>331</v>
      </c>
      <c r="C41" s="172">
        <f>SUM(C27:C39)/13</f>
        <v>686861025.594012</v>
      </c>
      <c r="D41" s="172">
        <f>SUM(D27:D39)/13</f>
        <v>96018181.39725742</v>
      </c>
      <c r="E41" s="172">
        <f>SUM(E27:E39)/13</f>
        <v>201355130.56185013</v>
      </c>
      <c r="F41" s="172">
        <f>SUM(F27:F39)/13</f>
        <v>18715770.094544753</v>
      </c>
      <c r="G41" s="172">
        <f>SUM(G27:G39)/13</f>
        <v>24325332.519307725</v>
      </c>
      <c r="I41" s="201"/>
      <c r="J41" s="201"/>
      <c r="K41" s="201"/>
      <c r="L41" s="201"/>
    </row>
    <row r="42" spans="2:7" ht="17.25">
      <c r="B42" s="164"/>
      <c r="C42" s="165"/>
      <c r="D42" s="165"/>
      <c r="E42" s="165"/>
      <c r="F42" s="165"/>
      <c r="G42" s="165"/>
    </row>
    <row r="43" spans="3:7" ht="17.25">
      <c r="C43" s="313"/>
      <c r="D43" s="313"/>
      <c r="E43" s="313"/>
      <c r="F43" s="313"/>
      <c r="G43" s="313"/>
    </row>
    <row r="44" spans="1:7" ht="18">
      <c r="A44" s="158" t="s">
        <v>397</v>
      </c>
      <c r="C44" s="313"/>
      <c r="D44" s="313"/>
      <c r="E44" s="313"/>
      <c r="F44" s="313"/>
      <c r="G44" s="313"/>
    </row>
    <row r="45" ht="17.25">
      <c r="A45" s="157" t="s">
        <v>458</v>
      </c>
    </row>
    <row r="46" ht="17.25">
      <c r="A46" s="157" t="s">
        <v>583</v>
      </c>
    </row>
    <row r="47" spans="5:7" ht="17.25">
      <c r="E47" s="201"/>
      <c r="F47" s="201"/>
      <c r="G47" s="201"/>
    </row>
    <row r="48" spans="5:7" ht="17.25">
      <c r="E48" s="201"/>
      <c r="F48" s="201"/>
      <c r="G48" s="201"/>
    </row>
    <row r="49" spans="2:7" ht="17.25">
      <c r="B49" s="166" t="s">
        <v>445</v>
      </c>
      <c r="E49" s="201"/>
      <c r="F49" s="201"/>
      <c r="G49" s="201"/>
    </row>
    <row r="50" spans="2:7" ht="17.25">
      <c r="B50" s="166" t="s">
        <v>539</v>
      </c>
      <c r="E50" s="201"/>
      <c r="F50" s="201"/>
      <c r="G50" s="201"/>
    </row>
    <row r="51" spans="2:7" ht="17.25">
      <c r="B51" s="166"/>
      <c r="E51" s="201"/>
      <c r="F51" s="201"/>
      <c r="G51" s="201"/>
    </row>
    <row r="52" spans="2:7" ht="17.25">
      <c r="B52" s="161">
        <v>40513</v>
      </c>
      <c r="C52" s="189">
        <f>+'[2]Current RECB'!$D$18</f>
        <v>6323511</v>
      </c>
      <c r="E52" s="189"/>
      <c r="F52" s="273"/>
      <c r="G52" s="201"/>
    </row>
    <row r="53" spans="2:7" ht="17.25">
      <c r="B53" s="161">
        <v>40544</v>
      </c>
      <c r="C53" s="189">
        <f>+'[2]14-RECB CWIP'!$V$26</f>
        <v>7621588</v>
      </c>
      <c r="E53" s="189"/>
      <c r="F53" s="273"/>
      <c r="G53" s="201"/>
    </row>
    <row r="54" spans="2:7" ht="17.25">
      <c r="B54" s="161">
        <v>40575</v>
      </c>
      <c r="C54" s="189">
        <f>+'[2]14-RECB CWIP'!$W$26</f>
        <v>8971856</v>
      </c>
      <c r="E54" s="189"/>
      <c r="F54" s="273"/>
      <c r="G54" s="201"/>
    </row>
    <row r="55" spans="2:7" ht="17.25">
      <c r="B55" s="161">
        <v>40603</v>
      </c>
      <c r="C55" s="189">
        <f>+'[2]14-RECB CWIP'!$X$26</f>
        <v>10848710</v>
      </c>
      <c r="E55" s="189"/>
      <c r="F55" s="273"/>
      <c r="G55" s="201"/>
    </row>
    <row r="56" spans="2:7" ht="17.25">
      <c r="B56" s="161">
        <v>40634</v>
      </c>
      <c r="C56" s="189">
        <f>+'[2]14-RECB CWIP'!$Y$26</f>
        <v>12619962</v>
      </c>
      <c r="E56" s="189"/>
      <c r="F56" s="273"/>
      <c r="G56" s="201"/>
    </row>
    <row r="57" spans="2:7" ht="17.25">
      <c r="B57" s="161">
        <v>40664</v>
      </c>
      <c r="C57" s="189">
        <f>+'[2]14-RECB CWIP'!$Z$26</f>
        <v>14481936</v>
      </c>
      <c r="E57" s="189"/>
      <c r="F57" s="273"/>
      <c r="G57" s="201"/>
    </row>
    <row r="58" spans="2:7" ht="17.25">
      <c r="B58" s="161">
        <v>40695</v>
      </c>
      <c r="C58" s="189">
        <f>+'[2]14-RECB CWIP'!$AA$26</f>
        <v>15297992</v>
      </c>
      <c r="E58" s="189"/>
      <c r="F58" s="273"/>
      <c r="G58" s="201"/>
    </row>
    <row r="59" spans="2:7" ht="17.25">
      <c r="B59" s="161">
        <v>40725</v>
      </c>
      <c r="C59" s="189">
        <f>+'[2]14-RECB CWIP'!$AB$26+'[2]14-RECB CWIP'!$AB$24</f>
        <v>16956403</v>
      </c>
      <c r="E59" s="189"/>
      <c r="F59" s="273"/>
      <c r="G59" s="201"/>
    </row>
    <row r="60" spans="2:7" ht="17.25">
      <c r="B60" s="161">
        <v>40756</v>
      </c>
      <c r="C60" s="189">
        <f>+'[2]14-RECB CWIP'!$AC$26+'[2]14-RECB CWIP'!$AC$24</f>
        <v>18444399</v>
      </c>
      <c r="E60" s="189"/>
      <c r="F60" s="273"/>
      <c r="G60" s="201"/>
    </row>
    <row r="61" spans="2:7" ht="17.25">
      <c r="B61" s="161">
        <v>40787</v>
      </c>
      <c r="C61" s="189">
        <f>+'[2]14-RECB CWIP'!$AD$26+'[2]14-RECB CWIP'!$AD$24</f>
        <v>19649274</v>
      </c>
      <c r="E61" s="189"/>
      <c r="F61" s="273"/>
      <c r="G61" s="201"/>
    </row>
    <row r="62" spans="2:7" ht="17.25">
      <c r="B62" s="161">
        <v>40817</v>
      </c>
      <c r="C62" s="189">
        <f>+'[2]14-RECB CWIP'!$AE$26+'[2]14-RECB CWIP'!$AE$24</f>
        <v>21144129</v>
      </c>
      <c r="E62" s="189"/>
      <c r="F62" s="273"/>
      <c r="G62" s="201"/>
    </row>
    <row r="63" spans="2:7" ht="17.25">
      <c r="B63" s="161">
        <v>40848</v>
      </c>
      <c r="C63" s="189">
        <f>+'[2]14-RECB CWIP'!$AF$26+'[2]14-RECB CWIP'!$AF$24</f>
        <v>22249004</v>
      </c>
      <c r="E63" s="189"/>
      <c r="F63" s="273"/>
      <c r="G63" s="201"/>
    </row>
    <row r="64" spans="2:7" ht="17.25">
      <c r="B64" s="161">
        <v>40878</v>
      </c>
      <c r="C64" s="189">
        <f>+'[2]14-RECB CWIP'!$AG$26+'[2]14-RECB CWIP'!$AG$24</f>
        <v>23719724</v>
      </c>
      <c r="E64" s="189"/>
      <c r="F64" s="273"/>
      <c r="G64" s="201"/>
    </row>
    <row r="65" spans="2:7" ht="17.25">
      <c r="B65" s="167"/>
      <c r="C65" s="166"/>
      <c r="E65" s="274"/>
      <c r="F65" s="275"/>
      <c r="G65" s="201"/>
    </row>
    <row r="66" spans="2:7" ht="17.25">
      <c r="B66" s="164" t="s">
        <v>331</v>
      </c>
      <c r="C66" s="168">
        <f>AVERAGE(C52:C64)</f>
        <v>15256037.538461538</v>
      </c>
      <c r="E66" s="276"/>
      <c r="F66" s="277"/>
      <c r="G66" s="201"/>
    </row>
    <row r="67" spans="5:7" ht="17.25">
      <c r="E67" s="201"/>
      <c r="F67" s="201"/>
      <c r="G67" s="201"/>
    </row>
    <row r="68" ht="17.25"/>
    <row r="69" ht="17.25"/>
    <row r="70" ht="18">
      <c r="A70" s="158" t="s">
        <v>397</v>
      </c>
    </row>
    <row r="71" ht="17.25">
      <c r="A71" s="157" t="s">
        <v>334</v>
      </c>
    </row>
    <row r="72" ht="17.25">
      <c r="A72" s="157" t="s">
        <v>396</v>
      </c>
    </row>
    <row r="73" ht="17.25"/>
    <row r="74" spans="4:7" ht="17.25">
      <c r="D74" s="285">
        <v>282</v>
      </c>
      <c r="E74" s="285">
        <v>283</v>
      </c>
      <c r="F74" s="285">
        <v>190</v>
      </c>
      <c r="G74" s="285">
        <v>255</v>
      </c>
    </row>
    <row r="75" ht="17.25">
      <c r="B75" s="157" t="s">
        <v>338</v>
      </c>
    </row>
    <row r="76" spans="2:12" ht="17.25">
      <c r="B76" s="161">
        <v>40513</v>
      </c>
      <c r="C76" s="230">
        <v>0</v>
      </c>
      <c r="D76" s="298">
        <f>+'[1]Workpapers (Pages 1 to 5)'!$D$90</f>
        <v>-219929750</v>
      </c>
      <c r="E76" s="298">
        <f>+'[1]Workpapers (Pages 1 to 5)'!$E$90</f>
        <v>-6334103</v>
      </c>
      <c r="F76" s="298">
        <f>+'[1]Workpapers (Pages 1 to 5)'!$F$90</f>
        <v>32429139</v>
      </c>
      <c r="G76" s="299">
        <v>0</v>
      </c>
      <c r="I76" s="156"/>
      <c r="J76" s="156"/>
      <c r="K76" s="156"/>
      <c r="L76" s="156"/>
    </row>
    <row r="77" spans="2:12" ht="17.25">
      <c r="B77" s="161">
        <v>40544</v>
      </c>
      <c r="C77" s="232">
        <v>0</v>
      </c>
      <c r="D77" s="298">
        <v>-220529333</v>
      </c>
      <c r="E77" s="298">
        <v>-6091907</v>
      </c>
      <c r="F77" s="298">
        <v>32361278</v>
      </c>
      <c r="G77" s="299">
        <v>0</v>
      </c>
      <c r="I77" s="156"/>
      <c r="J77" s="156"/>
      <c r="K77" s="156"/>
      <c r="L77" s="156"/>
    </row>
    <row r="78" spans="2:12" ht="17.25">
      <c r="B78" s="161">
        <v>40575</v>
      </c>
      <c r="C78" s="232">
        <v>0</v>
      </c>
      <c r="D78" s="298">
        <v>-221128915</v>
      </c>
      <c r="E78" s="298">
        <v>-5849712</v>
      </c>
      <c r="F78" s="298">
        <v>32293417</v>
      </c>
      <c r="G78" s="299">
        <v>0</v>
      </c>
      <c r="I78" s="156"/>
      <c r="J78" s="156"/>
      <c r="K78" s="156"/>
      <c r="L78" s="156"/>
    </row>
    <row r="79" spans="2:12" ht="17.25">
      <c r="B79" s="161">
        <v>40603</v>
      </c>
      <c r="C79" s="232">
        <v>0</v>
      </c>
      <c r="D79" s="298">
        <v>-221728498</v>
      </c>
      <c r="E79" s="298">
        <v>-5607517</v>
      </c>
      <c r="F79" s="298">
        <v>32225556</v>
      </c>
      <c r="G79" s="299">
        <v>0</v>
      </c>
      <c r="I79" s="156"/>
      <c r="J79" s="156"/>
      <c r="K79" s="156"/>
      <c r="L79" s="156"/>
    </row>
    <row r="80" spans="2:12" ht="17.25">
      <c r="B80" s="161">
        <v>40634</v>
      </c>
      <c r="C80" s="232">
        <v>0</v>
      </c>
      <c r="D80" s="298">
        <v>-222328080</v>
      </c>
      <c r="E80" s="298">
        <v>-5365321</v>
      </c>
      <c r="F80" s="298">
        <v>32157695</v>
      </c>
      <c r="G80" s="299">
        <v>0</v>
      </c>
      <c r="I80" s="156"/>
      <c r="J80" s="156"/>
      <c r="K80" s="156"/>
      <c r="L80" s="156"/>
    </row>
    <row r="81" spans="2:12" ht="17.25">
      <c r="B81" s="161">
        <v>40664</v>
      </c>
      <c r="C81" s="232">
        <v>0</v>
      </c>
      <c r="D81" s="298">
        <v>-222927663</v>
      </c>
      <c r="E81" s="298">
        <v>-5123126</v>
      </c>
      <c r="F81" s="298">
        <v>32089834</v>
      </c>
      <c r="G81" s="299">
        <v>0</v>
      </c>
      <c r="I81" s="156"/>
      <c r="J81" s="156"/>
      <c r="K81" s="156"/>
      <c r="L81" s="156"/>
    </row>
    <row r="82" spans="2:12" ht="17.25">
      <c r="B82" s="161">
        <v>40695</v>
      </c>
      <c r="C82" s="232">
        <v>0</v>
      </c>
      <c r="D82" s="298">
        <v>-223527245</v>
      </c>
      <c r="E82" s="298">
        <v>-4880930</v>
      </c>
      <c r="F82" s="298">
        <v>32021973</v>
      </c>
      <c r="G82" s="299">
        <v>0</v>
      </c>
      <c r="I82" s="156"/>
      <c r="J82" s="156"/>
      <c r="K82" s="156"/>
      <c r="L82" s="156"/>
    </row>
    <row r="83" spans="2:12" ht="17.25">
      <c r="B83" s="161">
        <v>40725</v>
      </c>
      <c r="C83" s="232">
        <v>0</v>
      </c>
      <c r="D83" s="298">
        <v>-224126828</v>
      </c>
      <c r="E83" s="298">
        <v>-4638735</v>
      </c>
      <c r="F83" s="298">
        <v>31954112</v>
      </c>
      <c r="G83" s="299">
        <v>0</v>
      </c>
      <c r="I83" s="156"/>
      <c r="J83" s="156"/>
      <c r="K83" s="156"/>
      <c r="L83" s="156"/>
    </row>
    <row r="84" spans="2:12" ht="17.25">
      <c r="B84" s="161">
        <v>40756</v>
      </c>
      <c r="C84" s="232">
        <v>0</v>
      </c>
      <c r="D84" s="298">
        <v>-224726410</v>
      </c>
      <c r="E84" s="298">
        <v>-4396540</v>
      </c>
      <c r="F84" s="298">
        <v>31886251</v>
      </c>
      <c r="G84" s="299">
        <v>0</v>
      </c>
      <c r="I84" s="156"/>
      <c r="J84" s="156"/>
      <c r="K84" s="156"/>
      <c r="L84" s="156"/>
    </row>
    <row r="85" spans="2:12" ht="17.25">
      <c r="B85" s="161">
        <v>40787</v>
      </c>
      <c r="C85" s="232">
        <v>0</v>
      </c>
      <c r="D85" s="298">
        <v>-225325993</v>
      </c>
      <c r="E85" s="298">
        <v>-4154344</v>
      </c>
      <c r="F85" s="298">
        <v>31818390</v>
      </c>
      <c r="G85" s="299">
        <v>0</v>
      </c>
      <c r="I85" s="156"/>
      <c r="J85" s="156"/>
      <c r="K85" s="156"/>
      <c r="L85" s="156"/>
    </row>
    <row r="86" spans="2:12" ht="17.25">
      <c r="B86" s="161">
        <v>40817</v>
      </c>
      <c r="C86" s="232">
        <v>0</v>
      </c>
      <c r="D86" s="298">
        <v>-225925576</v>
      </c>
      <c r="E86" s="298">
        <v>-3912149</v>
      </c>
      <c r="F86" s="298">
        <v>31750529</v>
      </c>
      <c r="G86" s="299">
        <v>0</v>
      </c>
      <c r="I86" s="156"/>
      <c r="J86" s="156"/>
      <c r="K86" s="156"/>
      <c r="L86" s="156"/>
    </row>
    <row r="87" spans="2:12" ht="17.25">
      <c r="B87" s="161">
        <v>40848</v>
      </c>
      <c r="C87" s="232">
        <v>0</v>
      </c>
      <c r="D87" s="298">
        <v>-226525158</v>
      </c>
      <c r="E87" s="298">
        <v>-3669953</v>
      </c>
      <c r="F87" s="298">
        <v>31682668</v>
      </c>
      <c r="G87" s="299">
        <v>0</v>
      </c>
      <c r="I87" s="156"/>
      <c r="J87" s="156"/>
      <c r="K87" s="156"/>
      <c r="L87" s="156"/>
    </row>
    <row r="88" spans="2:12" ht="17.25">
      <c r="B88" s="161">
        <v>40878</v>
      </c>
      <c r="C88" s="287">
        <v>0</v>
      </c>
      <c r="D88" s="300">
        <v>-227124741</v>
      </c>
      <c r="E88" s="300">
        <v>-3427758</v>
      </c>
      <c r="F88" s="300">
        <v>31614807</v>
      </c>
      <c r="G88" s="298">
        <v>0</v>
      </c>
      <c r="I88" s="156"/>
      <c r="J88" s="156"/>
      <c r="K88" s="156"/>
      <c r="L88" s="156"/>
    </row>
    <row r="89" spans="2:7" ht="17.25">
      <c r="B89" s="161"/>
      <c r="C89" s="288"/>
      <c r="D89" s="288"/>
      <c r="E89" s="288"/>
      <c r="F89" s="288"/>
      <c r="G89" s="288"/>
    </row>
    <row r="90" spans="2:7" ht="17.25">
      <c r="B90" s="164" t="s">
        <v>335</v>
      </c>
      <c r="C90" s="235">
        <f>SUM(C76:C88)/13</f>
        <v>0</v>
      </c>
      <c r="D90" s="172">
        <f>SUM(D76:D88)/13</f>
        <v>-223527245.3846154</v>
      </c>
      <c r="E90" s="172">
        <f>SUM(E76:E88)/13</f>
        <v>-4880930.384615385</v>
      </c>
      <c r="F90" s="172">
        <f>SUM(F76:F88)/13</f>
        <v>32021973</v>
      </c>
      <c r="G90" s="235">
        <f>SUM(G76:G88)/13</f>
        <v>0</v>
      </c>
    </row>
    <row r="93" ht="18.75">
      <c r="A93" s="158" t="s">
        <v>397</v>
      </c>
    </row>
    <row r="94" ht="17.25">
      <c r="A94" s="157" t="s">
        <v>339</v>
      </c>
    </row>
    <row r="95" ht="17.25">
      <c r="A95" s="157" t="s">
        <v>396</v>
      </c>
    </row>
    <row r="97" ht="17.25">
      <c r="B97" s="157" t="s">
        <v>339</v>
      </c>
    </row>
    <row r="98" ht="17.25">
      <c r="C98" s="169" t="s">
        <v>336</v>
      </c>
    </row>
    <row r="99" spans="2:5" ht="17.25">
      <c r="B99" s="161">
        <v>40148</v>
      </c>
      <c r="C99" s="156">
        <v>78737</v>
      </c>
      <c r="E99" s="162"/>
    </row>
    <row r="100" spans="2:3" ht="17.25">
      <c r="B100" s="161">
        <v>40179</v>
      </c>
      <c r="C100" s="127">
        <v>0</v>
      </c>
    </row>
    <row r="101" spans="2:3" ht="17.25">
      <c r="B101" s="161">
        <v>40210</v>
      </c>
      <c r="C101" s="127">
        <v>0</v>
      </c>
    </row>
    <row r="102" spans="2:3" ht="17.25">
      <c r="B102" s="161">
        <v>40238</v>
      </c>
      <c r="C102" s="127">
        <v>0</v>
      </c>
    </row>
    <row r="103" spans="2:3" ht="17.25">
      <c r="B103" s="161">
        <v>40269</v>
      </c>
      <c r="C103" s="127">
        <v>0</v>
      </c>
    </row>
    <row r="104" spans="2:3" ht="17.25">
      <c r="B104" s="161">
        <v>40299</v>
      </c>
      <c r="C104" s="127">
        <v>0</v>
      </c>
    </row>
    <row r="105" spans="2:3" ht="17.25">
      <c r="B105" s="161">
        <v>40330</v>
      </c>
      <c r="C105" s="127">
        <v>0</v>
      </c>
    </row>
    <row r="106" spans="2:3" ht="17.25">
      <c r="B106" s="161">
        <v>40360</v>
      </c>
      <c r="C106" s="127">
        <v>0</v>
      </c>
    </row>
    <row r="107" spans="2:3" ht="17.25">
      <c r="B107" s="161">
        <v>40391</v>
      </c>
      <c r="C107" s="127">
        <v>0</v>
      </c>
    </row>
    <row r="108" spans="2:3" ht="17.25">
      <c r="B108" s="161">
        <v>40422</v>
      </c>
      <c r="C108" s="127">
        <v>0</v>
      </c>
    </row>
    <row r="109" spans="2:3" ht="17.25">
      <c r="B109" s="161">
        <v>40452</v>
      </c>
      <c r="C109" s="127">
        <v>0</v>
      </c>
    </row>
    <row r="110" spans="2:3" ht="17.25">
      <c r="B110" s="161">
        <v>40483</v>
      </c>
      <c r="C110" s="127">
        <v>0</v>
      </c>
    </row>
    <row r="111" spans="2:3" ht="17.25">
      <c r="B111" s="161">
        <v>40513</v>
      </c>
      <c r="C111" s="231">
        <f>+C99</f>
        <v>78737</v>
      </c>
    </row>
    <row r="112" ht="17.25">
      <c r="B112" s="161"/>
    </row>
    <row r="113" spans="2:3" ht="17.25">
      <c r="B113" s="164" t="s">
        <v>335</v>
      </c>
      <c r="C113" s="165">
        <f>(C99+C111)/2</f>
        <v>78737</v>
      </c>
    </row>
    <row r="114" spans="2:3" ht="17.25">
      <c r="B114" s="170" t="s">
        <v>337</v>
      </c>
      <c r="C114" s="165"/>
    </row>
    <row r="119" ht="18.75">
      <c r="A119" s="158" t="s">
        <v>397</v>
      </c>
    </row>
    <row r="120" ht="17.25">
      <c r="A120" s="157" t="s">
        <v>446</v>
      </c>
    </row>
    <row r="121" ht="17.25">
      <c r="A121" s="157" t="s">
        <v>396</v>
      </c>
    </row>
    <row r="123" ht="17.25">
      <c r="B123" s="320" t="s">
        <v>545</v>
      </c>
    </row>
    <row r="125" spans="3:4" ht="17.25">
      <c r="C125" s="317" t="s">
        <v>541</v>
      </c>
      <c r="D125" s="317" t="s">
        <v>543</v>
      </c>
    </row>
    <row r="126" spans="2:4" ht="17.25">
      <c r="B126" s="318">
        <v>40513</v>
      </c>
      <c r="C126" s="189">
        <f>+'[3]summary'!$F$12</f>
        <v>362231.8190957407</v>
      </c>
      <c r="D126" s="189">
        <f>+'[3]summary'!$F$10</f>
        <v>1685331.5022824537</v>
      </c>
    </row>
    <row r="127" spans="2:4" ht="17.25">
      <c r="B127" s="161">
        <v>40544</v>
      </c>
      <c r="C127" s="127">
        <v>0</v>
      </c>
      <c r="D127" s="127">
        <v>0</v>
      </c>
    </row>
    <row r="128" spans="2:4" ht="17.25">
      <c r="B128" s="318">
        <v>40575</v>
      </c>
      <c r="C128" s="127">
        <v>0</v>
      </c>
      <c r="D128" s="127">
        <v>0</v>
      </c>
    </row>
    <row r="129" spans="2:4" ht="17.25">
      <c r="B129" s="161">
        <v>40603</v>
      </c>
      <c r="C129" s="127">
        <v>0</v>
      </c>
      <c r="D129" s="127">
        <v>0</v>
      </c>
    </row>
    <row r="130" spans="2:4" ht="17.25">
      <c r="B130" s="318">
        <v>40634</v>
      </c>
      <c r="C130" s="127">
        <v>0</v>
      </c>
      <c r="D130" s="127">
        <v>0</v>
      </c>
    </row>
    <row r="131" spans="2:4" ht="17.25">
      <c r="B131" s="161">
        <v>40664</v>
      </c>
      <c r="C131" s="127">
        <v>0</v>
      </c>
      <c r="D131" s="127">
        <v>0</v>
      </c>
    </row>
    <row r="132" spans="2:4" ht="17.25">
      <c r="B132" s="318">
        <v>40695</v>
      </c>
      <c r="C132" s="127">
        <v>0</v>
      </c>
      <c r="D132" s="127">
        <v>0</v>
      </c>
    </row>
    <row r="133" spans="2:4" ht="17.25">
      <c r="B133" s="161">
        <v>40725</v>
      </c>
      <c r="C133" s="127">
        <v>0</v>
      </c>
      <c r="D133" s="127">
        <v>0</v>
      </c>
    </row>
    <row r="134" spans="2:4" ht="17.25">
      <c r="B134" s="318">
        <v>40756</v>
      </c>
      <c r="C134" s="127">
        <v>0</v>
      </c>
      <c r="D134" s="127">
        <v>0</v>
      </c>
    </row>
    <row r="135" spans="2:4" ht="17.25">
      <c r="B135" s="161">
        <v>40787</v>
      </c>
      <c r="C135" s="127">
        <v>0</v>
      </c>
      <c r="D135" s="127">
        <v>0</v>
      </c>
    </row>
    <row r="136" spans="2:4" ht="17.25">
      <c r="B136" s="318">
        <v>40817</v>
      </c>
      <c r="C136" s="127">
        <v>0</v>
      </c>
      <c r="D136" s="127">
        <v>0</v>
      </c>
    </row>
    <row r="137" spans="2:4" ht="17.25">
      <c r="B137" s="161">
        <v>40848</v>
      </c>
      <c r="C137" s="127">
        <v>0</v>
      </c>
      <c r="D137" s="127">
        <v>0</v>
      </c>
    </row>
    <row r="138" spans="2:4" ht="17.25">
      <c r="B138" s="318">
        <v>40878</v>
      </c>
      <c r="C138" s="189">
        <f>+C126</f>
        <v>362231.8190957407</v>
      </c>
      <c r="D138" s="189">
        <f>+D126</f>
        <v>1685331.5022824537</v>
      </c>
    </row>
    <row r="139" ht="17.25">
      <c r="B139" s="161"/>
    </row>
    <row r="140" spans="2:5" ht="17.25">
      <c r="B140" s="164" t="s">
        <v>335</v>
      </c>
      <c r="C140" s="165">
        <f>(C138+C126)/2</f>
        <v>362231.8190957407</v>
      </c>
      <c r="D140" s="165">
        <f>(D138+D126)/2</f>
        <v>1685331.5022824537</v>
      </c>
      <c r="E140" s="156">
        <f>+C140+D140</f>
        <v>2047563.3213781943</v>
      </c>
    </row>
    <row r="142" spans="3:4" ht="17.25">
      <c r="C142" s="310"/>
      <c r="D142" s="309"/>
    </row>
    <row r="143" spans="1:7" ht="17.25">
      <c r="A143" s="201"/>
      <c r="B143" s="201"/>
      <c r="C143" s="201"/>
      <c r="D143" s="201"/>
      <c r="E143" s="201"/>
      <c r="F143" s="201"/>
      <c r="G143" s="201"/>
    </row>
    <row r="144" spans="1:7" ht="17.25">
      <c r="A144" s="201"/>
      <c r="B144" s="276"/>
      <c r="C144" s="202"/>
      <c r="D144" s="202"/>
      <c r="E144" s="201"/>
      <c r="F144" s="201"/>
      <c r="G144" s="201"/>
    </row>
    <row r="145" spans="1:7" ht="17.25">
      <c r="A145" s="201"/>
      <c r="B145" s="201"/>
      <c r="C145" s="311"/>
      <c r="D145" s="312"/>
      <c r="E145" s="201"/>
      <c r="F145" s="201"/>
      <c r="G145" s="201"/>
    </row>
    <row r="146" spans="1:7" ht="17.25">
      <c r="A146" s="201"/>
      <c r="B146" s="201"/>
      <c r="C146" s="202"/>
      <c r="D146" s="201"/>
      <c r="E146" s="201"/>
      <c r="F146" s="201"/>
      <c r="G146" s="201"/>
    </row>
    <row r="147" spans="1:7" ht="17.25">
      <c r="A147" s="201"/>
      <c r="B147" s="201"/>
      <c r="C147" s="202"/>
      <c r="D147" s="201"/>
      <c r="E147" s="201"/>
      <c r="F147" s="201"/>
      <c r="G147" s="201"/>
    </row>
    <row r="148" spans="1:7" ht="17.25">
      <c r="A148" s="201"/>
      <c r="B148" s="312"/>
      <c r="C148" s="201"/>
      <c r="D148" s="201"/>
      <c r="E148" s="201"/>
      <c r="F148" s="201"/>
      <c r="G148" s="201"/>
    </row>
    <row r="150" ht="18.75">
      <c r="A150" s="158" t="s">
        <v>397</v>
      </c>
    </row>
    <row r="151" ht="17.25">
      <c r="A151" s="157" t="s">
        <v>540</v>
      </c>
    </row>
    <row r="152" ht="17.25">
      <c r="A152" s="157" t="s">
        <v>396</v>
      </c>
    </row>
    <row r="154" ht="17.25">
      <c r="B154" s="157" t="s">
        <v>340</v>
      </c>
    </row>
    <row r="155" ht="17.25">
      <c r="B155" s="320" t="s">
        <v>544</v>
      </c>
    </row>
    <row r="157" spans="3:4" ht="17.25">
      <c r="C157" s="306" t="s">
        <v>540</v>
      </c>
      <c r="D157" s="200"/>
    </row>
    <row r="158" spans="2:4" ht="17.25">
      <c r="B158" s="161">
        <v>40513</v>
      </c>
      <c r="C158" s="156">
        <v>3150000</v>
      </c>
      <c r="D158" s="194"/>
    </row>
    <row r="159" spans="2:4" ht="17.25">
      <c r="B159" s="161">
        <v>40544</v>
      </c>
      <c r="C159" s="127">
        <v>0</v>
      </c>
      <c r="D159" s="189"/>
    </row>
    <row r="160" spans="2:4" ht="17.25">
      <c r="B160" s="161">
        <v>40575</v>
      </c>
      <c r="C160" s="127">
        <v>0</v>
      </c>
      <c r="D160" s="189"/>
    </row>
    <row r="161" spans="2:4" ht="17.25">
      <c r="B161" s="161">
        <v>40603</v>
      </c>
      <c r="C161" s="127">
        <v>0</v>
      </c>
      <c r="D161" s="189"/>
    </row>
    <row r="162" spans="2:4" ht="17.25">
      <c r="B162" s="161">
        <v>40634</v>
      </c>
      <c r="C162" s="127">
        <v>0</v>
      </c>
      <c r="D162" s="189"/>
    </row>
    <row r="163" spans="2:4" ht="17.25">
      <c r="B163" s="161">
        <v>40664</v>
      </c>
      <c r="C163" s="127">
        <v>0</v>
      </c>
      <c r="D163" s="189"/>
    </row>
    <row r="164" spans="2:4" ht="17.25">
      <c r="B164" s="161">
        <v>40695</v>
      </c>
      <c r="C164" s="127">
        <v>0</v>
      </c>
      <c r="D164" s="189"/>
    </row>
    <row r="165" spans="2:4" ht="17.25">
      <c r="B165" s="161">
        <v>40725</v>
      </c>
      <c r="C165" s="127">
        <v>0</v>
      </c>
      <c r="D165" s="189"/>
    </row>
    <row r="166" spans="2:4" ht="17.25">
      <c r="B166" s="161">
        <v>40756</v>
      </c>
      <c r="C166" s="127">
        <v>0</v>
      </c>
      <c r="D166" s="189"/>
    </row>
    <row r="167" spans="2:4" ht="17.25">
      <c r="B167" s="161">
        <v>40787</v>
      </c>
      <c r="C167" s="127">
        <v>0</v>
      </c>
      <c r="D167" s="189"/>
    </row>
    <row r="168" spans="2:4" ht="17.25">
      <c r="B168" s="161">
        <v>40817</v>
      </c>
      <c r="C168" s="127">
        <v>0</v>
      </c>
      <c r="D168" s="189"/>
    </row>
    <row r="169" spans="2:4" ht="17.25">
      <c r="B169" s="161">
        <v>40848</v>
      </c>
      <c r="C169" s="127">
        <v>0</v>
      </c>
      <c r="D169" s="189"/>
    </row>
    <row r="170" spans="2:4" ht="17.25">
      <c r="B170" s="161">
        <v>40878</v>
      </c>
      <c r="C170" s="307">
        <v>0</v>
      </c>
      <c r="D170" s="189"/>
    </row>
    <row r="171" spans="2:4" ht="17.25">
      <c r="B171" s="161"/>
      <c r="D171" s="201"/>
    </row>
    <row r="172" spans="2:4" ht="17.25">
      <c r="B172" s="164" t="s">
        <v>335</v>
      </c>
      <c r="C172" s="165">
        <f>(C158+C170)/2</f>
        <v>1575000</v>
      </c>
      <c r="D172" s="202"/>
    </row>
    <row r="173" ht="17.25">
      <c r="C173" s="314"/>
    </row>
    <row r="174" ht="17.25">
      <c r="C174" s="202"/>
    </row>
    <row r="175" ht="17.25">
      <c r="C175" s="165"/>
    </row>
    <row r="176" ht="17.25">
      <c r="B176" s="170"/>
    </row>
  </sheetData>
  <sheetProtection/>
  <printOptions/>
  <pageMargins left="0.7" right="0.7" top="0.75" bottom="0.75" header="0.3" footer="0.3"/>
  <pageSetup horizontalDpi="600" verticalDpi="600" orientation="portrait" scale="61" r:id="rId3"/>
  <rowBreaks count="3" manualBreakCount="3">
    <brk id="43" max="255" man="1"/>
    <brk id="69" max="255" man="1"/>
    <brk id="118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zoomScale="60" zoomScaleNormal="75" zoomScalePageLayoutView="0" workbookViewId="0" topLeftCell="A1">
      <selection activeCell="E7" sqref="E7:E9"/>
    </sheetView>
  </sheetViews>
  <sheetFormatPr defaultColWidth="8.88671875" defaultRowHeight="15"/>
  <cols>
    <col min="1" max="2" width="8.88671875" style="128" customWidth="1"/>
    <col min="3" max="3" width="3.3359375" style="128" customWidth="1"/>
    <col min="4" max="4" width="52.6640625" style="128" customWidth="1"/>
    <col min="5" max="5" width="11.5546875" style="136" bestFit="1" customWidth="1"/>
    <col min="6" max="6" width="8.88671875" style="128" customWidth="1"/>
    <col min="7" max="7" width="12.99609375" style="128" customWidth="1"/>
    <col min="8" max="16384" width="8.88671875" style="128" customWidth="1"/>
  </cols>
  <sheetData>
    <row r="1" ht="18.75">
      <c r="A1" s="158" t="s">
        <v>397</v>
      </c>
    </row>
    <row r="2" ht="17.25">
      <c r="A2" s="157" t="s">
        <v>450</v>
      </c>
    </row>
    <row r="3" ht="17.25">
      <c r="A3" s="157" t="s">
        <v>532</v>
      </c>
    </row>
    <row r="5" ht="34.5">
      <c r="B5" s="129" t="s">
        <v>341</v>
      </c>
    </row>
    <row r="6" spans="2:3" ht="17.25">
      <c r="B6" s="129"/>
      <c r="C6" s="130" t="s">
        <v>447</v>
      </c>
    </row>
    <row r="7" spans="2:5" ht="17.25">
      <c r="B7" s="171">
        <v>561.1</v>
      </c>
      <c r="D7" s="128" t="s">
        <v>347</v>
      </c>
      <c r="E7" s="281">
        <v>766.7205244</v>
      </c>
    </row>
    <row r="8" spans="2:5" ht="17.25">
      <c r="B8" s="171">
        <v>561.2</v>
      </c>
      <c r="C8" s="136"/>
      <c r="D8" s="136" t="s">
        <v>350</v>
      </c>
      <c r="E8" s="280">
        <v>1082.8980326</v>
      </c>
    </row>
    <row r="9" spans="2:7" ht="17.25">
      <c r="B9" s="171">
        <v>561.3</v>
      </c>
      <c r="C9" s="136"/>
      <c r="D9" s="136" t="s">
        <v>342</v>
      </c>
      <c r="E9" s="280">
        <v>316.7799879</v>
      </c>
      <c r="G9" s="127"/>
    </row>
    <row r="10" spans="2:7" ht="16.5" customHeight="1">
      <c r="B10" s="171">
        <v>561.4</v>
      </c>
      <c r="C10" s="136"/>
      <c r="D10" s="136" t="s">
        <v>348</v>
      </c>
      <c r="E10" s="280">
        <v>9411.68992</v>
      </c>
      <c r="G10" s="127"/>
    </row>
    <row r="11" spans="2:5" ht="17.25">
      <c r="B11" s="171">
        <v>562</v>
      </c>
      <c r="C11" s="136"/>
      <c r="D11" s="136" t="s">
        <v>343</v>
      </c>
      <c r="E11" s="280">
        <v>220.63279269999998</v>
      </c>
    </row>
    <row r="12" spans="2:5" ht="17.25">
      <c r="B12" s="171">
        <v>563</v>
      </c>
      <c r="C12" s="136"/>
      <c r="D12" s="136" t="s">
        <v>349</v>
      </c>
      <c r="E12" s="280">
        <v>15.530068799999997</v>
      </c>
    </row>
    <row r="13" spans="2:5" ht="17.25">
      <c r="B13" s="171">
        <v>566</v>
      </c>
      <c r="C13" s="136"/>
      <c r="D13" s="136" t="s">
        <v>344</v>
      </c>
      <c r="E13" s="280">
        <v>3.2240280999999995</v>
      </c>
    </row>
    <row r="14" spans="2:5" ht="17.25">
      <c r="B14" s="171">
        <v>567</v>
      </c>
      <c r="C14" s="192"/>
      <c r="D14" s="192" t="s">
        <v>345</v>
      </c>
      <c r="E14" s="289">
        <v>3.5</v>
      </c>
    </row>
    <row r="15" spans="2:5" ht="17.25">
      <c r="B15" s="171"/>
      <c r="C15" s="136"/>
      <c r="D15" s="136" t="s">
        <v>346</v>
      </c>
      <c r="E15" s="156">
        <f>SUM(E7:E14)</f>
        <v>11820.9753545</v>
      </c>
    </row>
    <row r="16" spans="2:4" ht="17.25">
      <c r="B16" s="171"/>
      <c r="C16" s="136"/>
      <c r="D16" s="136"/>
    </row>
    <row r="17" spans="2:7" ht="17.25">
      <c r="B17" s="283"/>
      <c r="C17" s="196" t="s">
        <v>448</v>
      </c>
      <c r="D17" s="136"/>
      <c r="E17" s="156"/>
      <c r="G17" s="147"/>
    </row>
    <row r="18" spans="2:5" ht="17.25">
      <c r="B18" s="171">
        <v>569</v>
      </c>
      <c r="C18" s="136"/>
      <c r="D18" s="136" t="s">
        <v>351</v>
      </c>
      <c r="E18" s="281">
        <v>17.9942009</v>
      </c>
    </row>
    <row r="19" spans="2:5" ht="17.25">
      <c r="B19" s="171">
        <v>569.1</v>
      </c>
      <c r="C19" s="136"/>
      <c r="D19" s="136" t="s">
        <v>352</v>
      </c>
      <c r="E19" s="280">
        <v>69</v>
      </c>
    </row>
    <row r="20" spans="2:5" ht="17.25">
      <c r="B20" s="171">
        <v>569.2</v>
      </c>
      <c r="C20" s="136"/>
      <c r="D20" s="136" t="s">
        <v>353</v>
      </c>
      <c r="E20" s="280">
        <v>357.5</v>
      </c>
    </row>
    <row r="21" spans="2:5" ht="17.25">
      <c r="B21" s="171">
        <v>569.3</v>
      </c>
      <c r="C21" s="136"/>
      <c r="D21" s="136" t="s">
        <v>354</v>
      </c>
      <c r="E21" s="280">
        <v>153.7255476</v>
      </c>
    </row>
    <row r="22" spans="2:5" ht="17.25">
      <c r="B22" s="171">
        <v>570</v>
      </c>
      <c r="C22" s="136"/>
      <c r="D22" s="136" t="s">
        <v>356</v>
      </c>
      <c r="E22" s="280">
        <v>215.368408</v>
      </c>
    </row>
    <row r="23" spans="2:5" ht="17.25">
      <c r="B23" s="171">
        <v>571</v>
      </c>
      <c r="C23" s="136"/>
      <c r="D23" s="192" t="s">
        <v>355</v>
      </c>
      <c r="E23" s="289">
        <v>524.0260792999999</v>
      </c>
    </row>
    <row r="24" spans="2:7" ht="17.25">
      <c r="B24" s="136"/>
      <c r="C24" s="136"/>
      <c r="D24" s="136" t="s">
        <v>366</v>
      </c>
      <c r="E24" s="156">
        <f>SUM(E17:E23)</f>
        <v>1337.6142357999997</v>
      </c>
      <c r="G24" s="127"/>
    </row>
    <row r="25" spans="2:7" ht="17.25">
      <c r="B25" s="136"/>
      <c r="C25" s="136"/>
      <c r="D25" s="136"/>
      <c r="G25" s="127"/>
    </row>
    <row r="26" spans="2:7" ht="17.25">
      <c r="B26" s="136"/>
      <c r="C26" s="136" t="s">
        <v>452</v>
      </c>
      <c r="D26" s="136"/>
      <c r="E26" s="156">
        <f>E24+E15</f>
        <v>13158.5895903</v>
      </c>
      <c r="G26" s="127"/>
    </row>
    <row r="27" spans="2:7" ht="17.25">
      <c r="B27" s="136"/>
      <c r="C27" s="136"/>
      <c r="D27" s="136"/>
      <c r="E27" s="156"/>
      <c r="G27" s="127"/>
    </row>
    <row r="28" spans="2:4" ht="17.25">
      <c r="B28" s="136"/>
      <c r="C28" s="136" t="s">
        <v>368</v>
      </c>
      <c r="D28" s="136"/>
    </row>
    <row r="29" spans="2:5" ht="17.25">
      <c r="B29" s="171">
        <v>928</v>
      </c>
      <c r="C29" s="136"/>
      <c r="D29" s="136" t="s">
        <v>369</v>
      </c>
      <c r="E29" s="281">
        <v>568.676</v>
      </c>
    </row>
    <row r="30" spans="2:7" ht="17.25">
      <c r="B30" s="136"/>
      <c r="C30" s="136"/>
      <c r="D30" s="136"/>
      <c r="E30" s="156"/>
      <c r="G30" s="127"/>
    </row>
    <row r="31" spans="2:7" ht="17.25">
      <c r="B31" s="136"/>
      <c r="C31" s="136"/>
      <c r="D31" s="136"/>
      <c r="E31" s="156"/>
      <c r="G31" s="127"/>
    </row>
    <row r="32" spans="2:7" ht="17.25">
      <c r="B32" s="136"/>
      <c r="C32" s="136"/>
      <c r="D32" s="136"/>
      <c r="E32" s="156"/>
      <c r="G32" s="127"/>
    </row>
    <row r="33" spans="2:7" ht="17.25">
      <c r="B33" s="136"/>
      <c r="C33" s="136"/>
      <c r="D33" s="136"/>
      <c r="E33" s="156"/>
      <c r="G33" s="127"/>
    </row>
    <row r="34" spans="1:7" ht="18.75">
      <c r="A34" s="158" t="s">
        <v>397</v>
      </c>
      <c r="B34" s="136"/>
      <c r="C34" s="136"/>
      <c r="D34" s="136"/>
      <c r="E34" s="156"/>
      <c r="G34" s="127"/>
    </row>
    <row r="35" spans="1:7" ht="17.25">
      <c r="A35" s="157" t="s">
        <v>451</v>
      </c>
      <c r="B35" s="136"/>
      <c r="C35" s="136"/>
      <c r="D35" s="136"/>
      <c r="E35" s="156"/>
      <c r="G35" s="127"/>
    </row>
    <row r="36" spans="1:7" ht="17.25">
      <c r="A36" s="157" t="s">
        <v>454</v>
      </c>
      <c r="B36" s="136"/>
      <c r="C36" s="136"/>
      <c r="D36" s="136"/>
      <c r="E36" s="156"/>
      <c r="G36" s="127"/>
    </row>
    <row r="37" spans="1:7" ht="17.25">
      <c r="A37" s="157" t="s">
        <v>532</v>
      </c>
      <c r="B37" s="136"/>
      <c r="C37" s="136"/>
      <c r="D37" s="136"/>
      <c r="G37" s="127"/>
    </row>
    <row r="38" spans="2:4" ht="17.25">
      <c r="B38" s="136"/>
      <c r="C38" s="136"/>
      <c r="D38" s="136"/>
    </row>
    <row r="39" spans="2:4" ht="34.5">
      <c r="B39" s="283" t="s">
        <v>341</v>
      </c>
      <c r="C39" s="136"/>
      <c r="D39" s="136"/>
    </row>
    <row r="40" spans="2:6" ht="17.25">
      <c r="B40" s="283"/>
      <c r="C40" s="196" t="s">
        <v>449</v>
      </c>
      <c r="D40" s="136"/>
      <c r="F40" s="136"/>
    </row>
    <row r="41" spans="2:7" ht="17.25">
      <c r="B41" s="171">
        <v>920</v>
      </c>
      <c r="C41" s="136"/>
      <c r="D41" s="136" t="s">
        <v>358</v>
      </c>
      <c r="E41" s="282">
        <v>13858.110050000001</v>
      </c>
      <c r="F41" s="136"/>
      <c r="G41" s="147"/>
    </row>
    <row r="42" spans="2:6" ht="17.25">
      <c r="B42" s="171">
        <v>921</v>
      </c>
      <c r="C42" s="136"/>
      <c r="D42" s="136" t="s">
        <v>359</v>
      </c>
      <c r="E42" s="280">
        <v>5396.593645327999</v>
      </c>
      <c r="F42" s="136"/>
    </row>
    <row r="43" spans="1:6" ht="17.25">
      <c r="A43" s="131" t="s">
        <v>357</v>
      </c>
      <c r="B43" s="171">
        <v>922</v>
      </c>
      <c r="C43" s="136"/>
      <c r="D43" s="136" t="s">
        <v>360</v>
      </c>
      <c r="E43" s="280">
        <v>-1774.656</v>
      </c>
      <c r="F43" s="136"/>
    </row>
    <row r="44" spans="2:6" ht="17.25">
      <c r="B44" s="171">
        <v>923</v>
      </c>
      <c r="C44" s="136"/>
      <c r="D44" s="136" t="s">
        <v>365</v>
      </c>
      <c r="E44" s="280">
        <v>13456.214519462</v>
      </c>
      <c r="F44" s="136"/>
    </row>
    <row r="45" spans="2:6" ht="17.25">
      <c r="B45" s="171">
        <v>924</v>
      </c>
      <c r="C45" s="136"/>
      <c r="D45" s="136" t="s">
        <v>361</v>
      </c>
      <c r="E45" s="280">
        <v>974.265</v>
      </c>
      <c r="F45" s="136"/>
    </row>
    <row r="46" spans="2:6" ht="17.25">
      <c r="B46" s="171">
        <v>925</v>
      </c>
      <c r="C46" s="136"/>
      <c r="D46" s="136" t="s">
        <v>362</v>
      </c>
      <c r="E46" s="280">
        <v>1636.083858088</v>
      </c>
      <c r="F46" s="136"/>
    </row>
    <row r="47" spans="2:6" ht="17.25">
      <c r="B47" s="171">
        <v>926</v>
      </c>
      <c r="C47" s="136"/>
      <c r="D47" s="136" t="s">
        <v>367</v>
      </c>
      <c r="E47" s="280">
        <v>23.182142044</v>
      </c>
      <c r="F47" s="136"/>
    </row>
    <row r="48" spans="2:6" ht="17.25">
      <c r="B48" s="171">
        <v>928</v>
      </c>
      <c r="C48" s="136"/>
      <c r="D48" s="136" t="s">
        <v>370</v>
      </c>
      <c r="E48" s="280">
        <v>771.876</v>
      </c>
      <c r="F48" s="136"/>
    </row>
    <row r="49" spans="2:6" ht="17.25">
      <c r="B49" s="171">
        <v>930.2</v>
      </c>
      <c r="C49" s="136"/>
      <c r="D49" s="136" t="s">
        <v>363</v>
      </c>
      <c r="E49" s="280">
        <v>2189.4760218019997</v>
      </c>
      <c r="F49" s="136"/>
    </row>
    <row r="50" spans="2:6" ht="17.25">
      <c r="B50" s="171">
        <v>931</v>
      </c>
      <c r="C50" s="136"/>
      <c r="D50" s="136" t="s">
        <v>345</v>
      </c>
      <c r="E50" s="280">
        <v>43.659374292</v>
      </c>
      <c r="F50" s="136"/>
    </row>
    <row r="51" spans="2:6" ht="17.25">
      <c r="B51" s="171">
        <v>935</v>
      </c>
      <c r="C51" s="136"/>
      <c r="D51" s="192" t="s">
        <v>364</v>
      </c>
      <c r="E51" s="289">
        <v>67.439056932</v>
      </c>
      <c r="F51" s="136"/>
    </row>
    <row r="52" spans="2:7" ht="17.25">
      <c r="B52" s="171"/>
      <c r="C52" s="136"/>
      <c r="D52" s="136" t="s">
        <v>455</v>
      </c>
      <c r="E52" s="172">
        <f>SUM(E41:E51)</f>
        <v>36642.24366794801</v>
      </c>
      <c r="F52" s="136"/>
      <c r="G52" s="127"/>
    </row>
    <row r="53" spans="2:6" ht="17.25">
      <c r="B53" s="171"/>
      <c r="C53" s="136"/>
      <c r="D53" s="136"/>
      <c r="F53" s="136"/>
    </row>
    <row r="54" spans="2:6" ht="17.25">
      <c r="B54" s="136"/>
      <c r="C54" s="136"/>
      <c r="D54" s="136"/>
      <c r="F54" s="136"/>
    </row>
    <row r="55" spans="2:6" ht="17.25">
      <c r="B55" s="136"/>
      <c r="C55" s="196" t="s">
        <v>78</v>
      </c>
      <c r="D55" s="136"/>
      <c r="F55" s="136"/>
    </row>
    <row r="56" spans="2:9" ht="17.25">
      <c r="B56" s="136"/>
      <c r="C56" s="136"/>
      <c r="D56" s="136" t="s">
        <v>40</v>
      </c>
      <c r="E56" s="282">
        <v>7139</v>
      </c>
      <c r="F56" s="136"/>
      <c r="G56" s="144"/>
      <c r="I56" s="147"/>
    </row>
    <row r="57" spans="2:7" ht="17.25">
      <c r="B57" s="136"/>
      <c r="C57" s="136"/>
      <c r="D57" s="136" t="s">
        <v>371</v>
      </c>
      <c r="E57" s="280">
        <v>561</v>
      </c>
      <c r="F57" s="136"/>
      <c r="G57" s="125"/>
    </row>
    <row r="58" spans="2:7" ht="17.25">
      <c r="B58" s="136"/>
      <c r="C58" s="136"/>
      <c r="D58" s="136" t="s">
        <v>330</v>
      </c>
      <c r="E58" s="280">
        <v>1180</v>
      </c>
      <c r="F58" s="136"/>
      <c r="G58" s="125"/>
    </row>
    <row r="59" spans="2:6" ht="17.25">
      <c r="B59" s="136"/>
      <c r="C59" s="136"/>
      <c r="D59" s="136"/>
      <c r="F59" s="136"/>
    </row>
    <row r="60" spans="2:7" ht="17.25">
      <c r="B60" s="131"/>
      <c r="F60" s="136"/>
      <c r="G60" s="127"/>
    </row>
    <row r="61" spans="3:6" ht="17.25">
      <c r="C61" s="284" t="s">
        <v>453</v>
      </c>
      <c r="F61" s="136"/>
    </row>
    <row r="62" spans="4:6" ht="17.25">
      <c r="D62" s="136"/>
      <c r="E62" s="338" t="s">
        <v>373</v>
      </c>
      <c r="F62" s="339" t="s">
        <v>374</v>
      </c>
    </row>
    <row r="63" spans="4:6" ht="17.25">
      <c r="D63" s="128" t="s">
        <v>377</v>
      </c>
      <c r="E63" s="127">
        <v>806.6667</v>
      </c>
      <c r="F63" s="127">
        <v>651.24</v>
      </c>
    </row>
    <row r="64" spans="4:6" ht="17.25">
      <c r="D64" s="128" t="s">
        <v>378</v>
      </c>
      <c r="E64" s="127">
        <v>806.6667</v>
      </c>
      <c r="F64" s="127">
        <v>620.45</v>
      </c>
    </row>
    <row r="65" spans="4:6" ht="17.25">
      <c r="D65" s="128" t="s">
        <v>379</v>
      </c>
      <c r="E65" s="127">
        <v>806.6667</v>
      </c>
      <c r="F65" s="127">
        <v>615.82</v>
      </c>
    </row>
    <row r="66" spans="4:6" ht="17.25">
      <c r="D66" s="128" t="s">
        <v>380</v>
      </c>
      <c r="E66" s="127">
        <v>806.6667</v>
      </c>
      <c r="F66" s="127">
        <v>573.56</v>
      </c>
    </row>
    <row r="67" spans="4:6" ht="17.25">
      <c r="D67" s="128" t="s">
        <v>381</v>
      </c>
      <c r="E67" s="127">
        <v>806.6667</v>
      </c>
      <c r="F67" s="125">
        <v>644.74</v>
      </c>
    </row>
    <row r="68" spans="4:6" ht="17.25">
      <c r="D68" s="128" t="s">
        <v>382</v>
      </c>
      <c r="E68" s="127">
        <v>806.6667</v>
      </c>
      <c r="F68" s="125">
        <v>770.21</v>
      </c>
    </row>
    <row r="69" spans="4:6" ht="17.25">
      <c r="D69" s="128" t="s">
        <v>383</v>
      </c>
      <c r="E69" s="127">
        <v>806.6667</v>
      </c>
      <c r="F69" s="125">
        <v>852.67</v>
      </c>
    </row>
    <row r="70" spans="4:6" ht="17.25">
      <c r="D70" s="128" t="s">
        <v>384</v>
      </c>
      <c r="E70" s="127">
        <v>806.6667</v>
      </c>
      <c r="F70" s="125">
        <v>797.28</v>
      </c>
    </row>
    <row r="71" spans="4:6" ht="17.25">
      <c r="D71" s="128" t="s">
        <v>385</v>
      </c>
      <c r="E71" s="127">
        <v>806.6667</v>
      </c>
      <c r="F71" s="125">
        <v>662.42</v>
      </c>
    </row>
    <row r="72" spans="4:6" ht="17.25">
      <c r="D72" s="128" t="s">
        <v>386</v>
      </c>
      <c r="E72" s="127">
        <v>806.6667</v>
      </c>
      <c r="F72" s="125">
        <v>578.12</v>
      </c>
    </row>
    <row r="73" spans="4:6" ht="17.25">
      <c r="D73" s="128" t="s">
        <v>387</v>
      </c>
      <c r="E73" s="127">
        <v>806.6667</v>
      </c>
      <c r="F73" s="125">
        <v>632.86</v>
      </c>
    </row>
    <row r="74" spans="4:6" ht="17.25">
      <c r="D74" s="128" t="s">
        <v>388</v>
      </c>
      <c r="E74" s="307">
        <v>806.6667</v>
      </c>
      <c r="F74" s="340">
        <v>688.47</v>
      </c>
    </row>
    <row r="75" spans="5:6" ht="17.25">
      <c r="E75" s="282">
        <f>SUM(E63:E74)</f>
        <v>9680.000399999999</v>
      </c>
      <c r="F75" s="282">
        <f>SUM(F63:F74)</f>
        <v>8087.84</v>
      </c>
    </row>
    <row r="77" spans="4:5" ht="17.25">
      <c r="D77" s="133" t="s">
        <v>372</v>
      </c>
      <c r="E77" s="280">
        <v>491.793</v>
      </c>
    </row>
  </sheetData>
  <sheetProtection/>
  <printOptions/>
  <pageMargins left="0.7" right="0.7" top="0.75" bottom="0.75" header="0.3" footer="0.3"/>
  <pageSetup horizontalDpi="600" verticalDpi="600" orientation="portrait" scale="65" r:id="rId1"/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="80" zoomScaleNormal="80" zoomScaleSheetLayoutView="80" zoomScalePageLayoutView="0" workbookViewId="0" topLeftCell="A3">
      <selection activeCell="E10" sqref="E10"/>
    </sheetView>
  </sheetViews>
  <sheetFormatPr defaultColWidth="8.88671875" defaultRowHeight="15"/>
  <cols>
    <col min="1" max="2" width="8.88671875" style="128" customWidth="1"/>
    <col min="3" max="3" width="3.3359375" style="128" customWidth="1"/>
    <col min="4" max="4" width="43.5546875" style="128" customWidth="1"/>
    <col min="5" max="5" width="22.3359375" style="128" bestFit="1" customWidth="1"/>
    <col min="6" max="6" width="13.4453125" style="136" customWidth="1"/>
    <col min="7" max="7" width="14.10546875" style="128" bestFit="1" customWidth="1"/>
    <col min="8" max="16384" width="8.88671875" style="128" customWidth="1"/>
  </cols>
  <sheetData>
    <row r="1" ht="18.75">
      <c r="A1" s="158" t="s">
        <v>397</v>
      </c>
    </row>
    <row r="2" ht="17.25">
      <c r="A2" s="128" t="s">
        <v>456</v>
      </c>
    </row>
    <row r="5" ht="17.25">
      <c r="C5" s="132" t="s">
        <v>107</v>
      </c>
    </row>
    <row r="6" spans="3:5" ht="17.25">
      <c r="C6" s="157" t="s">
        <v>532</v>
      </c>
      <c r="E6" s="128" t="s">
        <v>515</v>
      </c>
    </row>
    <row r="7" spans="2:8" ht="17.25">
      <c r="B7" s="135"/>
      <c r="D7" s="133" t="s">
        <v>46</v>
      </c>
      <c r="E7" s="282">
        <v>13544.0512857</v>
      </c>
      <c r="F7" s="156"/>
      <c r="G7" s="144"/>
      <c r="H7" s="147"/>
    </row>
    <row r="8" spans="2:7" ht="17.25">
      <c r="B8" s="135"/>
      <c r="D8" s="133" t="s">
        <v>48</v>
      </c>
      <c r="E8" s="280">
        <v>1611.5045092999999</v>
      </c>
      <c r="F8" s="127"/>
      <c r="G8" s="125"/>
    </row>
    <row r="9" spans="2:7" ht="17.25">
      <c r="B9" s="135"/>
      <c r="D9" s="133" t="s">
        <v>49</v>
      </c>
      <c r="E9" s="280">
        <v>5635.429591120999</v>
      </c>
      <c r="F9" s="127"/>
      <c r="G9" s="125"/>
    </row>
    <row r="10" spans="2:7" ht="17.25">
      <c r="B10" s="135"/>
      <c r="D10" s="133" t="s">
        <v>112</v>
      </c>
      <c r="E10" s="280">
        <v>2092.8673516999997</v>
      </c>
      <c r="F10" s="127"/>
      <c r="G10" s="125"/>
    </row>
    <row r="11" spans="2:6" ht="17.25">
      <c r="B11" s="135"/>
      <c r="D11" s="133"/>
      <c r="E11" s="127"/>
      <c r="F11" s="127"/>
    </row>
    <row r="12" spans="2:6" ht="17.25">
      <c r="B12" s="135"/>
      <c r="C12" s="132" t="s">
        <v>375</v>
      </c>
      <c r="E12" s="128" t="s">
        <v>516</v>
      </c>
      <c r="F12" s="127"/>
    </row>
    <row r="13" spans="3:6" ht="17.25">
      <c r="C13" s="124" t="s">
        <v>542</v>
      </c>
      <c r="D13" s="133"/>
      <c r="E13" s="127"/>
      <c r="F13" s="127"/>
    </row>
    <row r="14" spans="2:8" ht="17.25">
      <c r="B14" s="134"/>
      <c r="D14" s="133" t="s">
        <v>117</v>
      </c>
      <c r="E14" s="282">
        <v>2307</v>
      </c>
      <c r="F14" s="156"/>
      <c r="H14" s="126"/>
    </row>
    <row r="15" spans="2:6" ht="17.25">
      <c r="B15" s="134"/>
      <c r="D15" s="133" t="s">
        <v>122</v>
      </c>
      <c r="E15" s="280">
        <v>256</v>
      </c>
      <c r="F15" s="127"/>
    </row>
    <row r="16" spans="2:6" ht="17.25">
      <c r="B16" s="137"/>
      <c r="D16" s="188" t="s">
        <v>124</v>
      </c>
      <c r="E16" s="231">
        <v>0</v>
      </c>
      <c r="F16" s="127"/>
    </row>
    <row r="17" ht="17.25">
      <c r="E17" s="156">
        <f>SUM(E14:E16)</f>
        <v>2563</v>
      </c>
    </row>
    <row r="19" ht="17.25">
      <c r="F19" s="313"/>
    </row>
  </sheetData>
  <sheetProtection/>
  <printOptions/>
  <pageMargins left="0.75" right="0.75" top="1" bottom="1" header="0.5" footer="0.5"/>
  <pageSetup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="80" zoomScaleNormal="80" zoomScaleSheetLayoutView="70" zoomScalePageLayoutView="0" workbookViewId="0" topLeftCell="A1">
      <selection activeCell="K30" sqref="K30"/>
    </sheetView>
  </sheetViews>
  <sheetFormatPr defaultColWidth="8.88671875" defaultRowHeight="15"/>
  <cols>
    <col min="1" max="1" width="8.5546875" style="138" customWidth="1"/>
    <col min="2" max="2" width="7.3359375" style="138" customWidth="1"/>
    <col min="3" max="3" width="16.99609375" style="138" bestFit="1" customWidth="1"/>
    <col min="4" max="4" width="1.99609375" style="138" customWidth="1"/>
    <col min="5" max="5" width="15.21484375" style="138" customWidth="1"/>
    <col min="6" max="6" width="9.3359375" style="138" customWidth="1"/>
    <col min="7" max="7" width="8.88671875" style="138" customWidth="1"/>
    <col min="8" max="8" width="10.6640625" style="138" customWidth="1"/>
    <col min="9" max="9" width="8.88671875" style="138" customWidth="1"/>
    <col min="10" max="10" width="15.3359375" style="138" customWidth="1"/>
    <col min="11" max="16384" width="8.88671875" style="138" customWidth="1"/>
  </cols>
  <sheetData>
    <row r="1" ht="18.75">
      <c r="A1" s="158" t="s">
        <v>397</v>
      </c>
    </row>
    <row r="2" ht="17.25">
      <c r="A2" s="128" t="s">
        <v>441</v>
      </c>
    </row>
    <row r="3" ht="17.25">
      <c r="A3" s="128" t="s">
        <v>531</v>
      </c>
    </row>
    <row r="5" spans="2:3" ht="17.25">
      <c r="B5" s="173" t="s">
        <v>434</v>
      </c>
      <c r="C5" s="173"/>
    </row>
    <row r="6" spans="3:5" ht="17.25">
      <c r="C6" s="174" t="s">
        <v>435</v>
      </c>
      <c r="E6" s="295">
        <v>606218.437</v>
      </c>
    </row>
    <row r="7" spans="3:5" ht="17.25">
      <c r="C7" s="174" t="s">
        <v>436</v>
      </c>
      <c r="E7" s="139">
        <v>40420.950946666664</v>
      </c>
    </row>
    <row r="8" spans="3:5" ht="17.25">
      <c r="C8" s="175" t="s">
        <v>437</v>
      </c>
      <c r="E8" s="296">
        <f>+E7/E6</f>
        <v>0.06667720491428515</v>
      </c>
    </row>
    <row r="12" spans="2:3" ht="17.25">
      <c r="B12" s="173" t="s">
        <v>438</v>
      </c>
      <c r="C12" s="173"/>
    </row>
    <row r="13" spans="3:5" ht="17.25">
      <c r="C13" s="138" t="s">
        <v>438</v>
      </c>
      <c r="E13" s="295">
        <v>725333</v>
      </c>
    </row>
    <row r="14" spans="3:5" ht="17.25" hidden="1">
      <c r="C14" s="138" t="s">
        <v>439</v>
      </c>
      <c r="E14" s="140">
        <v>0</v>
      </c>
    </row>
    <row r="15" spans="3:5" ht="17.25" hidden="1">
      <c r="C15" s="173" t="s">
        <v>440</v>
      </c>
      <c r="D15" s="173"/>
      <c r="E15" s="177">
        <v>0</v>
      </c>
    </row>
    <row r="16" ht="18" thickBot="1">
      <c r="E16" s="178">
        <f>SUM(E13:E15)</f>
        <v>725333</v>
      </c>
    </row>
    <row r="17" ht="18" thickTop="1"/>
    <row r="20" spans="2:8" ht="17.25">
      <c r="B20" s="138" t="s">
        <v>441</v>
      </c>
      <c r="E20" s="138" t="s">
        <v>442</v>
      </c>
      <c r="F20" s="138" t="s">
        <v>443</v>
      </c>
      <c r="G20" s="138" t="s">
        <v>130</v>
      </c>
      <c r="H20" s="138" t="s">
        <v>133</v>
      </c>
    </row>
    <row r="21" spans="3:8" ht="17.25">
      <c r="C21" s="138" t="s">
        <v>434</v>
      </c>
      <c r="E21" s="179">
        <f>E6</f>
        <v>606218.437</v>
      </c>
      <c r="F21" s="180">
        <f>E21/E24</f>
        <v>0.4552722637330608</v>
      </c>
      <c r="G21" s="181">
        <f>E8</f>
        <v>0.06667720491428515</v>
      </c>
      <c r="H21" s="176">
        <f>G21*F21</f>
        <v>0.030356282020719768</v>
      </c>
    </row>
    <row r="22" spans="3:8" ht="17.25" hidden="1">
      <c r="C22" s="138" t="s">
        <v>444</v>
      </c>
      <c r="E22" s="182">
        <v>0</v>
      </c>
      <c r="F22" s="183">
        <v>0</v>
      </c>
      <c r="G22" s="183">
        <v>0</v>
      </c>
      <c r="H22" s="180">
        <f>G22*F22</f>
        <v>0</v>
      </c>
    </row>
    <row r="23" spans="3:8" ht="17.25">
      <c r="C23" s="138" t="s">
        <v>438</v>
      </c>
      <c r="E23" s="184">
        <f>E16</f>
        <v>725333</v>
      </c>
      <c r="F23" s="185">
        <f>E23/E24</f>
        <v>0.5447277362669393</v>
      </c>
      <c r="G23" s="297">
        <v>0.1238</v>
      </c>
      <c r="H23" s="186">
        <f>F23*G23</f>
        <v>0.06743729374984708</v>
      </c>
    </row>
    <row r="24" spans="3:10" ht="17.25">
      <c r="C24" s="138" t="s">
        <v>394</v>
      </c>
      <c r="E24" s="179">
        <f>SUM(E21:E23)</f>
        <v>1331551.437</v>
      </c>
      <c r="F24" s="180">
        <f>SUM(F21:F23)</f>
        <v>1</v>
      </c>
      <c r="H24" s="181">
        <f>SUM(H21:H23)</f>
        <v>0.09779357577056685</v>
      </c>
      <c r="J24" s="319"/>
    </row>
    <row r="30" ht="17.25">
      <c r="C30" s="187"/>
    </row>
  </sheetData>
  <sheetProtection/>
  <printOptions/>
  <pageMargins left="0.7" right="0.7" top="0.75" bottom="0.75" header="0.3" footer="0.3"/>
  <pageSetup horizontalDpi="600" verticalDpi="600" orientation="portrait" scale="93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="80" zoomScaleNormal="80" zoomScaleSheetLayoutView="80" zoomScalePageLayoutView="0" workbookViewId="0" topLeftCell="A7">
      <selection activeCell="H16" sqref="H16"/>
    </sheetView>
  </sheetViews>
  <sheetFormatPr defaultColWidth="8.88671875" defaultRowHeight="15"/>
  <cols>
    <col min="1" max="1" width="8.88671875" style="128" customWidth="1"/>
    <col min="2" max="2" width="3.21484375" style="128" customWidth="1"/>
    <col min="3" max="3" width="16.5546875" style="128" customWidth="1"/>
    <col min="4" max="4" width="12.4453125" style="128" bestFit="1" customWidth="1"/>
    <col min="5" max="8" width="8.88671875" style="128" customWidth="1"/>
    <col min="9" max="9" width="9.5546875" style="128" customWidth="1"/>
    <col min="10" max="10" width="8.88671875" style="128" customWidth="1"/>
    <col min="11" max="11" width="5.3359375" style="128" customWidth="1"/>
    <col min="12" max="12" width="3.99609375" style="128" customWidth="1"/>
    <col min="13" max="13" width="8.88671875" style="128" customWidth="1"/>
    <col min="14" max="14" width="10.10546875" style="128" customWidth="1"/>
    <col min="15" max="15" width="8.88671875" style="128" customWidth="1"/>
    <col min="16" max="16" width="3.77734375" style="128" customWidth="1"/>
    <col min="17" max="17" width="3.21484375" style="128" customWidth="1"/>
    <col min="18" max="18" width="8.88671875" style="128" customWidth="1"/>
    <col min="19" max="19" width="10.5546875" style="128" customWidth="1"/>
    <col min="20" max="20" width="8.88671875" style="128" customWidth="1"/>
    <col min="21" max="21" width="3.88671875" style="128" customWidth="1"/>
    <col min="22" max="16384" width="8.88671875" style="128" customWidth="1"/>
  </cols>
  <sheetData>
    <row r="1" ht="18.75">
      <c r="A1" s="158" t="s">
        <v>397</v>
      </c>
    </row>
    <row r="2" ht="17.25">
      <c r="A2" s="138" t="s">
        <v>376</v>
      </c>
    </row>
    <row r="3" ht="17.25">
      <c r="A3" s="142"/>
    </row>
    <row r="5" ht="17.25">
      <c r="B5" s="130" t="s">
        <v>391</v>
      </c>
    </row>
    <row r="6" spans="3:4" ht="17.25">
      <c r="C6" s="138" t="s">
        <v>376</v>
      </c>
      <c r="D6" s="138"/>
    </row>
    <row r="7" spans="3:4" ht="17.25">
      <c r="C7" s="138" t="s">
        <v>533</v>
      </c>
      <c r="D7" s="138"/>
    </row>
    <row r="8" spans="3:4" ht="17.25">
      <c r="C8" s="138"/>
      <c r="D8" s="138"/>
    </row>
    <row r="9" spans="3:5" ht="21" customHeight="1">
      <c r="C9" s="138" t="s">
        <v>377</v>
      </c>
      <c r="D9" s="293">
        <v>948</v>
      </c>
      <c r="E9" s="146"/>
    </row>
    <row r="10" spans="3:5" ht="22.5">
      <c r="C10" s="138" t="s">
        <v>378</v>
      </c>
      <c r="D10" s="293">
        <v>916</v>
      </c>
      <c r="E10" s="146"/>
    </row>
    <row r="11" spans="3:5" ht="22.5">
      <c r="C11" s="138" t="s">
        <v>379</v>
      </c>
      <c r="D11" s="293">
        <v>858</v>
      </c>
      <c r="E11" s="146"/>
    </row>
    <row r="12" spans="3:5" ht="22.5">
      <c r="C12" s="138" t="s">
        <v>380</v>
      </c>
      <c r="D12" s="293">
        <v>832</v>
      </c>
      <c r="E12" s="146"/>
    </row>
    <row r="13" spans="3:5" ht="22.5">
      <c r="C13" s="138" t="s">
        <v>381</v>
      </c>
      <c r="D13" s="293">
        <v>990</v>
      </c>
      <c r="E13" s="146"/>
    </row>
    <row r="14" spans="3:5" ht="22.5">
      <c r="C14" s="138" t="s">
        <v>382</v>
      </c>
      <c r="D14" s="293">
        <v>1192</v>
      </c>
      <c r="E14" s="146"/>
    </row>
    <row r="15" spans="3:5" ht="22.5">
      <c r="C15" s="138" t="s">
        <v>383</v>
      </c>
      <c r="D15" s="293">
        <v>1150</v>
      </c>
      <c r="E15" s="146"/>
    </row>
    <row r="16" spans="3:5" ht="22.5">
      <c r="C16" s="138" t="s">
        <v>384</v>
      </c>
      <c r="D16" s="293">
        <v>1223</v>
      </c>
      <c r="E16" s="146"/>
    </row>
    <row r="17" spans="3:5" ht="22.5">
      <c r="C17" s="138" t="s">
        <v>385</v>
      </c>
      <c r="D17" s="293">
        <v>1025</v>
      </c>
      <c r="E17" s="146"/>
    </row>
    <row r="18" spans="3:5" ht="22.5">
      <c r="C18" s="138" t="s">
        <v>386</v>
      </c>
      <c r="D18" s="293">
        <v>806</v>
      </c>
      <c r="E18" s="146"/>
    </row>
    <row r="19" spans="3:5" ht="22.5">
      <c r="C19" s="138" t="s">
        <v>387</v>
      </c>
      <c r="D19" s="293">
        <v>783</v>
      </c>
      <c r="E19" s="146"/>
    </row>
    <row r="20" spans="3:5" ht="22.5">
      <c r="C20" s="138" t="s">
        <v>388</v>
      </c>
      <c r="D20" s="294">
        <v>869</v>
      </c>
      <c r="E20" s="146"/>
    </row>
    <row r="21" spans="3:4" ht="17.25">
      <c r="C21" s="138"/>
      <c r="D21" s="139">
        <f>SUM(D9:D20)</f>
        <v>11592</v>
      </c>
    </row>
    <row r="22" spans="3:4" ht="17.25">
      <c r="C22" s="138" t="s">
        <v>389</v>
      </c>
      <c r="D22" s="140">
        <f>D21/12</f>
        <v>966</v>
      </c>
    </row>
    <row r="23" spans="3:4" ht="18" thickBot="1">
      <c r="C23" s="138" t="s">
        <v>390</v>
      </c>
      <c r="D23" s="141">
        <f>D22*1000</f>
        <v>966000</v>
      </c>
    </row>
    <row r="24" ht="19.5" thickTop="1">
      <c r="C24" s="145"/>
    </row>
    <row r="25" ht="22.5">
      <c r="C25" s="14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zoomScaleSheetLayoutView="90" zoomScalePageLayoutView="0" workbookViewId="0" topLeftCell="B7">
      <selection activeCell="C11" sqref="C11:C17"/>
    </sheetView>
  </sheetViews>
  <sheetFormatPr defaultColWidth="8.88671875" defaultRowHeight="15"/>
  <cols>
    <col min="1" max="1" width="6.4453125" style="190" customWidth="1"/>
    <col min="2" max="2" width="25.4453125" style="190" customWidth="1"/>
    <col min="3" max="8" width="18.77734375" style="190" customWidth="1"/>
    <col min="9" max="11" width="10.99609375" style="190" customWidth="1"/>
    <col min="12" max="16384" width="8.88671875" style="190" customWidth="1"/>
  </cols>
  <sheetData>
    <row r="1" ht="18">
      <c r="A1" s="158" t="s">
        <v>397</v>
      </c>
    </row>
    <row r="2" ht="17.25">
      <c r="A2" s="166" t="s">
        <v>457</v>
      </c>
    </row>
    <row r="4" s="136" customFormat="1" ht="17.25">
      <c r="B4" s="136" t="s">
        <v>392</v>
      </c>
    </row>
    <row r="5" s="136" customFormat="1" ht="17.25">
      <c r="B5" s="191"/>
    </row>
    <row r="6" s="136" customFormat="1" ht="17.25">
      <c r="B6" s="136" t="s">
        <v>528</v>
      </c>
    </row>
    <row r="7" spans="2:3" s="136" customFormat="1" ht="17.25">
      <c r="B7" s="136" t="s">
        <v>520</v>
      </c>
      <c r="C7" s="280">
        <v>829838.2178504932</v>
      </c>
    </row>
    <row r="8" spans="2:3" s="136" customFormat="1" ht="17.25">
      <c r="B8" s="136" t="s">
        <v>519</v>
      </c>
      <c r="C8" s="280">
        <f>+H45</f>
        <v>2560445.4816409065</v>
      </c>
    </row>
    <row r="9" spans="2:11" s="136" customFormat="1" ht="17.25">
      <c r="B9" s="136" t="s">
        <v>517</v>
      </c>
      <c r="C9" s="127">
        <f>+'Attachment O'!J236</f>
        <v>17645427.7851693</v>
      </c>
      <c r="D9" s="156"/>
      <c r="G9" s="156"/>
      <c r="H9" s="156"/>
      <c r="I9" s="156"/>
      <c r="J9" s="156"/>
      <c r="K9" s="156"/>
    </row>
    <row r="10" spans="2:11" s="136" customFormat="1" ht="17.25">
      <c r="B10" s="192" t="s">
        <v>393</v>
      </c>
      <c r="C10" s="289">
        <v>756028</v>
      </c>
      <c r="D10" s="156"/>
      <c r="G10" s="156"/>
      <c r="H10" s="156"/>
      <c r="I10" s="156"/>
      <c r="J10" s="156"/>
      <c r="K10" s="156"/>
    </row>
    <row r="11" spans="2:11" s="136" customFormat="1" ht="17.25">
      <c r="B11" s="136" t="s">
        <v>9</v>
      </c>
      <c r="C11" s="127">
        <f>SUM(C7:C10)</f>
        <v>21791739.4846607</v>
      </c>
      <c r="D11" s="156"/>
      <c r="G11" s="156"/>
      <c r="H11" s="156"/>
      <c r="I11" s="156"/>
      <c r="J11" s="156"/>
      <c r="K11" s="156"/>
    </row>
    <row r="12" spans="3:11" s="136" customFormat="1" ht="17.25">
      <c r="C12" s="127"/>
      <c r="D12" s="156"/>
      <c r="G12" s="156"/>
      <c r="H12" s="156"/>
      <c r="I12" s="156"/>
      <c r="J12" s="156"/>
      <c r="K12" s="156"/>
    </row>
    <row r="13" spans="2:11" s="136" customFormat="1" ht="17.25">
      <c r="B13" s="136" t="s">
        <v>529</v>
      </c>
      <c r="C13" s="127"/>
      <c r="D13" s="156"/>
      <c r="E13" s="156"/>
      <c r="F13" s="156"/>
      <c r="G13" s="156"/>
      <c r="H13" s="156"/>
      <c r="I13" s="156"/>
      <c r="J13" s="156"/>
      <c r="K13" s="156"/>
    </row>
    <row r="14" spans="2:11" s="136" customFormat="1" ht="17.25">
      <c r="B14" s="136" t="s">
        <v>522</v>
      </c>
      <c r="C14" s="127">
        <v>69541.05719616271</v>
      </c>
      <c r="D14" s="156"/>
      <c r="E14" s="156"/>
      <c r="F14" s="156"/>
      <c r="G14" s="156"/>
      <c r="H14" s="156"/>
      <c r="I14" s="156"/>
      <c r="J14" s="156"/>
      <c r="K14" s="156"/>
    </row>
    <row r="15" spans="2:11" s="136" customFormat="1" ht="17.25">
      <c r="B15" s="136" t="s">
        <v>523</v>
      </c>
      <c r="C15" s="127">
        <v>154736.75284965473</v>
      </c>
      <c r="D15" s="127"/>
      <c r="E15" s="127"/>
      <c r="F15" s="127"/>
      <c r="G15" s="127"/>
      <c r="H15" s="127"/>
      <c r="I15" s="127"/>
      <c r="J15" s="127"/>
      <c r="K15" s="127"/>
    </row>
    <row r="16" spans="2:11" s="136" customFormat="1" ht="17.25">
      <c r="B16" s="136" t="s">
        <v>521</v>
      </c>
      <c r="C16" s="189">
        <v>360000</v>
      </c>
      <c r="D16" s="189"/>
      <c r="E16" s="189"/>
      <c r="F16" s="189"/>
      <c r="G16" s="189"/>
      <c r="H16" s="189"/>
      <c r="I16" s="189"/>
      <c r="J16" s="189"/>
      <c r="K16" s="189"/>
    </row>
    <row r="17" spans="3:11" s="136" customFormat="1" ht="17.25">
      <c r="C17" s="231"/>
      <c r="D17" s="189"/>
      <c r="E17" s="189"/>
      <c r="F17" s="189"/>
      <c r="G17" s="189"/>
      <c r="H17" s="189"/>
      <c r="I17" s="189"/>
      <c r="J17" s="189"/>
      <c r="K17" s="189"/>
    </row>
    <row r="18" spans="2:11" s="136" customFormat="1" ht="17.25">
      <c r="B18" s="136" t="s">
        <v>530</v>
      </c>
      <c r="C18" s="127">
        <f>SUM(C11:C16)</f>
        <v>22376017.294706516</v>
      </c>
      <c r="D18" s="156"/>
      <c r="E18" s="156"/>
      <c r="F18" s="156"/>
      <c r="G18" s="156"/>
      <c r="H18" s="156"/>
      <c r="I18" s="156"/>
      <c r="J18" s="156"/>
      <c r="K18" s="156"/>
    </row>
    <row r="19" s="136" customFormat="1" ht="17.25">
      <c r="C19" s="127"/>
    </row>
    <row r="20" spans="2:3" s="136" customFormat="1" ht="17.25">
      <c r="B20" s="136" t="s">
        <v>524</v>
      </c>
      <c r="C20" s="127">
        <f>+C14</f>
        <v>69541.05719616271</v>
      </c>
    </row>
    <row r="21" spans="2:3" s="136" customFormat="1" ht="17.25">
      <c r="B21" s="136" t="s">
        <v>525</v>
      </c>
      <c r="C21" s="127">
        <f>+C15</f>
        <v>154736.75284965473</v>
      </c>
    </row>
    <row r="22" spans="2:3" s="136" customFormat="1" ht="17.25">
      <c r="B22" s="136" t="s">
        <v>527</v>
      </c>
      <c r="C22" s="189">
        <f>H45</f>
        <v>2560445.4816409065</v>
      </c>
    </row>
    <row r="23" spans="2:3" s="136" customFormat="1" ht="17.25">
      <c r="B23" s="136" t="s">
        <v>526</v>
      </c>
      <c r="C23" s="127">
        <f>+C16</f>
        <v>360000</v>
      </c>
    </row>
    <row r="24" s="136" customFormat="1" ht="17.25" hidden="1"/>
    <row r="25" spans="2:7" s="136" customFormat="1" ht="17.25">
      <c r="B25" s="136" t="s">
        <v>518</v>
      </c>
      <c r="C25" s="231">
        <f>+C9</f>
        <v>17645427.7851693</v>
      </c>
      <c r="G25" s="194"/>
    </row>
    <row r="26" spans="4:11" s="136" customFormat="1" ht="17.25">
      <c r="D26" s="194"/>
      <c r="E26" s="194"/>
      <c r="F26" s="194"/>
      <c r="H26" s="194"/>
      <c r="I26" s="194"/>
      <c r="J26" s="194"/>
      <c r="K26" s="194"/>
    </row>
    <row r="27" spans="2:3" s="136" customFormat="1" ht="18" thickBot="1">
      <c r="B27" s="195" t="s">
        <v>395</v>
      </c>
      <c r="C27" s="278">
        <f>C18-SUM(C20:C25)</f>
        <v>1585866.2178504914</v>
      </c>
    </row>
    <row r="28" spans="4:11" s="136" customFormat="1" ht="18" thickTop="1">
      <c r="D28" s="194"/>
      <c r="E28" s="194"/>
      <c r="G28" s="194"/>
      <c r="H28" s="194"/>
      <c r="I28" s="194"/>
      <c r="J28" s="194"/>
      <c r="K28" s="194"/>
    </row>
    <row r="29" s="136" customFormat="1" ht="17.25"/>
    <row r="30" s="136" customFormat="1" ht="17.25"/>
    <row r="31" s="136" customFormat="1" ht="17.25">
      <c r="B31" s="196" t="s">
        <v>459</v>
      </c>
    </row>
    <row r="32" spans="3:8" s="136" customFormat="1" ht="45.75" customHeight="1">
      <c r="C32" s="203" t="s">
        <v>536</v>
      </c>
      <c r="D32" s="203" t="s">
        <v>537</v>
      </c>
      <c r="E32" s="203" t="s">
        <v>538</v>
      </c>
      <c r="F32" s="203" t="s">
        <v>471</v>
      </c>
      <c r="G32" s="203" t="s">
        <v>472</v>
      </c>
      <c r="H32" s="199" t="s">
        <v>9</v>
      </c>
    </row>
    <row r="33" spans="2:8" s="136" customFormat="1" ht="17.25">
      <c r="B33" s="161">
        <v>40179</v>
      </c>
      <c r="C33" s="290">
        <v>6094.134325082004</v>
      </c>
      <c r="D33" s="290">
        <v>34388.32940581989</v>
      </c>
      <c r="E33" s="290">
        <v>104470.87414426294</v>
      </c>
      <c r="F33" s="290">
        <v>14364.745194836154</v>
      </c>
      <c r="G33" s="290">
        <v>48535.42694618883</v>
      </c>
      <c r="H33" s="233">
        <f>E33+D33+C33+F33+G33</f>
        <v>207853.51001618983</v>
      </c>
    </row>
    <row r="34" spans="2:8" s="136" customFormat="1" ht="17.25">
      <c r="B34" s="161">
        <v>40210</v>
      </c>
      <c r="C34" s="291">
        <v>5897.549346853552</v>
      </c>
      <c r="D34" s="291">
        <v>25556.04716969873</v>
      </c>
      <c r="E34" s="291">
        <v>55043.79390396649</v>
      </c>
      <c r="F34" s="291">
        <v>11598.513715478653</v>
      </c>
      <c r="G34" s="291">
        <v>54847.20892573804</v>
      </c>
      <c r="H34" s="194">
        <f aca="true" t="shared" si="0" ref="H34:H44">E34+D34+C34+F34+G34</f>
        <v>152943.11306173546</v>
      </c>
    </row>
    <row r="35" spans="2:8" s="136" customFormat="1" ht="17.25">
      <c r="B35" s="161">
        <v>40238</v>
      </c>
      <c r="C35" s="291">
        <v>5005.896052745932</v>
      </c>
      <c r="D35" s="291">
        <v>32429.500515614956</v>
      </c>
      <c r="E35" s="291">
        <v>121882.68650164008</v>
      </c>
      <c r="F35" s="291">
        <v>13929.44988590173</v>
      </c>
      <c r="G35" s="291">
        <v>48970.72225512326</v>
      </c>
      <c r="H35" s="194">
        <f t="shared" si="0"/>
        <v>222218.25521102597</v>
      </c>
    </row>
    <row r="36" spans="2:8" s="136" customFormat="1" ht="17.25">
      <c r="B36" s="161">
        <v>40269</v>
      </c>
      <c r="C36" s="291">
        <v>4633.788772527792</v>
      </c>
      <c r="D36" s="291">
        <v>28855.866447104883</v>
      </c>
      <c r="E36" s="291">
        <v>113738.45168931854</v>
      </c>
      <c r="F36" s="291">
        <v>15586.380416684391</v>
      </c>
      <c r="G36" s="291">
        <v>52235.43707213146</v>
      </c>
      <c r="H36" s="194">
        <f t="shared" si="0"/>
        <v>215049.92439776708</v>
      </c>
    </row>
    <row r="37" spans="2:8" s="136" customFormat="1" ht="17.25">
      <c r="B37" s="161">
        <v>40299</v>
      </c>
      <c r="C37" s="291">
        <v>5319.308675178721</v>
      </c>
      <c r="D37" s="291">
        <v>31711.263255873142</v>
      </c>
      <c r="E37" s="291">
        <v>118661.50121552532</v>
      </c>
      <c r="F37" s="291">
        <v>14730.393254341076</v>
      </c>
      <c r="G37" s="291">
        <v>56466.50747497412</v>
      </c>
      <c r="H37" s="194">
        <f t="shared" si="0"/>
        <v>226888.97387589238</v>
      </c>
    </row>
    <row r="38" spans="2:8" s="136" customFormat="1" ht="17.25">
      <c r="B38" s="161">
        <v>40330</v>
      </c>
      <c r="C38" s="291">
        <v>8315.54457906351</v>
      </c>
      <c r="D38" s="291">
        <v>37617.939762430164</v>
      </c>
      <c r="E38" s="291">
        <v>104934.25302151572</v>
      </c>
      <c r="F38" s="291">
        <v>15443.154218260803</v>
      </c>
      <c r="G38" s="291">
        <v>67118.32410244118</v>
      </c>
      <c r="H38" s="194">
        <f t="shared" si="0"/>
        <v>233429.2156837114</v>
      </c>
    </row>
    <row r="39" spans="2:8" ht="17.25">
      <c r="B39" s="161">
        <v>40360</v>
      </c>
      <c r="C39" s="291">
        <v>9001.90698876399</v>
      </c>
      <c r="D39" s="291">
        <v>36621.394340653496</v>
      </c>
      <c r="E39" s="291">
        <v>92064.95783963174</v>
      </c>
      <c r="F39" s="291">
        <v>16571.692411133707</v>
      </c>
      <c r="G39" s="291">
        <v>69969.36795812011</v>
      </c>
      <c r="H39" s="194">
        <f t="shared" si="0"/>
        <v>224229.319538303</v>
      </c>
    </row>
    <row r="40" spans="2:8" ht="17.25">
      <c r="B40" s="161">
        <v>40391</v>
      </c>
      <c r="C40" s="291">
        <v>9001.90698876399</v>
      </c>
      <c r="D40" s="291">
        <v>40303.99265423877</v>
      </c>
      <c r="E40" s="291">
        <v>106386.17350357444</v>
      </c>
      <c r="F40" s="291">
        <v>17594.63638712962</v>
      </c>
      <c r="G40" s="291">
        <v>67514.30241572992</v>
      </c>
      <c r="H40" s="194">
        <f t="shared" si="0"/>
        <v>240801.01194943674</v>
      </c>
    </row>
    <row r="41" spans="2:8" ht="17.25">
      <c r="B41" s="161">
        <v>40422</v>
      </c>
      <c r="C41" s="291">
        <v>7919.566265774771</v>
      </c>
      <c r="D41" s="291">
        <v>38211.90723236328</v>
      </c>
      <c r="E41" s="291">
        <v>108894.0361544031</v>
      </c>
      <c r="F41" s="291">
        <v>17621.034941348862</v>
      </c>
      <c r="G41" s="291">
        <v>64346.47590942002</v>
      </c>
      <c r="H41" s="194">
        <f t="shared" si="0"/>
        <v>236993.02050331005</v>
      </c>
    </row>
    <row r="42" spans="2:8" ht="17.25">
      <c r="B42" s="161">
        <v>40452</v>
      </c>
      <c r="C42" s="291">
        <v>5933.075060776267</v>
      </c>
      <c r="D42" s="291">
        <v>31506.674460673967</v>
      </c>
      <c r="E42" s="291">
        <v>114569.72531154168</v>
      </c>
      <c r="F42" s="291">
        <v>15139.570844739437</v>
      </c>
      <c r="G42" s="291">
        <v>56875.685065372476</v>
      </c>
      <c r="H42" s="194">
        <f t="shared" si="0"/>
        <v>224024.7307431038</v>
      </c>
    </row>
    <row r="43" spans="2:8" ht="17.25">
      <c r="B43" s="161">
        <v>40483</v>
      </c>
      <c r="C43" s="291">
        <v>4949.728916109231</v>
      </c>
      <c r="D43" s="291">
        <v>30886.308436521605</v>
      </c>
      <c r="E43" s="291">
        <v>98994.57832218465</v>
      </c>
      <c r="F43" s="291">
        <v>14453.208435038956</v>
      </c>
      <c r="G43" s="291">
        <v>47715.386751292994</v>
      </c>
      <c r="H43" s="194">
        <f t="shared" si="0"/>
        <v>196999.21086114744</v>
      </c>
    </row>
    <row r="44" spans="2:8" ht="17.25">
      <c r="B44" s="161">
        <v>40513</v>
      </c>
      <c r="C44" s="292">
        <v>5523.897470377902</v>
      </c>
      <c r="D44" s="292">
        <v>25369.010604698517</v>
      </c>
      <c r="E44" s="292">
        <v>83881.40603166445</v>
      </c>
      <c r="F44" s="292">
        <v>7978.963012768082</v>
      </c>
      <c r="G44" s="292">
        <v>56261.918679774935</v>
      </c>
      <c r="H44" s="193">
        <f t="shared" si="0"/>
        <v>179015.1957992839</v>
      </c>
    </row>
    <row r="45" spans="3:8" ht="17.25">
      <c r="C45" s="197">
        <f aca="true" t="shared" si="1" ref="C45:H45">SUM(C33:C44)</f>
        <v>77596.30344201767</v>
      </c>
      <c r="D45" s="197">
        <f t="shared" si="1"/>
        <v>393458.2342856914</v>
      </c>
      <c r="E45" s="197">
        <f t="shared" si="1"/>
        <v>1223522.4376392292</v>
      </c>
      <c r="F45" s="197">
        <f t="shared" si="1"/>
        <v>175011.74271766146</v>
      </c>
      <c r="G45" s="197">
        <f t="shared" si="1"/>
        <v>690856.7635563074</v>
      </c>
      <c r="H45" s="197">
        <f t="shared" si="1"/>
        <v>2560445.4816409065</v>
      </c>
    </row>
    <row r="47" ht="15.75">
      <c r="B47" s="198"/>
    </row>
  </sheetData>
  <sheetProtection/>
  <printOptions/>
  <pageMargins left="0.7" right="0.7" top="0.75" bottom="0.75" header="0.3" footer="0.3"/>
  <pageSetup horizontalDpi="600" verticalDpi="600" orientation="portrait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view="pageBreakPreview" zoomScaleNormal="60" zoomScaleSheetLayoutView="100" workbookViewId="0" topLeftCell="A1">
      <pane xSplit="2" ySplit="6" topLeftCell="C7" activePane="bottomRight" state="frozen"/>
      <selection pane="topLeft" activeCell="P45" sqref="P45"/>
      <selection pane="topRight" activeCell="P45" sqref="P45"/>
      <selection pane="bottomLeft" activeCell="P45" sqref="P45"/>
      <selection pane="bottomRight" activeCell="D14" sqref="D14"/>
    </sheetView>
  </sheetViews>
  <sheetFormatPr defaultColWidth="8.88671875" defaultRowHeight="15"/>
  <cols>
    <col min="1" max="1" width="22.21484375" style="323" bestFit="1" customWidth="1"/>
    <col min="2" max="3" width="14.5546875" style="323" customWidth="1"/>
    <col min="4" max="5" width="13.4453125" style="323" customWidth="1"/>
    <col min="6" max="12" width="13.4453125" style="323" hidden="1" customWidth="1"/>
    <col min="13" max="13" width="15.6640625" style="323" hidden="1" customWidth="1"/>
    <col min="14" max="14" width="10.21484375" style="323" hidden="1" customWidth="1"/>
    <col min="15" max="16" width="0" style="323" hidden="1" customWidth="1"/>
    <col min="17" max="17" width="9.3359375" style="323" hidden="1" customWidth="1"/>
    <col min="18" max="18" width="13.21484375" style="323" hidden="1" customWidth="1"/>
    <col min="19" max="21" width="9.3359375" style="323" hidden="1" customWidth="1"/>
    <col min="22" max="22" width="13.21484375" style="323" hidden="1" customWidth="1"/>
    <col min="23" max="24" width="9.3359375" style="323" hidden="1" customWidth="1"/>
    <col min="25" max="16384" width="7.10546875" style="323" customWidth="1"/>
  </cols>
  <sheetData>
    <row r="1" ht="18">
      <c r="A1" s="158" t="s">
        <v>397</v>
      </c>
    </row>
    <row r="2" ht="18">
      <c r="A2" s="158" t="s">
        <v>546</v>
      </c>
    </row>
    <row r="3" spans="3:14" ht="12.75">
      <c r="C3" s="324" t="s">
        <v>547</v>
      </c>
      <c r="D3" s="325">
        <v>40543</v>
      </c>
      <c r="E3" s="326"/>
      <c r="F3" s="326"/>
      <c r="G3" s="326"/>
      <c r="H3" s="326"/>
      <c r="I3" s="326"/>
      <c r="J3" s="326"/>
      <c r="K3" s="326"/>
      <c r="L3" s="326"/>
      <c r="M3" s="326"/>
      <c r="N3" s="323" t="s">
        <v>548</v>
      </c>
    </row>
    <row r="4" spans="2:20" ht="12.75">
      <c r="B4" s="324" t="s">
        <v>549</v>
      </c>
      <c r="C4" s="324" t="s">
        <v>550</v>
      </c>
      <c r="D4" s="327" t="s">
        <v>551</v>
      </c>
      <c r="E4" s="327"/>
      <c r="F4" s="327"/>
      <c r="G4" s="327"/>
      <c r="H4" s="327"/>
      <c r="I4" s="327"/>
      <c r="J4" s="327"/>
      <c r="K4" s="327"/>
      <c r="L4" s="327"/>
      <c r="M4" s="327"/>
      <c r="N4" s="323" t="s">
        <v>552</v>
      </c>
      <c r="Q4" s="323" t="s">
        <v>553</v>
      </c>
      <c r="R4" s="323" t="s">
        <v>554</v>
      </c>
      <c r="S4" s="323" t="s">
        <v>555</v>
      </c>
      <c r="T4" s="323" t="s">
        <v>556</v>
      </c>
    </row>
    <row r="5" spans="2:18" ht="12.75">
      <c r="B5" s="324" t="s">
        <v>557</v>
      </c>
      <c r="C5" s="324" t="s">
        <v>558</v>
      </c>
      <c r="D5" s="327" t="s">
        <v>559</v>
      </c>
      <c r="E5" s="327" t="s">
        <v>560</v>
      </c>
      <c r="F5" s="327" t="s">
        <v>560</v>
      </c>
      <c r="G5" s="327" t="s">
        <v>560</v>
      </c>
      <c r="H5" s="327" t="s">
        <v>560</v>
      </c>
      <c r="I5" s="327" t="s">
        <v>560</v>
      </c>
      <c r="J5" s="327" t="s">
        <v>560</v>
      </c>
      <c r="K5" s="327" t="s">
        <v>560</v>
      </c>
      <c r="L5" s="327" t="s">
        <v>561</v>
      </c>
      <c r="M5" s="327" t="s">
        <v>562</v>
      </c>
      <c r="N5" s="323" t="s">
        <v>563</v>
      </c>
      <c r="R5" s="323" t="s">
        <v>564</v>
      </c>
    </row>
    <row r="6" spans="2:13" ht="12.75">
      <c r="B6" s="324" t="s">
        <v>565</v>
      </c>
      <c r="C6" s="327" t="s">
        <v>566</v>
      </c>
      <c r="D6" s="327" t="s">
        <v>567</v>
      </c>
      <c r="E6" s="327">
        <v>2011</v>
      </c>
      <c r="F6" s="327">
        <v>2012</v>
      </c>
      <c r="G6" s="327">
        <v>2013</v>
      </c>
      <c r="H6" s="327">
        <v>2014</v>
      </c>
      <c r="I6" s="327">
        <v>2015</v>
      </c>
      <c r="J6" s="327">
        <v>2016</v>
      </c>
      <c r="K6" s="327">
        <v>2017</v>
      </c>
      <c r="L6" s="327">
        <v>2018</v>
      </c>
      <c r="M6" s="327" t="s">
        <v>568</v>
      </c>
    </row>
    <row r="7" spans="1:20" ht="12.75">
      <c r="A7" s="328" t="s">
        <v>569</v>
      </c>
      <c r="B7" s="329">
        <v>40161.1</v>
      </c>
      <c r="C7" s="330">
        <v>0.02129693118124609</v>
      </c>
      <c r="D7" s="331">
        <v>396.65094338952576</v>
      </c>
      <c r="E7" s="331">
        <v>397</v>
      </c>
      <c r="F7" s="331">
        <v>0</v>
      </c>
      <c r="G7" s="331">
        <v>0</v>
      </c>
      <c r="H7" s="331">
        <v>0</v>
      </c>
      <c r="I7" s="331">
        <v>0</v>
      </c>
      <c r="J7" s="331">
        <v>0</v>
      </c>
      <c r="K7" s="331">
        <v>0</v>
      </c>
      <c r="L7" s="331">
        <v>0</v>
      </c>
      <c r="M7" s="331" t="e">
        <f>+#REF!-#REF!-#REF!-E7-F7-G7-H7-I7-J7-K7-L7</f>
        <v>#REF!</v>
      </c>
      <c r="N7" s="332">
        <v>0.026646</v>
      </c>
      <c r="O7" s="331" t="e">
        <f>+B7*N7-#REF!</f>
        <v>#REF!</v>
      </c>
      <c r="Q7" s="323">
        <v>0</v>
      </c>
      <c r="R7" s="323">
        <v>1</v>
      </c>
      <c r="S7" s="323">
        <v>0</v>
      </c>
      <c r="T7" s="323">
        <v>0</v>
      </c>
    </row>
    <row r="8" spans="1:20" ht="12.75">
      <c r="A8" s="328" t="s">
        <v>570</v>
      </c>
      <c r="B8" s="329">
        <v>679159.96</v>
      </c>
      <c r="C8" s="330">
        <v>0.02129693118124609</v>
      </c>
      <c r="D8" s="331">
        <v>9431.952706633856</v>
      </c>
      <c r="E8" s="331">
        <v>9432</v>
      </c>
      <c r="F8" s="331">
        <v>0</v>
      </c>
      <c r="G8" s="331">
        <v>0</v>
      </c>
      <c r="H8" s="331">
        <v>0</v>
      </c>
      <c r="I8" s="331">
        <v>0</v>
      </c>
      <c r="J8" s="331">
        <v>0</v>
      </c>
      <c r="K8" s="331">
        <v>0</v>
      </c>
      <c r="L8" s="331">
        <v>0</v>
      </c>
      <c r="M8" s="331" t="e">
        <f>+#REF!-#REF!-#REF!-E8-F8-G8-H8-I8-J8-K8-L8</f>
        <v>#REF!</v>
      </c>
      <c r="N8" s="332">
        <v>0.026646</v>
      </c>
      <c r="O8" s="331" t="e">
        <f>+B8*N8-#REF!</f>
        <v>#REF!</v>
      </c>
      <c r="Q8" s="323">
        <v>0.0321147</v>
      </c>
      <c r="R8" s="323">
        <v>0.1714208</v>
      </c>
      <c r="S8" s="323">
        <v>0.2847766</v>
      </c>
      <c r="T8" s="323">
        <v>0.5116879</v>
      </c>
    </row>
    <row r="9" spans="1:20" ht="12.75">
      <c r="A9" s="328" t="s">
        <v>571</v>
      </c>
      <c r="B9" s="329">
        <v>1338169.76</v>
      </c>
      <c r="C9" s="330">
        <v>0.021635877596602245</v>
      </c>
      <c r="D9" s="331">
        <v>2566.886637058</v>
      </c>
      <c r="E9" s="331">
        <v>2568</v>
      </c>
      <c r="F9" s="331">
        <v>0</v>
      </c>
      <c r="G9" s="331">
        <v>0</v>
      </c>
      <c r="H9" s="331">
        <v>0</v>
      </c>
      <c r="I9" s="331">
        <v>0</v>
      </c>
      <c r="J9" s="331">
        <v>0</v>
      </c>
      <c r="K9" s="331">
        <v>0</v>
      </c>
      <c r="L9" s="331">
        <v>0</v>
      </c>
      <c r="M9" s="331" t="e">
        <f>+#REF!-#REF!-#REF!-E9-F9-G9-H9-I9-J9-K9-L9</f>
        <v>#REF!</v>
      </c>
      <c r="N9" s="332">
        <v>0.030999</v>
      </c>
      <c r="O9" s="331" t="e">
        <f>+B9*N9-#REF!</f>
        <v>#REF!</v>
      </c>
      <c r="Q9" s="323">
        <v>0.0321147</v>
      </c>
      <c r="R9" s="323">
        <v>0.1714208</v>
      </c>
      <c r="S9" s="323">
        <v>0.2847766</v>
      </c>
      <c r="T9" s="323">
        <v>0.5116879</v>
      </c>
    </row>
    <row r="10" spans="1:20" ht="12.75">
      <c r="A10" s="328" t="s">
        <v>572</v>
      </c>
      <c r="B10" s="329">
        <v>941009.23</v>
      </c>
      <c r="C10" s="330">
        <v>0.019779533139811716</v>
      </c>
      <c r="D10" s="331">
        <v>69896.22567464766</v>
      </c>
      <c r="E10" s="331">
        <f>+B10*C10</f>
        <v>18612.723249653704</v>
      </c>
      <c r="F10" s="331">
        <f>+B10*C10</f>
        <v>18612.723249653704</v>
      </c>
      <c r="G10" s="331">
        <v>18613</v>
      </c>
      <c r="H10" s="331">
        <v>14058</v>
      </c>
      <c r="I10" s="331">
        <v>0</v>
      </c>
      <c r="J10" s="331">
        <v>0</v>
      </c>
      <c r="K10" s="331">
        <v>0</v>
      </c>
      <c r="L10" s="331">
        <v>0</v>
      </c>
      <c r="M10" s="331" t="e">
        <f>+#REF!-#REF!-#REF!-E10-F10-G10-H10-I10-J10-K10-L10</f>
        <v>#REF!</v>
      </c>
      <c r="N10" s="332">
        <v>0.032312</v>
      </c>
      <c r="O10" s="331" t="e">
        <f>+B10*N10-#REF!</f>
        <v>#REF!</v>
      </c>
      <c r="Q10" s="323">
        <v>0.02512665016188917</v>
      </c>
      <c r="R10" s="323">
        <v>0.607268167609036</v>
      </c>
      <c r="S10" s="323">
        <v>0.1407223409797048</v>
      </c>
      <c r="T10" s="323">
        <v>0.22688284124936994</v>
      </c>
    </row>
    <row r="11" spans="1:20" ht="12.75">
      <c r="A11" s="328" t="s">
        <v>573</v>
      </c>
      <c r="B11" s="329">
        <v>2408765.18</v>
      </c>
      <c r="C11" s="330">
        <v>0.015625875888863442</v>
      </c>
      <c r="D11" s="331">
        <v>176663.15788382734</v>
      </c>
      <c r="E11" s="331">
        <f>+C11*B11</f>
        <v>37639.06574809581</v>
      </c>
      <c r="F11" s="331">
        <f>+B11*C11</f>
        <v>37639.06574809581</v>
      </c>
      <c r="G11" s="331">
        <f>+B11*C11</f>
        <v>37639.06574809581</v>
      </c>
      <c r="H11" s="331">
        <f>+B11*C11</f>
        <v>37639.06574809581</v>
      </c>
      <c r="I11" s="331">
        <v>26107</v>
      </c>
      <c r="J11" s="331">
        <v>0</v>
      </c>
      <c r="K11" s="331">
        <v>0</v>
      </c>
      <c r="L11" s="331">
        <v>0</v>
      </c>
      <c r="M11" s="331" t="e">
        <f>+#REF!-#REF!-#REF!-E11-F11-G11-H11-I11-J11-K11-L11</f>
        <v>#REF!</v>
      </c>
      <c r="N11" s="332">
        <v>0.036771</v>
      </c>
      <c r="O11" s="331" t="e">
        <f>+B11*N11-#REF!</f>
        <v>#REF!</v>
      </c>
      <c r="Q11" s="323">
        <v>1</v>
      </c>
      <c r="R11" s="323">
        <v>0</v>
      </c>
      <c r="S11" s="323">
        <v>0</v>
      </c>
      <c r="T11" s="323">
        <v>0</v>
      </c>
    </row>
    <row r="12" spans="1:20" ht="12.75">
      <c r="A12" s="328" t="s">
        <v>574</v>
      </c>
      <c r="B12" s="329">
        <v>1066200.17</v>
      </c>
      <c r="C12" s="330">
        <v>0.02230688598202347</v>
      </c>
      <c r="D12" s="331">
        <v>138828.20393777313</v>
      </c>
      <c r="E12" s="331">
        <f>+B12*C12</f>
        <v>23783.60562620404</v>
      </c>
      <c r="F12" s="331">
        <f>+B12*C12</f>
        <v>23783.60562620404</v>
      </c>
      <c r="G12" s="331">
        <f>+B12*C12</f>
        <v>23783.60562620404</v>
      </c>
      <c r="H12" s="331">
        <f>+B12*C12</f>
        <v>23783.60562620404</v>
      </c>
      <c r="I12" s="331">
        <f>+B12*C12</f>
        <v>23783.60562620404</v>
      </c>
      <c r="J12" s="331">
        <v>19910</v>
      </c>
      <c r="K12" s="331">
        <v>0</v>
      </c>
      <c r="L12" s="331">
        <v>0</v>
      </c>
      <c r="M12" s="331" t="e">
        <f>+#REF!-#REF!-#REF!-E12-F12-G12-H12-I12-J12-K12-L12</f>
        <v>#REF!</v>
      </c>
      <c r="N12" s="332">
        <v>0.033896</v>
      </c>
      <c r="O12" s="331" t="e">
        <f>+B12*N12-#REF!</f>
        <v>#REF!</v>
      </c>
      <c r="Q12" s="323">
        <v>1</v>
      </c>
      <c r="R12" s="323">
        <v>0</v>
      </c>
      <c r="S12" s="323">
        <v>0</v>
      </c>
      <c r="T12" s="323">
        <v>0</v>
      </c>
    </row>
    <row r="13" spans="1:20" ht="12.75">
      <c r="A13" s="328" t="s">
        <v>575</v>
      </c>
      <c r="B13" s="329">
        <v>1164745.99</v>
      </c>
      <c r="C13" s="330">
        <v>0.021765153085184924</v>
      </c>
      <c r="D13" s="331">
        <v>254808.35748231577</v>
      </c>
      <c r="E13" s="331">
        <v>25351</v>
      </c>
      <c r="F13" s="331">
        <v>25351</v>
      </c>
      <c r="G13" s="331">
        <v>25351</v>
      </c>
      <c r="H13" s="331">
        <v>25351</v>
      </c>
      <c r="I13" s="331">
        <v>25351</v>
      </c>
      <c r="J13" s="331">
        <v>25351</v>
      </c>
      <c r="K13" s="331">
        <v>25351</v>
      </c>
      <c r="L13" s="331">
        <v>25351</v>
      </c>
      <c r="M13" s="331" t="e">
        <f>+#REF!-#REF!-#REF!-E13-F13-G13-H13-I13-J13-K13-L13</f>
        <v>#REF!</v>
      </c>
      <c r="N13" s="332">
        <v>0.031200000000000002</v>
      </c>
      <c r="O13" s="331" t="e">
        <f>+B13*N13-#REF!</f>
        <v>#REF!</v>
      </c>
      <c r="Q13" s="323">
        <v>1</v>
      </c>
      <c r="R13" s="323">
        <v>0</v>
      </c>
      <c r="S13" s="323">
        <v>0</v>
      </c>
      <c r="T13" s="323">
        <v>0</v>
      </c>
    </row>
    <row r="14" spans="1:20" ht="12.75">
      <c r="A14" s="328" t="s">
        <v>576</v>
      </c>
      <c r="B14" s="329">
        <v>16149807.67</v>
      </c>
      <c r="C14" s="330">
        <v>0.02204823790196313</v>
      </c>
      <c r="D14" s="331">
        <v>3549877.322852904</v>
      </c>
      <c r="E14" s="331">
        <v>356075</v>
      </c>
      <c r="F14" s="331">
        <v>356075</v>
      </c>
      <c r="G14" s="331">
        <v>356075</v>
      </c>
      <c r="H14" s="331">
        <v>356075</v>
      </c>
      <c r="I14" s="331">
        <v>356075</v>
      </c>
      <c r="J14" s="331">
        <v>356075</v>
      </c>
      <c r="K14" s="331">
        <v>356075</v>
      </c>
      <c r="L14" s="331">
        <v>356075</v>
      </c>
      <c r="M14" s="331" t="e">
        <f>+#REF!-#REF!-#REF!-E14-F14-G14-H14-I14-J14-K14-L14</f>
        <v>#REF!</v>
      </c>
      <c r="N14" s="332">
        <v>0.02853</v>
      </c>
      <c r="O14" s="331" t="e">
        <f>+B14*N14-#REF!</f>
        <v>#REF!</v>
      </c>
      <c r="Q14" s="323">
        <v>0</v>
      </c>
      <c r="R14" s="323">
        <v>0</v>
      </c>
      <c r="S14" s="323">
        <v>1</v>
      </c>
      <c r="T14" s="323">
        <v>0</v>
      </c>
    </row>
    <row r="15" spans="1:20" ht="12.75">
      <c r="A15" s="328" t="s">
        <v>577</v>
      </c>
      <c r="B15" s="329">
        <v>285248.77</v>
      </c>
      <c r="C15" s="330">
        <v>0.02304308066834304</v>
      </c>
      <c r="D15" s="331">
        <v>49384.55020780122</v>
      </c>
      <c r="E15" s="331">
        <v>6573</v>
      </c>
      <c r="F15" s="331">
        <v>6573</v>
      </c>
      <c r="G15" s="331">
        <v>6573</v>
      </c>
      <c r="H15" s="331">
        <v>6573</v>
      </c>
      <c r="I15" s="331">
        <v>6573</v>
      </c>
      <c r="J15" s="331">
        <v>6573</v>
      </c>
      <c r="K15" s="331">
        <v>6573</v>
      </c>
      <c r="L15" s="331">
        <v>3374</v>
      </c>
      <c r="M15" s="331" t="e">
        <f>+#REF!-#REF!-#REF!-E15-F15-G15-H15-I15-J15-K15-L15</f>
        <v>#REF!</v>
      </c>
      <c r="N15" s="332">
        <v>0.031626</v>
      </c>
      <c r="O15" s="331" t="e">
        <f>+B15*N15-#REF!</f>
        <v>#REF!</v>
      </c>
      <c r="Q15" s="323">
        <v>1</v>
      </c>
      <c r="R15" s="323">
        <v>0</v>
      </c>
      <c r="S15" s="323">
        <v>0</v>
      </c>
      <c r="T15" s="323">
        <v>0</v>
      </c>
    </row>
    <row r="16" spans="1:20" ht="12.75">
      <c r="A16" s="328" t="s">
        <v>578</v>
      </c>
      <c r="B16" s="329">
        <v>23255.55</v>
      </c>
      <c r="C16" s="330">
        <v>0.0173</v>
      </c>
      <c r="D16" s="331">
        <v>9958.128200000001</v>
      </c>
      <c r="E16" s="331">
        <v>402</v>
      </c>
      <c r="F16" s="331">
        <v>402</v>
      </c>
      <c r="G16" s="331">
        <v>402</v>
      </c>
      <c r="H16" s="331">
        <v>402</v>
      </c>
      <c r="I16" s="331">
        <v>402</v>
      </c>
      <c r="J16" s="331">
        <v>402</v>
      </c>
      <c r="K16" s="331">
        <v>402</v>
      </c>
      <c r="L16" s="331">
        <v>402</v>
      </c>
      <c r="M16" s="331" t="e">
        <f>+#REF!-#REF!-#REF!-E16-F16-G16-H16-I16-J16-K16-L16</f>
        <v>#REF!</v>
      </c>
      <c r="N16" s="332">
        <v>0.0275</v>
      </c>
      <c r="O16" s="331" t="e">
        <f>+B16*N16-#REF!</f>
        <v>#REF!</v>
      </c>
      <c r="Q16" s="323">
        <v>1</v>
      </c>
      <c r="R16" s="323">
        <v>0</v>
      </c>
      <c r="S16" s="323">
        <v>0</v>
      </c>
      <c r="T16" s="323">
        <v>0</v>
      </c>
    </row>
    <row r="17" spans="1:20" ht="12.75">
      <c r="A17" s="328" t="s">
        <v>579</v>
      </c>
      <c r="B17" s="329">
        <v>363814.87</v>
      </c>
      <c r="C17" s="330">
        <v>0.02204823790196313</v>
      </c>
      <c r="D17" s="331">
        <v>101299.34903270072</v>
      </c>
      <c r="E17" s="331">
        <v>8021</v>
      </c>
      <c r="F17" s="331">
        <v>8021</v>
      </c>
      <c r="G17" s="331">
        <v>8021</v>
      </c>
      <c r="H17" s="331">
        <v>8021</v>
      </c>
      <c r="I17" s="331">
        <v>8021</v>
      </c>
      <c r="J17" s="331">
        <v>8021</v>
      </c>
      <c r="K17" s="331">
        <v>8021</v>
      </c>
      <c r="L17" s="331">
        <v>8021</v>
      </c>
      <c r="M17" s="331" t="e">
        <f>+#REF!-#REF!-#REF!-E17-F17-G17-H17-I17-J17-K17-L17</f>
        <v>#REF!</v>
      </c>
      <c r="N17" s="332">
        <v>0.026417</v>
      </c>
      <c r="O17" s="331" t="e">
        <f>+B17*N17-#REF!</f>
        <v>#REF!</v>
      </c>
      <c r="Q17" s="323">
        <v>0</v>
      </c>
      <c r="R17" s="323">
        <v>0</v>
      </c>
      <c r="S17" s="323">
        <v>0.4542853</v>
      </c>
      <c r="T17" s="323">
        <v>0.5457147</v>
      </c>
    </row>
    <row r="18" spans="1:20" ht="12.75">
      <c r="A18" s="328" t="s">
        <v>580</v>
      </c>
      <c r="B18" s="329">
        <v>142703.56</v>
      </c>
      <c r="C18" s="330">
        <v>0.02109828441999934</v>
      </c>
      <c r="D18" s="331">
        <v>39353.44805103186</v>
      </c>
      <c r="E18" s="331">
        <v>3011</v>
      </c>
      <c r="F18" s="331">
        <v>3011</v>
      </c>
      <c r="G18" s="331">
        <v>3011</v>
      </c>
      <c r="H18" s="331">
        <v>3011</v>
      </c>
      <c r="I18" s="331">
        <v>3011</v>
      </c>
      <c r="J18" s="331">
        <v>3011</v>
      </c>
      <c r="K18" s="331">
        <v>3011</v>
      </c>
      <c r="L18" s="331">
        <v>3011</v>
      </c>
      <c r="M18" s="331" t="e">
        <f>+#REF!-#REF!-#REF!-E18-F18-G18-H18-I18-J18-K18-L18</f>
        <v>#REF!</v>
      </c>
      <c r="N18" s="332">
        <v>0.031472</v>
      </c>
      <c r="O18" s="331" t="e">
        <f>+B18*N18-#REF!</f>
        <v>#REF!</v>
      </c>
      <c r="Q18" s="323">
        <v>1</v>
      </c>
      <c r="R18" s="323">
        <v>0</v>
      </c>
      <c r="S18" s="323">
        <v>0</v>
      </c>
      <c r="T18" s="323">
        <v>0</v>
      </c>
    </row>
    <row r="19" spans="1:15" ht="12.75">
      <c r="A19" s="328" t="s">
        <v>581</v>
      </c>
      <c r="B19" s="329">
        <v>-2968.0492</v>
      </c>
      <c r="C19" s="330">
        <v>0.02410118733511072</v>
      </c>
      <c r="D19" s="331">
        <v>-1067.330537754982</v>
      </c>
      <c r="E19" s="331">
        <v>-72</v>
      </c>
      <c r="F19" s="331">
        <v>-72</v>
      </c>
      <c r="G19" s="331">
        <v>-72</v>
      </c>
      <c r="H19" s="331">
        <v>-72</v>
      </c>
      <c r="I19" s="331">
        <v>-72</v>
      </c>
      <c r="J19" s="331">
        <v>-72</v>
      </c>
      <c r="K19" s="331">
        <v>-72</v>
      </c>
      <c r="L19" s="331">
        <v>-72</v>
      </c>
      <c r="M19" s="331" t="e">
        <f>+#REF!-#REF!-#REF!-E19-F19-G19-H19-I19-J19-K19-L19</f>
        <v>#REF!</v>
      </c>
      <c r="N19" s="333">
        <v>0.031472</v>
      </c>
      <c r="O19" s="331" t="e">
        <f>+B19*N19-#REF!</f>
        <v>#REF!</v>
      </c>
    </row>
    <row r="20" spans="1:20" s="335" customFormat="1" ht="12.75">
      <c r="A20" s="334" t="s">
        <v>582</v>
      </c>
      <c r="B20" s="334">
        <f>SUM(B7:B19)</f>
        <v>24600073.760800004</v>
      </c>
      <c r="C20" s="334"/>
      <c r="D20" s="334">
        <f aca="true" t="shared" si="0" ref="D20:M20">SUM(D7:D19)</f>
        <v>4401396.903072328</v>
      </c>
      <c r="E20" s="334">
        <f t="shared" si="0"/>
        <v>491793.39462395356</v>
      </c>
      <c r="F20" s="334">
        <f t="shared" si="0"/>
        <v>479396.39462395356</v>
      </c>
      <c r="G20" s="334">
        <f t="shared" si="0"/>
        <v>479396.67137429985</v>
      </c>
      <c r="H20" s="334">
        <f t="shared" si="0"/>
        <v>474841.67137429985</v>
      </c>
      <c r="I20" s="334">
        <f t="shared" si="0"/>
        <v>449251.60562620405</v>
      </c>
      <c r="J20" s="334">
        <f t="shared" si="0"/>
        <v>419271</v>
      </c>
      <c r="K20" s="334">
        <f t="shared" si="0"/>
        <v>399361</v>
      </c>
      <c r="L20" s="334">
        <f t="shared" si="0"/>
        <v>396162</v>
      </c>
      <c r="M20" s="334" t="e">
        <f t="shared" si="0"/>
        <v>#REF!</v>
      </c>
      <c r="N20" s="334"/>
      <c r="O20" s="334"/>
      <c r="P20" s="334"/>
      <c r="Q20" s="334"/>
      <c r="R20" s="334"/>
      <c r="S20" s="334"/>
      <c r="T20" s="334"/>
    </row>
    <row r="21" spans="1:13" ht="12.75">
      <c r="A21" s="336"/>
      <c r="B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</row>
    <row r="22" ht="12.75">
      <c r="D22" s="328"/>
    </row>
    <row r="23" spans="4:13" ht="12.75">
      <c r="D23" s="337"/>
      <c r="E23" s="337"/>
      <c r="F23" s="337"/>
      <c r="G23" s="337"/>
      <c r="H23" s="337"/>
      <c r="I23" s="337"/>
      <c r="J23" s="337"/>
      <c r="K23" s="337"/>
      <c r="L23" s="337"/>
      <c r="M23" s="337"/>
    </row>
  </sheetData>
  <printOptions/>
  <pageMargins left="0.45" right="0.35" top="0.36" bottom="0.5" header="0.21" footer="0.17"/>
  <pageSetup fitToHeight="1" fitToWidth="1" horizontalDpi="600" verticalDpi="600" orientation="landscape" r:id="rId1"/>
  <headerFooter alignWithMargins="0">
    <oddHeader>&amp;L&amp;D  &amp;T&amp;CSIGECO ELECTRIC ITC&amp;R&amp;P  &amp;N</oddHeader>
    <oddFooter>&amp;L&amp;Z&amp;F&amp;R&amp;A</oddFooter>
  </headerFooter>
  <colBreaks count="1" manualBreakCount="1">
    <brk id="6" max="2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G15"/>
  <sheetViews>
    <sheetView tabSelected="1" zoomScalePageLayoutView="0" workbookViewId="0" topLeftCell="A1">
      <selection activeCell="E11" sqref="E11"/>
    </sheetView>
  </sheetViews>
  <sheetFormatPr defaultColWidth="8.88671875" defaultRowHeight="15"/>
  <cols>
    <col min="1" max="1" width="3.5546875" style="0" customWidth="1"/>
    <col min="2" max="2" width="17.4453125" style="0" customWidth="1"/>
    <col min="7" max="7" width="14.5546875" style="0" customWidth="1"/>
  </cols>
  <sheetData>
    <row r="2" ht="18">
      <c r="B2" s="229" t="s">
        <v>397</v>
      </c>
    </row>
    <row r="3" ht="15">
      <c r="B3" t="s">
        <v>534</v>
      </c>
    </row>
    <row r="5" spans="2:7" ht="15">
      <c r="B5" s="354" t="s">
        <v>461</v>
      </c>
      <c r="C5" s="355"/>
      <c r="D5" s="355"/>
      <c r="E5" s="355"/>
      <c r="F5" s="355"/>
      <c r="G5" s="356"/>
    </row>
    <row r="6" spans="2:7" ht="15">
      <c r="B6" s="204"/>
      <c r="C6" s="205"/>
      <c r="D6" s="206"/>
      <c r="E6" s="207"/>
      <c r="F6" s="205"/>
      <c r="G6" s="208"/>
    </row>
    <row r="7" spans="2:7" ht="15">
      <c r="B7" s="209">
        <f>'Attachment O'!J277</f>
        <v>2166398.5449</v>
      </c>
      <c r="C7" s="210" t="s">
        <v>462</v>
      </c>
      <c r="D7" s="206"/>
      <c r="E7" s="207"/>
      <c r="F7" s="205"/>
      <c r="G7" s="208"/>
    </row>
    <row r="8" spans="2:7" ht="15">
      <c r="B8" s="234">
        <f>436738+166592</f>
        <v>603330</v>
      </c>
      <c r="C8" s="211" t="s">
        <v>463</v>
      </c>
      <c r="D8" s="212"/>
      <c r="E8" s="212"/>
      <c r="G8" s="213"/>
    </row>
    <row r="9" spans="2:7" ht="15">
      <c r="B9" s="221">
        <f>B7-B8</f>
        <v>1563068.5449</v>
      </c>
      <c r="C9" s="211" t="s">
        <v>464</v>
      </c>
      <c r="G9" s="213"/>
    </row>
    <row r="10" spans="2:7" ht="15">
      <c r="B10" s="214"/>
      <c r="C10" s="215" t="s">
        <v>465</v>
      </c>
      <c r="D10" s="216"/>
      <c r="E10" s="216"/>
      <c r="F10" s="205"/>
      <c r="G10" s="208"/>
    </row>
    <row r="11" spans="2:7" ht="15">
      <c r="B11" s="217">
        <v>0</v>
      </c>
      <c r="C11" s="216" t="s">
        <v>466</v>
      </c>
      <c r="D11" s="218"/>
      <c r="E11" s="216"/>
      <c r="F11" s="205"/>
      <c r="G11" s="208"/>
    </row>
    <row r="12" spans="2:7" ht="15">
      <c r="B12" s="209">
        <v>68727</v>
      </c>
      <c r="C12" s="216" t="s">
        <v>467</v>
      </c>
      <c r="D12" s="218"/>
      <c r="E12" s="216"/>
      <c r="F12" s="205"/>
      <c r="G12" s="208"/>
    </row>
    <row r="13" spans="2:7" ht="15">
      <c r="B13" s="219" t="s">
        <v>2</v>
      </c>
      <c r="C13" s="216" t="s">
        <v>468</v>
      </c>
      <c r="D13" s="218"/>
      <c r="E13" s="220"/>
      <c r="F13" s="205"/>
      <c r="G13" s="208"/>
    </row>
    <row r="14" spans="2:7" ht="15">
      <c r="B14" s="221">
        <f>SUM(B11:B13)</f>
        <v>68727</v>
      </c>
      <c r="C14" s="222" t="s">
        <v>469</v>
      </c>
      <c r="D14" s="206"/>
      <c r="E14" s="207"/>
      <c r="F14" s="205"/>
      <c r="G14" s="208"/>
    </row>
    <row r="15" spans="2:7" ht="15">
      <c r="B15" s="223">
        <f>B9-B14</f>
        <v>1494341.5449</v>
      </c>
      <c r="C15" s="224" t="s">
        <v>470</v>
      </c>
      <c r="D15" s="225"/>
      <c r="E15" s="226"/>
      <c r="F15" s="227"/>
      <c r="G15" s="228"/>
    </row>
  </sheetData>
  <sheetProtection/>
  <mergeCells count="1">
    <mergeCell ref="B5:G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abaumann</cp:lastModifiedBy>
  <cp:lastPrinted>2010-12-06T19:27:50Z</cp:lastPrinted>
  <dcterms:created xsi:type="dcterms:W3CDTF">1997-04-03T19:40:56Z</dcterms:created>
  <dcterms:modified xsi:type="dcterms:W3CDTF">2011-01-05T14:32:12Z</dcterms:modified>
  <cp:category/>
  <cp:version/>
  <cp:contentType/>
  <cp:contentStatus/>
</cp:coreProperties>
</file>