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9405" tabRatio="773" activeTab="1"/>
  </bookViews>
  <sheets>
    <sheet name="Coversheet" sheetId="12" r:id="rId1"/>
    <sheet name="Att O_RPU" sheetId="1" r:id="rId2"/>
    <sheet name="Att GG_RPU" sheetId="35" r:id="rId3"/>
    <sheet name="Sched 1_RPU" sheetId="41" r:id="rId4"/>
    <sheet name="Appx A RPU Trans Depr Rate" sheetId="38" r:id="rId5"/>
    <sheet name="True-up Interest" sheetId="40" r:id="rId6"/>
    <sheet name="Interzonal Alloc" sheetId="37" r:id="rId7"/>
    <sheet name="Balance sheet Sched 2" sheetId="2" r:id="rId8"/>
    <sheet name="Income Sched 3" sheetId="3" r:id="rId9"/>
    <sheet name="Plant Sched 4" sheetId="4" r:id="rId10"/>
    <sheet name="Taxes Sched 5" sheetId="34" r:id="rId11"/>
    <sheet name="Op &amp; Maint Sched 7" sheetId="5" r:id="rId12"/>
    <sheet name="Divisor" sheetId="13" r:id="rId13"/>
    <sheet name="Plant" sheetId="14" r:id="rId14"/>
    <sheet name="Adj to Rate Base" sheetId="16" r:id="rId15"/>
    <sheet name="Land Held for Future Use" sheetId="18" r:id="rId16"/>
    <sheet name="Materials and Prepayments" sheetId="19" r:id="rId17"/>
    <sheet name="Capital Structure" sheetId="20" r:id="rId18"/>
    <sheet name="Transmission O&amp;M" sheetId="24" r:id="rId19"/>
    <sheet name="Admin &amp; General" sheetId="25" r:id="rId20"/>
    <sheet name="Wages &amp; Salaries" sheetId="33" r:id="rId21"/>
    <sheet name="FERC Fees" sheetId="26" r:id="rId22"/>
    <sheet name="EPRI Reg Comm Non Safety" sheetId="27" r:id="rId23"/>
    <sheet name="Taxes other than inc tax" sheetId="28" r:id="rId24"/>
    <sheet name="Account 454" sheetId="31" r:id="rId25"/>
    <sheet name="Account 456.1" sheetId="32" r:id="rId26"/>
  </sheets>
  <externalReferences>
    <externalReference r:id="rId27"/>
    <externalReference r:id="rId28"/>
    <externalReference r:id="rId29"/>
    <externalReference r:id="rId30"/>
    <externalReference r:id="rId31"/>
    <externalReference r:id="rId32"/>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4">'Account 454'!$A$1:$D$22</definedName>
    <definedName name="_xlnm.Print_Area" localSheetId="25">'Account 456.1'!$B$1:$D$33</definedName>
    <definedName name="_xlnm.Print_Area" localSheetId="14">'Adj to Rate Base'!$A$1:$E$18</definedName>
    <definedName name="_xlnm.Print_Area" localSheetId="19">'Admin &amp; General'!$A$1:$C$46</definedName>
    <definedName name="_xlnm.Print_Area" localSheetId="4">'Appx A RPU Trans Depr Rate'!$A$1:$D$41</definedName>
    <definedName name="_xlnm.Print_Area" localSheetId="2">'Att GG_RPU'!$A$1:$O$107</definedName>
    <definedName name="_xlnm.Print_Area" localSheetId="1">'Att O_RPU'!$A$1:$K$295</definedName>
    <definedName name="_xlnm.Print_Area" localSheetId="7">'Balance sheet Sched 2'!$A$1:$F$60</definedName>
    <definedName name="_xlnm.Print_Area" localSheetId="17">'Capital Structure'!$D$1:$K$24</definedName>
    <definedName name="_xlnm.Print_Area" localSheetId="0">Coversheet!$B$2:$D$7</definedName>
    <definedName name="_xlnm.Print_Area" localSheetId="12">Divisor!$B$1:$M$26</definedName>
    <definedName name="_xlnm.Print_Area" localSheetId="22">'EPRI Reg Comm Non Safety'!$A$1:$C$28</definedName>
    <definedName name="_xlnm.Print_Area" localSheetId="21">'FERC Fees'!$A$1:$C$14</definedName>
    <definedName name="_xlnm.Print_Area" localSheetId="8">'Income Sched 3'!$A$1:$D$34</definedName>
    <definedName name="_xlnm.Print_Area" localSheetId="6">'Interzonal Alloc'!$A$1:$R$57</definedName>
    <definedName name="_xlnm.Print_Area" localSheetId="15">'Land Held for Future Use'!$A$2:$F$23</definedName>
    <definedName name="_xlnm.Print_Area" localSheetId="16">'Materials and Prepayments'!$A$1:$F$22</definedName>
    <definedName name="_xlnm.Print_Area" localSheetId="11">'Op &amp; Maint Sched 7'!$A$1:$F$42</definedName>
    <definedName name="_xlnm.Print_Area" localSheetId="13">Plant!$C$1:$O$70</definedName>
    <definedName name="_xlnm.Print_Area" localSheetId="9">'Plant Sched 4'!$A$1:$K$28</definedName>
    <definedName name="_xlnm.Print_Area" localSheetId="23">'Taxes other than inc tax'!$A$1:$D$13</definedName>
    <definedName name="_xlnm.Print_Area" localSheetId="10">'Taxes Sched 5'!$A$1:$D$21</definedName>
    <definedName name="_xlnm.Print_Area" localSheetId="18">'Transmission O&amp;M'!$A$1:$C$39</definedName>
    <definedName name="_xlnm.Print_Area" localSheetId="5">'True-up Interest'!$A$1:$V$93</definedName>
    <definedName name="_xlnm.Print_Area" localSheetId="20">'Wages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M21" i="13" l="1"/>
  <c r="M20" i="13"/>
  <c r="M19" i="13"/>
  <c r="M18" i="13"/>
  <c r="M17" i="13"/>
  <c r="M16" i="13"/>
  <c r="M15" i="13"/>
  <c r="M14" i="13"/>
  <c r="M13" i="13"/>
  <c r="M12" i="13"/>
  <c r="M11" i="13"/>
  <c r="M10" i="13"/>
  <c r="K23" i="13"/>
  <c r="I23" i="13"/>
  <c r="G83" i="40" l="1"/>
  <c r="G82" i="40"/>
  <c r="G81" i="40"/>
  <c r="G80" i="40"/>
  <c r="G79" i="40"/>
  <c r="G78" i="40"/>
  <c r="G77" i="40"/>
  <c r="G76" i="40"/>
  <c r="G75" i="40"/>
  <c r="G74" i="40"/>
  <c r="G73" i="40"/>
  <c r="G72" i="40"/>
  <c r="G71" i="40"/>
  <c r="G70" i="40"/>
  <c r="G69" i="40"/>
  <c r="G68" i="40"/>
  <c r="G67" i="40"/>
  <c r="G66" i="40"/>
  <c r="G65" i="40"/>
  <c r="G64" i="40"/>
  <c r="E28" i="41" l="1"/>
  <c r="D23" i="32" l="1"/>
  <c r="D22" i="32"/>
  <c r="E26" i="41"/>
  <c r="D23" i="41"/>
  <c r="S21" i="40" l="1"/>
  <c r="T25" i="40"/>
  <c r="T15" i="40"/>
  <c r="S14" i="40" l="1"/>
  <c r="S13" i="40"/>
  <c r="S12" i="40"/>
  <c r="F1" i="41" l="1"/>
  <c r="N13" i="40" l="1"/>
  <c r="N14" i="40" s="1"/>
  <c r="N15" i="40" s="1"/>
  <c r="N17" i="40" s="1"/>
  <c r="N19" i="40" s="1"/>
  <c r="N21" i="40" s="1"/>
  <c r="N23" i="40" s="1"/>
  <c r="N25" i="40" s="1"/>
  <c r="N27" i="40" s="1"/>
  <c r="N29" i="40" s="1"/>
  <c r="N30" i="40" s="1"/>
  <c r="N31" i="40" s="1"/>
  <c r="N33" i="40" s="1"/>
  <c r="V1" i="40"/>
  <c r="V30" i="40"/>
  <c r="V21" i="40"/>
  <c r="V17" i="40"/>
  <c r="T19" i="40"/>
  <c r="T23" i="40" s="1"/>
  <c r="T27" i="40" s="1"/>
  <c r="V33" i="40" s="1"/>
  <c r="S15" i="40"/>
  <c r="S19" i="40" s="1"/>
  <c r="V14" i="40"/>
  <c r="V13" i="40"/>
  <c r="V12" i="40"/>
  <c r="V15" i="40" s="1"/>
  <c r="E16" i="41"/>
  <c r="E15" i="41"/>
  <c r="E14" i="41"/>
  <c r="A14" i="41"/>
  <c r="A15" i="41" s="1"/>
  <c r="A16" i="41" s="1"/>
  <c r="A17" i="41" s="1"/>
  <c r="A19" i="41" s="1"/>
  <c r="A21" i="41" s="1"/>
  <c r="A23" i="41" s="1"/>
  <c r="A26" i="41" s="1"/>
  <c r="A28" i="41" s="1"/>
  <c r="A32" i="41" s="1"/>
  <c r="Q23" i="40" l="1"/>
  <c r="N35" i="40"/>
  <c r="N37" i="40" s="1"/>
  <c r="N38" i="40" s="1"/>
  <c r="N39" i="40" s="1"/>
  <c r="N41" i="40" s="1"/>
  <c r="N43" i="40" s="1"/>
  <c r="V19" i="40"/>
  <c r="S23" i="40"/>
  <c r="V23" i="40" s="1"/>
  <c r="E17" i="41"/>
  <c r="E21" i="41" s="1"/>
  <c r="CC63" i="40" l="1"/>
  <c r="BZ63" i="40"/>
  <c r="BW63" i="40"/>
  <c r="BT63" i="40"/>
  <c r="BQ63" i="40"/>
  <c r="I78" i="40"/>
  <c r="I77" i="40"/>
  <c r="I76" i="40"/>
  <c r="I75" i="40"/>
  <c r="I74" i="40"/>
  <c r="I73" i="40"/>
  <c r="I72" i="40"/>
  <c r="I71" i="40"/>
  <c r="I70" i="40"/>
  <c r="I69" i="40"/>
  <c r="I68" i="40"/>
  <c r="I67" i="40"/>
  <c r="I66" i="40"/>
  <c r="I65" i="40"/>
  <c r="I64" i="40"/>
  <c r="J28" i="40" l="1"/>
  <c r="G231" i="1" l="1"/>
  <c r="I52" i="1"/>
  <c r="I51" i="1"/>
  <c r="D143" i="1" l="1"/>
  <c r="A5" i="16" l="1"/>
  <c r="E29" i="5" l="1"/>
  <c r="D29" i="5"/>
  <c r="D15" i="5"/>
  <c r="D24" i="32" l="1"/>
  <c r="F20" i="19" l="1"/>
  <c r="I248" i="1"/>
  <c r="J19" i="40" l="1"/>
  <c r="I50" i="37" l="1"/>
  <c r="I49" i="37"/>
  <c r="I48" i="37"/>
  <c r="I47" i="37"/>
  <c r="I46" i="37"/>
  <c r="I45" i="37"/>
  <c r="I44" i="37"/>
  <c r="I43" i="37"/>
  <c r="I42" i="37"/>
  <c r="I41" i="37"/>
  <c r="I40" i="37"/>
  <c r="I39" i="37"/>
  <c r="E50" i="37"/>
  <c r="J22" i="20"/>
  <c r="I22" i="20"/>
  <c r="C20" i="31"/>
  <c r="D10" i="32"/>
  <c r="D9" i="32"/>
  <c r="E84"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3" i="13" l="1"/>
  <c r="M23" i="13" l="1"/>
  <c r="J16" i="40" s="1"/>
  <c r="J18" i="40" l="1"/>
  <c r="J20" i="40" s="1"/>
  <c r="S25" i="40"/>
  <c r="B10" i="32"/>
  <c r="B11" i="32" s="1"/>
  <c r="B12" i="32" s="1"/>
  <c r="B13" i="32" s="1"/>
  <c r="B14" i="32" s="1"/>
  <c r="B16" i="32" s="1"/>
  <c r="B17" i="32" s="1"/>
  <c r="B18" i="32" s="1"/>
  <c r="B22" i="32" s="1"/>
  <c r="B23" i="32" s="1"/>
  <c r="B24" i="32" s="1"/>
  <c r="B25" i="32" s="1"/>
  <c r="B26" i="32" s="1"/>
  <c r="P50" i="37"/>
  <c r="P49" i="37"/>
  <c r="P48" i="37"/>
  <c r="P47" i="37"/>
  <c r="P46" i="37"/>
  <c r="P45" i="37"/>
  <c r="P44" i="37"/>
  <c r="P43" i="37"/>
  <c r="P42" i="37"/>
  <c r="P41" i="37"/>
  <c r="P40" i="37"/>
  <c r="P39" i="37"/>
  <c r="P38" i="37"/>
  <c r="R26" i="37"/>
  <c r="R1" i="37"/>
  <c r="A13" i="31"/>
  <c r="A14" i="31" s="1"/>
  <c r="A15" i="31" s="1"/>
  <c r="A16" i="31" s="1"/>
  <c r="C16" i="31"/>
  <c r="V29" i="40" l="1"/>
  <c r="V31" i="40" s="1"/>
  <c r="V35" i="40" s="1"/>
  <c r="V37" i="40" s="1"/>
  <c r="V38" i="40" s="1"/>
  <c r="S27" i="40"/>
  <c r="C21" i="31"/>
  <c r="I243" i="1"/>
  <c r="I83" i="40"/>
  <c r="I82" i="40"/>
  <c r="I81" i="40"/>
  <c r="I80" i="40"/>
  <c r="I79" i="40"/>
  <c r="A65" i="40"/>
  <c r="A66" i="40" s="1"/>
  <c r="A67" i="40" s="1"/>
  <c r="A68" i="40" s="1"/>
  <c r="A69" i="40" s="1"/>
  <c r="A70" i="40" s="1"/>
  <c r="A71" i="40" s="1"/>
  <c r="A72" i="40" s="1"/>
  <c r="A73" i="40" s="1"/>
  <c r="A74" i="40" s="1"/>
  <c r="A75" i="40" s="1"/>
  <c r="A76" i="40" s="1"/>
  <c r="A77" i="40" s="1"/>
  <c r="A78" i="40" s="1"/>
  <c r="A79" i="40" s="1"/>
  <c r="A80" i="40" s="1"/>
  <c r="A81" i="40" s="1"/>
  <c r="A82" i="40" s="1"/>
  <c r="A83" i="40" s="1"/>
  <c r="A84" i="40" s="1"/>
  <c r="BN63" i="40"/>
  <c r="K78" i="40" s="1"/>
  <c r="BK63" i="40"/>
  <c r="K77" i="40" s="1"/>
  <c r="BH63" i="40"/>
  <c r="K76" i="40" s="1"/>
  <c r="BE63" i="40"/>
  <c r="K75" i="40" s="1"/>
  <c r="BB63" i="40"/>
  <c r="AY63" i="40"/>
  <c r="AV63" i="40"/>
  <c r="AS63" i="40"/>
  <c r="AP63" i="40"/>
  <c r="AM63" i="40"/>
  <c r="K69" i="40" s="1"/>
  <c r="AJ63" i="40"/>
  <c r="K68" i="40" s="1"/>
  <c r="AG63" i="40"/>
  <c r="K67" i="40" s="1"/>
  <c r="AD63" i="40"/>
  <c r="K66" i="40" s="1"/>
  <c r="AA63" i="40"/>
  <c r="K65" i="40" s="1"/>
  <c r="X63" i="40"/>
  <c r="K64" i="40" s="1"/>
  <c r="K80" i="40" l="1"/>
  <c r="K71" i="40"/>
  <c r="K81" i="40"/>
  <c r="K72" i="40"/>
  <c r="K82" i="40"/>
  <c r="K73" i="40"/>
  <c r="K79" i="40"/>
  <c r="K70" i="40"/>
  <c r="K83" i="40"/>
  <c r="K74" i="40"/>
  <c r="I84" i="40"/>
  <c r="G84" i="40" l="1"/>
  <c r="K84" i="40"/>
  <c r="V41" i="40" s="1"/>
  <c r="V43" i="40" s="1"/>
  <c r="B3" i="13"/>
  <c r="B3" i="18"/>
  <c r="K42" i="37" l="1"/>
  <c r="K44" i="37" l="1"/>
  <c r="K43" i="37"/>
  <c r="H11" i="20"/>
  <c r="H12" i="20" s="1"/>
  <c r="H13" i="20" s="1"/>
  <c r="H14" i="20" s="1"/>
  <c r="H15" i="20" s="1"/>
  <c r="H16" i="20" s="1"/>
  <c r="H17" i="20" s="1"/>
  <c r="H18" i="20" s="1"/>
  <c r="H19" i="20" s="1"/>
  <c r="H20" i="20" s="1"/>
  <c r="K15" i="4"/>
  <c r="C49" i="24"/>
  <c r="C50" i="24" s="1"/>
  <c r="I19" i="4"/>
  <c r="I18" i="4"/>
  <c r="H14" i="37"/>
  <c r="H38" i="37"/>
  <c r="F38" i="37"/>
  <c r="D38" i="37"/>
  <c r="H56" i="37"/>
  <c r="H55" i="37"/>
  <c r="K39" i="37"/>
  <c r="K38" i="37"/>
  <c r="E41" i="14"/>
  <c r="H64" i="14"/>
  <c r="H59" i="14"/>
  <c r="K73" i="35" s="1"/>
  <c r="M53" i="14"/>
  <c r="L53" i="14"/>
  <c r="K53" i="14"/>
  <c r="I53" i="14"/>
  <c r="G53" i="14"/>
  <c r="F53" i="14"/>
  <c r="M52" i="14"/>
  <c r="L52" i="14"/>
  <c r="K52" i="14"/>
  <c r="I52" i="14"/>
  <c r="G52" i="14"/>
  <c r="F52" i="14"/>
  <c r="M51" i="14"/>
  <c r="L51" i="14"/>
  <c r="K51" i="14"/>
  <c r="I51" i="14"/>
  <c r="G51" i="14"/>
  <c r="F51" i="14"/>
  <c r="M50" i="14"/>
  <c r="L50" i="14"/>
  <c r="K50" i="14"/>
  <c r="I50" i="14"/>
  <c r="G50" i="14"/>
  <c r="F50" i="14"/>
  <c r="M49" i="14"/>
  <c r="L49" i="14"/>
  <c r="K49" i="14"/>
  <c r="I49" i="14"/>
  <c r="G49" i="14"/>
  <c r="F49" i="14"/>
  <c r="M48" i="14"/>
  <c r="L48" i="14"/>
  <c r="K48" i="14"/>
  <c r="I48" i="14"/>
  <c r="G48" i="14"/>
  <c r="F48" i="14"/>
  <c r="M47" i="14"/>
  <c r="L47" i="14"/>
  <c r="K47" i="14"/>
  <c r="I47" i="14"/>
  <c r="H47" i="14"/>
  <c r="G47" i="14"/>
  <c r="F47" i="14"/>
  <c r="M46" i="14"/>
  <c r="L46" i="14"/>
  <c r="K46" i="14"/>
  <c r="I46" i="14"/>
  <c r="H46" i="14"/>
  <c r="G46" i="14"/>
  <c r="F46" i="14"/>
  <c r="M45" i="14"/>
  <c r="L45" i="14"/>
  <c r="K45" i="14"/>
  <c r="I45" i="14"/>
  <c r="H45" i="14"/>
  <c r="G45" i="14"/>
  <c r="F45" i="14"/>
  <c r="M44" i="14"/>
  <c r="L44" i="14"/>
  <c r="K44" i="14"/>
  <c r="I44" i="14"/>
  <c r="H44" i="14"/>
  <c r="G44" i="14"/>
  <c r="F44" i="14"/>
  <c r="M43" i="14"/>
  <c r="L43" i="14"/>
  <c r="K43" i="14"/>
  <c r="I43" i="14"/>
  <c r="H43" i="14"/>
  <c r="G43" i="14"/>
  <c r="F43" i="14"/>
  <c r="M42" i="14"/>
  <c r="L42" i="14"/>
  <c r="K42" i="14"/>
  <c r="I42" i="14"/>
  <c r="H42" i="14"/>
  <c r="G42" i="14"/>
  <c r="F42" i="14"/>
  <c r="N41" i="14"/>
  <c r="M41" i="14"/>
  <c r="L41" i="14"/>
  <c r="K41" i="14"/>
  <c r="I41" i="14"/>
  <c r="H41" i="14"/>
  <c r="G41" i="14"/>
  <c r="F41" i="14"/>
  <c r="N38" i="14"/>
  <c r="D77" i="1" s="1"/>
  <c r="M38" i="14"/>
  <c r="L38" i="14"/>
  <c r="D76" i="1" s="1"/>
  <c r="K38" i="14"/>
  <c r="D75" i="1" s="1"/>
  <c r="I38" i="14"/>
  <c r="H67" i="14" s="1"/>
  <c r="H38" i="14"/>
  <c r="G38" i="14"/>
  <c r="F38" i="14"/>
  <c r="D73" i="1" s="1"/>
  <c r="J36" i="14"/>
  <c r="J35" i="14"/>
  <c r="O35" i="14" s="1"/>
  <c r="J34" i="14"/>
  <c r="O34" i="14" s="1"/>
  <c r="J33" i="14"/>
  <c r="O33" i="14" s="1"/>
  <c r="J32" i="14"/>
  <c r="O32" i="14" s="1"/>
  <c r="J31" i="14"/>
  <c r="O31" i="14" s="1"/>
  <c r="J30" i="14"/>
  <c r="O30" i="14" s="1"/>
  <c r="J29" i="14"/>
  <c r="O29" i="14" s="1"/>
  <c r="J28" i="14"/>
  <c r="O28" i="14" s="1"/>
  <c r="J27" i="14"/>
  <c r="O27" i="14" s="1"/>
  <c r="J26" i="14"/>
  <c r="O26" i="14" s="1"/>
  <c r="J25" i="14"/>
  <c r="O25" i="14" s="1"/>
  <c r="J24" i="14"/>
  <c r="M20" i="14"/>
  <c r="L20" i="14"/>
  <c r="K20" i="14"/>
  <c r="D67" i="1" s="1"/>
  <c r="I20" i="14"/>
  <c r="G20" i="14"/>
  <c r="F20" i="14"/>
  <c r="D65" i="1" s="1"/>
  <c r="J12" i="14"/>
  <c r="J11" i="14"/>
  <c r="J10" i="14"/>
  <c r="J9" i="14"/>
  <c r="J8" i="14"/>
  <c r="N7" i="14"/>
  <c r="N8" i="14" s="1"/>
  <c r="J7" i="14"/>
  <c r="J6" i="14"/>
  <c r="O6" i="14" s="1"/>
  <c r="K41" i="37"/>
  <c r="K40" i="37"/>
  <c r="O24" i="14" l="1"/>
  <c r="O36" i="14"/>
  <c r="D68" i="1"/>
  <c r="M55" i="14"/>
  <c r="O7" i="14"/>
  <c r="O42" i="14" s="1"/>
  <c r="I17" i="4"/>
  <c r="K45" i="37"/>
  <c r="J42" i="14"/>
  <c r="H57" i="37"/>
  <c r="J44" i="14"/>
  <c r="L55" i="14"/>
  <c r="J43" i="14"/>
  <c r="K55" i="14"/>
  <c r="I55" i="14"/>
  <c r="J46" i="14"/>
  <c r="G55" i="14"/>
  <c r="F55" i="14"/>
  <c r="J47" i="14"/>
  <c r="J45" i="14"/>
  <c r="N9" i="14"/>
  <c r="O9" i="14" s="1"/>
  <c r="O44" i="14" s="1"/>
  <c r="N43" i="14"/>
  <c r="O8" i="14"/>
  <c r="O43" i="14" s="1"/>
  <c r="N42" i="14"/>
  <c r="J38" i="14"/>
  <c r="J41" i="14"/>
  <c r="O38" i="14" l="1"/>
  <c r="O41" i="14"/>
  <c r="H66" i="14"/>
  <c r="H68" i="14" s="1"/>
  <c r="D74" i="1"/>
  <c r="H48" i="14"/>
  <c r="J48" i="14" s="1"/>
  <c r="J13" i="14"/>
  <c r="K46" i="37"/>
  <c r="H49" i="14"/>
  <c r="J14" i="14"/>
  <c r="N10" i="14"/>
  <c r="N44" i="14"/>
  <c r="J49" i="14" l="1"/>
  <c r="K47" i="37"/>
  <c r="H50" i="14"/>
  <c r="J50" i="14" s="1"/>
  <c r="J15" i="14"/>
  <c r="O10" i="14"/>
  <c r="N45" i="14"/>
  <c r="N11" i="14"/>
  <c r="K48" i="37" l="1"/>
  <c r="H51" i="14"/>
  <c r="J16" i="14"/>
  <c r="O45" i="14"/>
  <c r="N12" i="14"/>
  <c r="N46" i="14"/>
  <c r="O11" i="14"/>
  <c r="O46" i="14" s="1"/>
  <c r="J51" i="14" l="1"/>
  <c r="K49" i="37"/>
  <c r="H52" i="14"/>
  <c r="J52" i="14" s="1"/>
  <c r="J17" i="14"/>
  <c r="N47" i="14"/>
  <c r="N13" i="14"/>
  <c r="O12" i="14"/>
  <c r="K50" i="37" l="1"/>
  <c r="H53" i="14"/>
  <c r="J53" i="14" s="1"/>
  <c r="J55" i="14" s="1"/>
  <c r="J18" i="14"/>
  <c r="J20" i="14" s="1"/>
  <c r="H20" i="14"/>
  <c r="E73" i="35" s="1"/>
  <c r="N48" i="14"/>
  <c r="O13" i="14"/>
  <c r="O48" i="14" s="1"/>
  <c r="N14" i="14"/>
  <c r="O47" i="14"/>
  <c r="D66" i="1" l="1"/>
  <c r="H55" i="14"/>
  <c r="H73" i="35" s="1"/>
  <c r="N15" i="14"/>
  <c r="N49" i="14"/>
  <c r="O14" i="14"/>
  <c r="O49" i="14" s="1"/>
  <c r="N50" i="14" l="1"/>
  <c r="N16" i="14"/>
  <c r="O15" i="14"/>
  <c r="O50" i="14" s="1"/>
  <c r="N51" i="14" l="1"/>
  <c r="O16" i="14"/>
  <c r="O51" i="14" s="1"/>
  <c r="N17" i="14"/>
  <c r="N18" i="14" l="1"/>
  <c r="N52" i="14"/>
  <c r="O17" i="14"/>
  <c r="O52" i="14" s="1"/>
  <c r="N53" i="14" l="1"/>
  <c r="N55" i="14" s="1"/>
  <c r="O18" i="14"/>
  <c r="N20" i="14"/>
  <c r="D69" i="1" s="1"/>
  <c r="O53" i="14" l="1"/>
  <c r="O55" i="14" s="1"/>
  <c r="O20" i="14"/>
  <c r="K51" i="37" l="1"/>
  <c r="J13" i="37" s="1"/>
  <c r="J15" i="37" s="1"/>
  <c r="J38" i="37"/>
  <c r="D39" i="37"/>
  <c r="H15" i="37"/>
  <c r="D40" i="37" l="1"/>
  <c r="F39" i="37"/>
  <c r="H39" i="37"/>
  <c r="H40" i="37" s="1"/>
  <c r="J40" i="37" s="1"/>
  <c r="L40" i="37" s="1"/>
  <c r="R38" i="37"/>
  <c r="L38" i="37"/>
  <c r="N38" i="37"/>
  <c r="D1" i="38"/>
  <c r="D41" i="37" l="1"/>
  <c r="F40" i="37"/>
  <c r="H41" i="37"/>
  <c r="H42" i="37" s="1"/>
  <c r="J39" i="37"/>
  <c r="D42" i="37" l="1"/>
  <c r="F41" i="37"/>
  <c r="J41" i="37"/>
  <c r="L41" i="37" s="1"/>
  <c r="L39" i="37"/>
  <c r="H43" i="37"/>
  <c r="J42" i="37"/>
  <c r="L42" i="37" s="1"/>
  <c r="B318" i="1"/>
  <c r="C318" i="1" s="1"/>
  <c r="E318" i="1"/>
  <c r="I24" i="1"/>
  <c r="B64" i="40" l="1"/>
  <c r="C28" i="40"/>
  <c r="B38" i="40"/>
  <c r="A7" i="41"/>
  <c r="D59" i="14"/>
  <c r="G70" i="14"/>
  <c r="A7" i="16"/>
  <c r="A4" i="2"/>
  <c r="B48" i="40"/>
  <c r="I25" i="1"/>
  <c r="I27" i="1" s="1"/>
  <c r="I29" i="1" s="1"/>
  <c r="B5" i="12"/>
  <c r="A7" i="37"/>
  <c r="E7" i="20"/>
  <c r="B3" i="31"/>
  <c r="B3" i="32"/>
  <c r="B5" i="13"/>
  <c r="A3" i="33"/>
  <c r="C3" i="14"/>
  <c r="B5" i="18"/>
  <c r="B5" i="19"/>
  <c r="B39" i="40"/>
  <c r="D43" i="37"/>
  <c r="F42" i="37"/>
  <c r="L29" i="1"/>
  <c r="B42" i="40"/>
  <c r="B40" i="40"/>
  <c r="B41" i="40"/>
  <c r="D9" i="19"/>
  <c r="D10" i="19" s="1"/>
  <c r="D11" i="19" s="1"/>
  <c r="D12" i="19" s="1"/>
  <c r="D13" i="19" s="1"/>
  <c r="D14" i="19" s="1"/>
  <c r="D15" i="19" s="1"/>
  <c r="D16" i="19" s="1"/>
  <c r="D17" i="19" s="1"/>
  <c r="D18" i="19" s="1"/>
  <c r="D19" i="19" s="1"/>
  <c r="D20" i="19" s="1"/>
  <c r="F10"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J43" i="37"/>
  <c r="L43" i="37" s="1"/>
  <c r="H44" i="37"/>
  <c r="E317" i="1"/>
  <c r="E319" i="1"/>
  <c r="B76" i="40" s="1"/>
  <c r="B317" i="1"/>
  <c r="C317" i="1" s="1"/>
  <c r="A9" i="41" l="1"/>
  <c r="B47" i="40"/>
  <c r="L26" i="1"/>
  <c r="A4" i="3"/>
  <c r="A4" i="4" s="1"/>
  <c r="A4" i="5" s="1"/>
  <c r="A4" i="34"/>
  <c r="D44" i="37"/>
  <c r="F43" i="37"/>
  <c r="L23" i="1"/>
  <c r="L19" i="1"/>
  <c r="L20" i="1"/>
  <c r="L24" i="1"/>
  <c r="B319" i="1"/>
  <c r="C319" i="1" s="1"/>
  <c r="D8" i="19"/>
  <c r="G10" i="20"/>
  <c r="D8" i="18"/>
  <c r="E25" i="14"/>
  <c r="E43" i="14" s="1"/>
  <c r="E8" i="14"/>
  <c r="E6" i="14"/>
  <c r="E24" i="14" s="1"/>
  <c r="E42" i="14" s="1"/>
  <c r="C38" i="37"/>
  <c r="H45" i="37"/>
  <c r="J44" i="37"/>
  <c r="L44" i="37" s="1"/>
  <c r="D45" i="37" l="1"/>
  <c r="F44" i="37"/>
  <c r="E26" i="14"/>
  <c r="E44" i="14" s="1"/>
  <c r="E9" i="14"/>
  <c r="H46" i="37"/>
  <c r="J45" i="37"/>
  <c r="L45" i="37" s="1"/>
  <c r="C1" i="14"/>
  <c r="D257" i="1"/>
  <c r="D256" i="1"/>
  <c r="K255" i="1"/>
  <c r="C255" i="1"/>
  <c r="B255" i="1"/>
  <c r="I241"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D46" i="37" l="1"/>
  <c r="F45" i="37"/>
  <c r="E10" i="14"/>
  <c r="E27" i="14"/>
  <c r="E45" i="14" s="1"/>
  <c r="J46" i="37"/>
  <c r="L46" i="37" s="1"/>
  <c r="H47" i="37"/>
  <c r="D78" i="1"/>
  <c r="L214" i="1"/>
  <c r="D83" i="1"/>
  <c r="D84" i="1"/>
  <c r="D94" i="1"/>
  <c r="I197" i="1"/>
  <c r="I200" i="1" s="1"/>
  <c r="I202" i="1" s="1"/>
  <c r="D81" i="1"/>
  <c r="D47" i="37" l="1"/>
  <c r="F46" i="37"/>
  <c r="E11" i="14"/>
  <c r="E28" i="14"/>
  <c r="E46" i="14" s="1"/>
  <c r="H48" i="37"/>
  <c r="J47" i="37"/>
  <c r="L47" i="37" s="1"/>
  <c r="D82" i="1"/>
  <c r="E215" i="1"/>
  <c r="I210" i="1"/>
  <c r="G13" i="1"/>
  <c r="G66" i="1"/>
  <c r="D48" i="37" l="1"/>
  <c r="F47" i="37"/>
  <c r="E12" i="14"/>
  <c r="E29" i="14"/>
  <c r="E47" i="14" s="1"/>
  <c r="H49" i="37"/>
  <c r="J48" i="37"/>
  <c r="L48" i="37" s="1"/>
  <c r="G74" i="1"/>
  <c r="I66" i="1"/>
  <c r="G18" i="35" s="1"/>
  <c r="G16" i="1"/>
  <c r="I16" i="1" s="1"/>
  <c r="G14" i="1"/>
  <c r="G15" i="1"/>
  <c r="I15" i="1" s="1"/>
  <c r="D49" i="37" l="1"/>
  <c r="F48" i="37"/>
  <c r="E13" i="14"/>
  <c r="E30" i="14"/>
  <c r="E48" i="14" s="1"/>
  <c r="J49" i="37"/>
  <c r="L49" i="37" s="1"/>
  <c r="H50" i="37"/>
  <c r="J50" i="37" s="1"/>
  <c r="G96" i="1"/>
  <c r="I74" i="1"/>
  <c r="D50" i="37" l="1"/>
  <c r="F50" i="37" s="1"/>
  <c r="F49" i="37"/>
  <c r="E14" i="14"/>
  <c r="E31" i="14"/>
  <c r="E49" i="14" s="1"/>
  <c r="L50" i="37"/>
  <c r="L51" i="37" s="1"/>
  <c r="J51" i="37"/>
  <c r="F13" i="37" s="1"/>
  <c r="G143" i="1"/>
  <c r="I82" i="1"/>
  <c r="G19" i="35" s="1"/>
  <c r="E15" i="14" l="1"/>
  <c r="E32" i="14"/>
  <c r="E50" i="14" s="1"/>
  <c r="I13" i="37"/>
  <c r="E93" i="35"/>
  <c r="M93" i="35"/>
  <c r="G65" i="35"/>
  <c r="G63" i="35"/>
  <c r="N62" i="35"/>
  <c r="G62" i="35"/>
  <c r="C62" i="35"/>
  <c r="E16" i="14" l="1"/>
  <c r="E33" i="14"/>
  <c r="E51" i="14" s="1"/>
  <c r="K13" i="37"/>
  <c r="E17" i="14" l="1"/>
  <c r="E34" i="14"/>
  <c r="E52" i="14" s="1"/>
  <c r="C45" i="25"/>
  <c r="E18" i="14" l="1"/>
  <c r="E36" i="14" s="1"/>
  <c r="E35" i="14"/>
  <c r="E53" i="14" s="1"/>
  <c r="J24" i="20"/>
  <c r="I24" i="20"/>
  <c r="E5" i="20"/>
  <c r="D85" i="1" l="1"/>
  <c r="D86" i="1" s="1"/>
  <c r="D70" i="1"/>
  <c r="D221" i="1" s="1"/>
  <c r="D224" i="1" s="1"/>
  <c r="G222" i="1" s="1"/>
  <c r="C8" i="34"/>
  <c r="D156" i="1" s="1"/>
  <c r="D157" i="1" s="1"/>
  <c r="C28" i="25"/>
  <c r="D28" i="5" s="1"/>
  <c r="C21" i="25" l="1"/>
  <c r="D27" i="5" s="1"/>
  <c r="G12" i="4" l="1"/>
  <c r="I15" i="4" l="1"/>
  <c r="G14" i="4" l="1"/>
  <c r="G9" i="4" l="1"/>
  <c r="G13" i="4"/>
  <c r="G18" i="4" l="1"/>
  <c r="G19" i="4"/>
  <c r="C15" i="4" l="1"/>
  <c r="G11" i="4"/>
  <c r="C20" i="4" l="1"/>
  <c r="C25" i="4" s="1"/>
  <c r="C28" i="4" s="1"/>
  <c r="C51" i="24" l="1"/>
  <c r="D144" i="1" l="1"/>
  <c r="C19" i="5" l="1"/>
  <c r="C46" i="2" l="1"/>
  <c r="C30" i="2"/>
  <c r="E19" i="5" l="1"/>
  <c r="F13" i="5"/>
  <c r="F38" i="5"/>
  <c r="D19" i="5"/>
  <c r="D26" i="33" l="1"/>
  <c r="B26" i="33" s="1"/>
  <c r="B1" i="32" l="1"/>
  <c r="B1" i="31"/>
  <c r="A1" i="28"/>
  <c r="A1" i="27"/>
  <c r="A1" i="26"/>
  <c r="A1" i="33"/>
  <c r="A1" i="25"/>
  <c r="A1" i="24"/>
  <c r="B3" i="19"/>
  <c r="A1" i="5"/>
  <c r="A1" i="34"/>
  <c r="A1" i="4"/>
  <c r="C35" i="24" l="1"/>
  <c r="E21" i="5" s="1"/>
  <c r="C23" i="24"/>
  <c r="D21" i="5" s="1"/>
  <c r="C38" i="24" l="1"/>
  <c r="D25" i="32"/>
  <c r="I249" i="1" s="1"/>
  <c r="I247" i="1"/>
  <c r="A3" i="24"/>
  <c r="A3" i="25" s="1"/>
  <c r="A3" i="26" s="1"/>
  <c r="A3" i="27" s="1"/>
  <c r="A3" i="28" s="1"/>
  <c r="D13" i="28"/>
  <c r="B22" i="27"/>
  <c r="B16" i="27"/>
  <c r="C14" i="26"/>
  <c r="D135" i="1" s="1"/>
  <c r="B14" i="26"/>
  <c r="D13" i="1" l="1"/>
  <c r="I13" i="1" s="1"/>
  <c r="D137" i="1"/>
  <c r="D136" i="1"/>
  <c r="A1" i="3"/>
  <c r="A1" i="2"/>
  <c r="E22" i="18"/>
  <c r="D96" i="1" s="1"/>
  <c r="I96" i="1" s="1"/>
  <c r="C17" i="16"/>
  <c r="I34" i="1"/>
  <c r="I41" i="1" s="1"/>
  <c r="E30" i="41" s="1"/>
  <c r="E32" i="41" s="1"/>
  <c r="F11" i="13"/>
  <c r="F12" i="13" s="1"/>
  <c r="F13" i="13" s="1"/>
  <c r="F14" i="13" s="1"/>
  <c r="F15" i="13" s="1"/>
  <c r="F16" i="13" s="1"/>
  <c r="F17" i="13" s="1"/>
  <c r="F18" i="13" s="1"/>
  <c r="F19" i="13" s="1"/>
  <c r="F20" i="13" s="1"/>
  <c r="F21" i="13" s="1"/>
  <c r="E22" i="19" l="1"/>
  <c r="D100" i="1" s="1"/>
  <c r="F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E20" i="4"/>
  <c r="E25" i="4" s="1"/>
  <c r="E28" i="4" s="1"/>
  <c r="D37" i="33"/>
  <c r="B37" i="33" s="1"/>
  <c r="D36" i="33"/>
  <c r="B36" i="33" s="1"/>
  <c r="D31" i="33"/>
  <c r="B31" i="33" s="1"/>
  <c r="D27" i="33"/>
  <c r="B27" i="33" s="1"/>
  <c r="D28" i="33"/>
  <c r="B28" i="33" s="1"/>
  <c r="D25" i="33"/>
  <c r="B25" i="33" s="1"/>
  <c r="C31" i="5"/>
  <c r="F19" i="5"/>
  <c r="D99" i="1" l="1"/>
  <c r="D102" i="1" s="1"/>
  <c r="D104" i="1" s="1"/>
  <c r="I207" i="1"/>
  <c r="I209" i="1" s="1"/>
  <c r="I211" i="1" s="1"/>
  <c r="C9" i="33"/>
  <c r="D215" i="1" s="1"/>
  <c r="G215" i="1" s="1"/>
  <c r="C29" i="33"/>
  <c r="C8" i="33" s="1"/>
  <c r="D214" i="1" s="1"/>
  <c r="D29" i="33"/>
  <c r="G131" i="1" l="1"/>
  <c r="G100" i="1"/>
  <c r="I100" i="1" s="1"/>
  <c r="G214" i="1"/>
  <c r="B29" i="33"/>
  <c r="G137" i="1" l="1"/>
  <c r="I137" i="1" s="1"/>
  <c r="I131" i="1"/>
  <c r="G133" i="1"/>
  <c r="I133" i="1" s="1"/>
  <c r="F23" i="5"/>
  <c r="D33" i="33" l="1"/>
  <c r="B33" i="33" s="1"/>
  <c r="C10" i="33"/>
  <c r="D216" i="1" s="1"/>
  <c r="C14" i="25"/>
  <c r="D25" i="5" l="1"/>
  <c r="D31" i="5" s="1"/>
  <c r="D42" i="5" s="1"/>
  <c r="G216" i="1"/>
  <c r="F25" i="5" l="1"/>
  <c r="D35" i="33" s="1"/>
  <c r="B35" i="33" s="1"/>
  <c r="F31" i="5"/>
  <c r="F42" i="5" s="1"/>
  <c r="C10" i="3"/>
  <c r="C15" i="3" s="1"/>
  <c r="C16" i="3" s="1"/>
  <c r="C18" i="3" s="1"/>
  <c r="C23" i="3" s="1"/>
  <c r="C28" i="3" s="1"/>
  <c r="C31" i="3" s="1"/>
  <c r="D38" i="33"/>
  <c r="D44" i="5" l="1"/>
  <c r="B38" i="33"/>
  <c r="C38" i="33"/>
  <c r="C11" i="33" s="1"/>
  <c r="D217" i="1" s="1"/>
  <c r="G217" i="1" l="1"/>
  <c r="G218" i="1" s="1"/>
  <c r="D218" i="1"/>
  <c r="C12" i="33"/>
  <c r="I218" i="1" l="1"/>
  <c r="G136" i="1" s="1"/>
  <c r="I136" i="1" s="1"/>
  <c r="G135" i="1" l="1"/>
  <c r="I135" i="1" s="1"/>
  <c r="G68" i="1"/>
  <c r="I68" i="1" s="1"/>
  <c r="I222" i="1"/>
  <c r="K222" i="1" s="1"/>
  <c r="G138" i="1" s="1"/>
  <c r="G134" i="1"/>
  <c r="G144" i="1" s="1"/>
  <c r="I20" i="4"/>
  <c r="I134" i="1" l="1"/>
  <c r="G76" i="1"/>
  <c r="I76" i="1" s="1"/>
  <c r="I84" i="1" s="1"/>
  <c r="G69" i="1"/>
  <c r="G77" i="1" s="1"/>
  <c r="I77" i="1" s="1"/>
  <c r="G145" i="1"/>
  <c r="I145" i="1" s="1"/>
  <c r="I138" i="1"/>
  <c r="G150" i="1"/>
  <c r="I144" i="1"/>
  <c r="D146" i="1"/>
  <c r="I143" i="1"/>
  <c r="I25" i="4"/>
  <c r="I28" i="4" s="1"/>
  <c r="K20" i="4"/>
  <c r="K25" i="4" s="1"/>
  <c r="K28" i="4" s="1"/>
  <c r="I78" i="1" l="1"/>
  <c r="I69" i="1"/>
  <c r="I70" i="1" s="1"/>
  <c r="G70" i="1" s="1"/>
  <c r="G101" i="1" s="1"/>
  <c r="I101" i="1" s="1"/>
  <c r="I140" i="1"/>
  <c r="I99" i="1" s="1"/>
  <c r="G26" i="35"/>
  <c r="I146" i="1"/>
  <c r="G151" i="1"/>
  <c r="I151" i="1" s="1"/>
  <c r="I150" i="1"/>
  <c r="G27" i="4"/>
  <c r="G22" i="35" l="1"/>
  <c r="G23" i="35" s="1"/>
  <c r="L23" i="35" s="1"/>
  <c r="G153" i="1"/>
  <c r="I153" i="1" s="1"/>
  <c r="I85" i="1"/>
  <c r="I86" i="1" s="1"/>
  <c r="G86" i="1" s="1"/>
  <c r="G90" i="1" s="1"/>
  <c r="G27" i="35"/>
  <c r="L27" i="35" s="1"/>
  <c r="I102" i="1"/>
  <c r="D20" i="4"/>
  <c r="G17" i="4"/>
  <c r="F20" i="4"/>
  <c r="F25" i="4" s="1"/>
  <c r="F28" i="4" s="1"/>
  <c r="G168" i="1" l="1"/>
  <c r="I168" i="1" s="1"/>
  <c r="G155" i="1"/>
  <c r="I155" i="1" s="1"/>
  <c r="G91" i="1"/>
  <c r="I90" i="1"/>
  <c r="G20" i="4"/>
  <c r="D25" i="4"/>
  <c r="G156" i="1" l="1"/>
  <c r="I156" i="1" s="1"/>
  <c r="I157" i="1" s="1"/>
  <c r="G93" i="1"/>
  <c r="I93" i="1" s="1"/>
  <c r="G92" i="1"/>
  <c r="I92" i="1" s="1"/>
  <c r="I91" i="1"/>
  <c r="D28" i="4"/>
  <c r="G28" i="4" s="1"/>
  <c r="G25" i="4"/>
  <c r="C11" i="2" s="1"/>
  <c r="I94" i="1" l="1"/>
  <c r="I104" i="1" s="1"/>
  <c r="G30" i="35"/>
  <c r="G31" i="35" s="1"/>
  <c r="L31" i="35" s="1"/>
  <c r="L33" i="35" s="1"/>
  <c r="C16" i="2"/>
  <c r="C22" i="2" s="1"/>
  <c r="C56" i="2" s="1"/>
  <c r="F74" i="35" l="1"/>
  <c r="G74" i="35" s="1"/>
  <c r="F73" i="35"/>
  <c r="G73" i="35" s="1"/>
  <c r="F75" i="35"/>
  <c r="G75" i="35" s="1"/>
  <c r="F16" i="2"/>
  <c r="K22" i="20" s="1"/>
  <c r="K24" i="20" s="1"/>
  <c r="D231" i="1" s="1"/>
  <c r="D19" i="32" l="1"/>
  <c r="D36" i="32" s="1"/>
  <c r="D38" i="32" s="1"/>
  <c r="D26" i="32" l="1"/>
  <c r="I246" i="1"/>
  <c r="H22" i="20"/>
  <c r="H24" i="20" s="1"/>
  <c r="D230" i="1" s="1"/>
  <c r="F28" i="2"/>
  <c r="F56" i="2" s="1"/>
  <c r="F58" i="2" s="1"/>
  <c r="G230" i="1" l="1"/>
  <c r="D232" i="1"/>
  <c r="E231" i="1" l="1"/>
  <c r="I231" i="1" s="1"/>
  <c r="E230" i="1"/>
  <c r="I230" i="1" s="1"/>
  <c r="I232" i="1" l="1"/>
  <c r="E232" i="1"/>
  <c r="I171" i="1" l="1"/>
  <c r="G40" i="35" s="1"/>
  <c r="G41" i="35" s="1"/>
  <c r="L41" i="35" s="1"/>
  <c r="I235" i="1"/>
  <c r="D161" i="1"/>
  <c r="D171" i="1"/>
  <c r="D167" i="1" l="1"/>
  <c r="D169" i="1" s="1"/>
  <c r="D174" i="1" s="1"/>
  <c r="I167" i="1"/>
  <c r="I169" i="1" s="1"/>
  <c r="G36" i="35" s="1"/>
  <c r="G37" i="35" s="1"/>
  <c r="L37" i="35" s="1"/>
  <c r="L43" i="35" s="1"/>
  <c r="I75" i="35" s="1"/>
  <c r="J75" i="35" s="1"/>
  <c r="L75" i="35" s="1"/>
  <c r="N75" i="35" s="1"/>
  <c r="I174" i="1" l="1"/>
  <c r="I73" i="35"/>
  <c r="J73" i="35" s="1"/>
  <c r="L73" i="35" s="1"/>
  <c r="N73" i="35" s="1"/>
  <c r="I74" i="35"/>
  <c r="J74" i="35" s="1"/>
  <c r="L74" i="35" s="1"/>
  <c r="N74" i="35" s="1"/>
  <c r="N93" i="35" l="1"/>
  <c r="D178" i="1" s="1"/>
  <c r="I178" i="1" s="1"/>
  <c r="I183" i="1" s="1"/>
  <c r="I10" i="1" s="1"/>
  <c r="L93" i="35"/>
  <c r="L95" i="35" s="1"/>
  <c r="I250" i="1" l="1"/>
  <c r="D14" i="1" s="1"/>
  <c r="I14" i="1" s="1"/>
  <c r="I17" i="1" s="1"/>
  <c r="I31" i="1" s="1"/>
  <c r="J27" i="40"/>
  <c r="J29" i="40" s="1"/>
  <c r="J31" i="40" s="1"/>
  <c r="J33" i="40" s="1"/>
  <c r="D183" i="1"/>
  <c r="J12" i="40" l="1"/>
  <c r="J14" i="40" s="1"/>
  <c r="J21" i="40" s="1"/>
  <c r="J23" i="40" s="1"/>
  <c r="J25" i="40" s="1"/>
  <c r="D43" i="1"/>
  <c r="I49" i="1" s="1"/>
  <c r="N15" i="37"/>
  <c r="N39" i="37"/>
  <c r="R39" i="37"/>
  <c r="R40" i="37"/>
  <c r="I47" i="1" l="1"/>
  <c r="D49" i="1"/>
  <c r="D48" i="1"/>
  <c r="I48" i="1"/>
  <c r="D47" i="1"/>
  <c r="D44" i="1"/>
  <c r="N40" i="37"/>
  <c r="R41" i="37" l="1"/>
  <c r="N41" i="37"/>
  <c r="R42" i="37" l="1"/>
  <c r="N42" i="37"/>
  <c r="N43" i="37" l="1"/>
  <c r="R43" i="37"/>
  <c r="R44" i="37" l="1"/>
  <c r="N44" i="37"/>
  <c r="R45" i="37" l="1"/>
  <c r="N45" i="37"/>
  <c r="R46" i="37" l="1"/>
  <c r="N46" i="37"/>
  <c r="N47" i="37" l="1"/>
  <c r="R47" i="37"/>
  <c r="R48" i="37" l="1"/>
  <c r="N48" i="37"/>
  <c r="R49" i="37" l="1"/>
  <c r="N49" i="37"/>
  <c r="N50" i="37" l="1"/>
  <c r="N51" i="37" s="1"/>
  <c r="T51" i="37" s="1"/>
  <c r="R50" i="37"/>
  <c r="R51" i="37" s="1"/>
  <c r="F51" i="37"/>
  <c r="F14" i="37" s="1"/>
  <c r="F15" i="37" l="1"/>
  <c r="I14" i="37"/>
  <c r="I15" i="37" l="1"/>
  <c r="K14" i="37"/>
  <c r="K15" i="37" s="1"/>
  <c r="L14" i="37" l="1"/>
  <c r="L13" i="37"/>
  <c r="N14" i="37" l="1"/>
  <c r="N46" i="1"/>
  <c r="N13" i="37"/>
  <c r="N47" i="1"/>
  <c r="O47" i="1" s="1"/>
  <c r="L15" i="37"/>
  <c r="O46" i="1" l="1"/>
  <c r="O48" i="1" s="1"/>
  <c r="N48" i="1"/>
</calcChain>
</file>

<file path=xl/sharedStrings.xml><?xml version="1.0" encoding="utf-8"?>
<sst xmlns="http://schemas.openxmlformats.org/spreadsheetml/2006/main" count="1534" uniqueCount="1091">
  <si>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</si>
  <si>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</si>
  <si>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</si>
  <si>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</si>
  <si>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</si>
  <si>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</si>
  <si>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</si>
  <si>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</si>
  <si>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</si>
  <si>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</si>
  <si>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</si>
  <si>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</si>
  <si>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</si>
  <si>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</si>
  <si>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</si>
  <si>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</si>
  <si>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</si>
  <si>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</si>
  <si>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</si>
  <si>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</si>
  <si>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</si>
  <si>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</si>
  <si>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</si>
  <si>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</si>
  <si>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</si>
  <si>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</si>
  <si>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</si>
  <si>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</si>
  <si>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</si>
  <si>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</si>
  <si>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</si>
  <si>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</si>
  <si>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</si>
  <si>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</si>
  <si>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</si>
  <si>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</si>
  <si>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</si>
  <si>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</si>
  <si>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</si>
  <si>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</si>
  <si>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</si>
  <si>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</si>
  <si>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</si>
  <si>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</si>
  <si>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</si>
  <si>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</si>
  <si>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</si>
  <si>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</si>
  <si>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</si>
  <si>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</si>
  <si>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</si>
  <si>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</si>
  <si>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</si>
  <si>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</si>
  <si>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</si>
  <si>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</si>
  <si>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</si>
  <si>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</si>
  <si>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</si>
  <si>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</si>
  <si>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</si>
  <si>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</si>
  <si>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</si>
  <si>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</si>
  <si>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</si>
  <si>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</si>
  <si>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</si>
  <si>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</si>
  <si>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</si>
  <si>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</si>
  <si>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</si>
  <si>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</si>
  <si>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</si>
  <si>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</si>
  <si>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</si>
  <si>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</si>
  <si>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</si>
  <si>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</si>
  <si>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</si>
  <si>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</si>
  <si>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</si>
  <si>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</si>
  <si>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</si>
  <si>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</si>
  <si>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</si>
  <si>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</si>
  <si>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</si>
  <si>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</si>
  <si>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</si>
  <si>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</si>
  <si>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</si>
  <si>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</si>
  <si>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</si>
  <si>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</si>
  <si>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</si>
  <si>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</si>
  <si>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</si>
  <si>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</si>
  <si>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</si>
  <si>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</si>
  <si>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</si>
  <si>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</si>
  <si>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</si>
  <si>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</si>
  <si>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</si>
  <si>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</si>
  <si>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</si>
  <si>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</si>
  <si>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</si>
  <si>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</si>
  <si>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</si>
  <si>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</si>
  <si>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</si>
  <si>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</si>
  <si>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</si>
  <si>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</si>
  <si>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</si>
  <si>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</si>
  <si>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</si>
  <si>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</si>
  <si>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</si>
  <si>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</si>
  <si>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</si>
  <si>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</si>
  <si>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</si>
  <si>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</si>
  <si>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</si>
  <si>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</si>
  <si>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</si>
  <si>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</si>
  <si>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</si>
  <si>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</si>
  <si>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</si>
  <si>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</si>
  <si>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</si>
  <si>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</si>
  <si>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</si>
  <si>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</si>
  <si>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</si>
  <si>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</si>
  <si>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</si>
  <si>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</si>
  <si>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</si>
  <si>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</si>
  <si>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</si>
  <si>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</si>
  <si>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</si>
  <si>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</si>
  <si>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</si>
  <si>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</si>
  <si>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</si>
  <si>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</si>
  <si>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</si>
  <si>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</si>
  <si>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</si>
  <si>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</si>
  <si>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</si>
  <si>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</si>
  <si>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</si>
  <si>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</si>
  <si>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</si>
  <si>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</si>
  <si>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</si>
  <si>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</si>
  <si>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</si>
  <si>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</si>
  <si>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</si>
  <si>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</si>
  <si>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</si>
  <si>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</si>
  <si>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</si>
  <si>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</si>
  <si>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</si>
  <si>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</si>
  <si>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</si>
  <si>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</si>
  <si>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</si>
  <si>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</si>
  <si>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</si>
  <si>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</si>
  <si>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</si>
  <si>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</si>
  <si>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</si>
  <si>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</si>
  <si>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</si>
  <si>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</si>
  <si>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</si>
  <si>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</si>
  <si>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</si>
  <si>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</si>
  <si>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</si>
  <si>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</si>
  <si>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</si>
  <si>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</si>
  <si>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</si>
  <si>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</si>
  <si>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</si>
  <si>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</si>
  <si>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</si>
  <si>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</si>
  <si>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</si>
  <si>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</si>
  <si>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</si>
  <si>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</si>
  <si>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</si>
  <si>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</si>
  <si>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</si>
  <si>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</si>
  <si>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</si>
  <si>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</si>
  <si>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</si>
  <si>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</si>
  <si>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</si>
  <si>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</si>
  <si>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</si>
  <si>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</si>
  <si>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</si>
  <si>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</si>
  <si>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</si>
  <si>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</si>
  <si>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</si>
  <si>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</si>
  <si>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</si>
  <si>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</si>
  <si>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</si>
  <si>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</si>
  <si>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</si>
  <si>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</si>
  <si>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</si>
  <si>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</si>
  <si>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</si>
  <si>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</si>
  <si>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</si>
  <si>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</si>
  <si>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</si>
  <si>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</si>
  <si>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</si>
  <si>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</si>
  <si>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</si>
  <si>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</si>
  <si>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</si>
  <si>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</si>
  <si>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</si>
  <si>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</si>
  <si>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</si>
  <si>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</si>
  <si>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</si>
  <si>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</si>
  <si>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</si>
  <si>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</si>
  <si>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</si>
  <si>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</si>
  <si>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</si>
  <si>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</si>
  <si>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</si>
  <si>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</si>
  <si>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</si>
  <si>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</si>
  <si>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</si>
  <si>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</si>
  <si>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</si>
  <si>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</si>
  <si>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</si>
  <si>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</si>
  <si>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</si>
  <si>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</si>
  <si>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</si>
  <si>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</si>
  <si>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</si>
  <si>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</si>
  <si>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</si>
  <si>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</si>
  <si>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</si>
  <si>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</si>
  <si>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</si>
  <si>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</si>
  <si>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</si>
  <si>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</si>
  <si>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</si>
  <si>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</si>
  <si>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</si>
  <si>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</si>
  <si>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</si>
  <si>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</si>
  <si>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</si>
  <si>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</si>
  <si>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</si>
  <si>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</si>
  <si>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</si>
  <si>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</si>
  <si>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</si>
  <si>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</si>
  <si>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</si>
  <si>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</si>
  <si>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</si>
  <si>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</si>
  <si>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</si>
  <si>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</si>
  <si>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</si>
  <si>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</si>
  <si>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</si>
  <si>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</si>
  <si>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</si>
  <si>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</si>
  <si>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</si>
  <si>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</si>
  <si>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</si>
  <si>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</si>
  <si>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</si>
  <si>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</si>
  <si>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</si>
  <si>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</si>
  <si>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</si>
  <si>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</si>
  <si>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</si>
  <si>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</si>
  <si>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</si>
  <si>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</si>
  <si>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</si>
  <si>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</si>
  <si>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</si>
  <si>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</si>
  <si>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</si>
  <si>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</si>
  <si>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</si>
  <si>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</si>
  <si>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</si>
  <si>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</si>
  <si>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</si>
  <si>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</si>
  <si>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</si>
  <si>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</si>
  <si>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</si>
  <si>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</si>
  <si>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</si>
  <si>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</si>
  <si>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</si>
  <si>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</si>
  <si>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</si>
  <si>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</si>
  <si>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</si>
  <si>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</si>
  <si>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</si>
  <si>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</si>
  <si>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</si>
  <si>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</si>
  <si>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</si>
  <si>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</si>
  <si>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</si>
  <si>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</si>
  <si>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</si>
  <si>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</si>
  <si>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</si>
  <si>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</si>
  <si>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</si>
  <si>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</si>
  <si>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</si>
  <si>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</si>
  <si>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</si>
  <si>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</si>
  <si>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</si>
  <si>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</si>
  <si>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</si>
  <si>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</si>
  <si>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</si>
  <si>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</si>
  <si>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</si>
  <si>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</si>
  <si>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</si>
  <si>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</si>
  <si>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</si>
  <si>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</si>
  <si>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</si>
  <si>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</si>
  <si>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</si>
  <si>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</si>
  <si>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</si>
  <si>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</si>
  <si>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</si>
  <si>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</si>
  <si>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</si>
  <si>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</si>
  <si>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</si>
  <si>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</si>
  <si>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</si>
  <si>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</si>
  <si>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</si>
  <si>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</si>
  <si>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</si>
  <si>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</si>
  <si>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</si>
  <si>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</si>
  <si>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</si>
  <si>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</si>
  <si>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</si>
  <si>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</si>
  <si>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</si>
  <si>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</si>
  <si>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</si>
  <si>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</si>
  <si>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</si>
  <si>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</si>
  <si>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</si>
  <si>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</si>
  <si>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</si>
  <si>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</si>
  <si>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</si>
  <si>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</si>
  <si>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</si>
  <si>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</si>
  <si>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</si>
  <si>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</si>
  <si>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</si>
  <si>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</si>
  <si>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</si>
  <si>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</si>
  <si>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</si>
  <si>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</si>
  <si>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</si>
  <si>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</si>
  <si>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</si>
  <si>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</si>
  <si>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</si>
  <si>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</si>
  <si>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</si>
  <si>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</si>
  <si>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</si>
  <si>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</si>
  <si>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</si>
  <si>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</si>
  <si>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</si>
  <si>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</si>
  <si>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</si>
  <si>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</si>
  <si>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</si>
  <si>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</si>
  <si>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</si>
  <si>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</si>
  <si>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</si>
  <si>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</si>
  <si>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</si>
  <si>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</si>
  <si>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</si>
  <si>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</si>
  <si>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</si>
  <si>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</si>
  <si>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</si>
  <si>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</si>
  <si>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</si>
  <si>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</si>
  <si>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</si>
  <si>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</si>
  <si>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</si>
  <si>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</si>
  <si>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</si>
  <si>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</si>
  <si>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</si>
  <si>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</si>
  <si>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</si>
  <si>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</si>
  <si>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</si>
  <si>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</si>
  <si>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</si>
  <si>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</si>
  <si>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</si>
  <si>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</si>
  <si>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</si>
  <si>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</si>
  <si>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</si>
  <si>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</si>
  <si>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</si>
  <si>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</si>
  <si>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</si>
  <si>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</si>
  <si>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</si>
  <si>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</si>
  <si>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</si>
  <si>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</si>
  <si>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</si>
  <si>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</si>
  <si>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</si>
  <si>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</si>
  <si>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</si>
  <si>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</si>
  <si>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</si>
  <si>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</si>
  <si>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</si>
  <si>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</si>
  <si>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</si>
  <si>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</si>
  <si>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</si>
  <si>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</si>
  <si>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</si>
  <si>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</si>
  <si>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</si>
  <si>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</si>
  <si>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</si>
  <si>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</si>
  <si>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</si>
  <si>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</si>
  <si>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</si>
  <si>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</si>
  <si>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</si>
  <si>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</si>
  <si>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</si>
  <si>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</si>
  <si>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</si>
  <si>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</si>
  <si>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</si>
  <si>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</si>
  <si>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</si>
  <si>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</si>
  <si>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</si>
  <si>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</si>
  <si>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</si>
  <si>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</si>
  <si>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</si>
  <si>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</si>
  <si>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</si>
  <si>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</si>
  <si>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</si>
  <si>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</si>
  <si>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</si>
  <si>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</si>
  <si>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</si>
  <si>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</si>
  <si>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</si>
  <si>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</si>
  <si>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</si>
  <si>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</si>
  <si>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</si>
  <si>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</si>
  <si>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</si>
  <si>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</si>
  <si>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</si>
  <si>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</si>
  <si>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</si>
  <si>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</si>
  <si>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</si>
  <si>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</si>
  <si>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</si>
  <si>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</si>
  <si>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</si>
  <si>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</si>
  <si>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</si>
  <si>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</si>
  <si>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</si>
  <si>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</si>
  <si>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</si>
  <si>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</si>
  <si>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</si>
  <si>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</si>
  <si>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2015 Depreciation</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</si>
  <si>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</si>
  <si>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</si>
  <si>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</si>
  <si>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</si>
  <si>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</si>
  <si>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</si>
  <si>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</si>
  <si>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</si>
  <si>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</si>
  <si>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</si>
  <si>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</si>
  <si>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</si>
  <si>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</si>
  <si>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</si>
  <si>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</si>
  <si>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</si>
  <si>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</si>
  <si>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</si>
  <si>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</si>
  <si>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</si>
  <si>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</si>
  <si>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</si>
  <si>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</si>
  <si>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</si>
  <si>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</si>
  <si>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</si>
  <si>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</si>
  <si>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</si>
  <si>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</si>
  <si>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</si>
  <si>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</si>
  <si>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</si>
  <si>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</si>
  <si>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</si>
  <si>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</si>
  <si>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</si>
  <si>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</si>
  <si>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</si>
  <si>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</si>
  <si>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</si>
  <si>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</si>
  <si>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</si>
  <si>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</si>
  <si>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</si>
  <si>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</si>
  <si>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</si>
  <si>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</si>
  <si>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</si>
  <si>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</si>
  <si>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</si>
  <si>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</si>
  <si>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</si>
  <si>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</si>
  <si>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</si>
  <si>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</si>
  <si>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</si>
  <si>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</si>
  <si>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</si>
  <si>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</si>
  <si>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</si>
  <si>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</si>
  <si>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</si>
  <si>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</si>
  <si>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</si>
  <si>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</si>
  <si>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</si>
  <si>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</si>
  <si>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</si>
  <si>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</si>
  <si>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</si>
  <si>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</si>
  <si>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</si>
  <si>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</si>
  <si>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</si>
  <si>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</si>
  <si>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</si>
  <si>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</si>
  <si>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</si>
  <si>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</si>
  <si>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</si>
  <si>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</si>
  <si>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</si>
  <si>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</si>
  <si>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</si>
  <si>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</si>
  <si>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</si>
  <si>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</si>
  <si>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</si>
  <si>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</si>
  <si>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</si>
  <si>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</si>
  <si>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</si>
  <si>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</si>
  <si>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</si>
  <si>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</si>
  <si>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</si>
  <si>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</si>
  <si>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</si>
  <si>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</si>
  <si>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</si>
  <si>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</si>
  <si>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</si>
  <si>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</si>
  <si>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</si>
  <si>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</si>
  <si>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</si>
  <si>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</si>
  <si>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</si>
  <si>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</si>
  <si>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</si>
  <si>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</si>
  <si>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</si>
  <si>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</si>
  <si>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</si>
  <si>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</si>
  <si>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</si>
  <si>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</si>
  <si>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</si>
  <si>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</si>
  <si>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</si>
  <si>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</si>
  <si>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</si>
  <si>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</si>
  <si>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</si>
  <si>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</si>
  <si>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</si>
  <si>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</si>
  <si>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</si>
  <si>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</si>
  <si>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</si>
  <si>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</si>
  <si>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</si>
  <si>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</si>
  <si>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</si>
  <si>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</si>
  <si>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</si>
  <si>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For  the 12 months ended 12/31/2015</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</si>
  <si>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</si>
  <si>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</si>
  <si>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</si>
  <si>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</si>
  <si>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</si>
  <si>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</si>
  <si>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</si>
  <si>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</si>
  <si>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</si>
  <si>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</si>
  <si>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</si>
  <si>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</si>
  <si>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</si>
  <si>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</si>
  <si>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</si>
  <si>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</si>
  <si>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</si>
  <si>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</si>
  <si>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</si>
  <si>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</si>
  <si>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</si>
  <si>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</si>
  <si>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</si>
  <si>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</si>
  <si>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</si>
  <si>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</si>
  <si>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</si>
  <si>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</si>
  <si>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</si>
  <si>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</si>
  <si>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</si>
  <si>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</si>
  <si>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</si>
  <si>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</si>
  <si>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</si>
  <si>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</si>
  <si>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</si>
  <si>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</si>
  <si>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</si>
  <si>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</si>
  <si>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</si>
  <si>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</si>
  <si>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</si>
  <si>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</si>
  <si>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</si>
  <si>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</si>
  <si>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</si>
  <si>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</si>
  <si>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</si>
  <si>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</si>
  <si>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</si>
  <si>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</si>
  <si>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</si>
  <si>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</si>
  <si>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</si>
  <si>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</si>
  <si>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</si>
  <si>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</si>
  <si>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</si>
  <si>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</si>
  <si>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</si>
  <si>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</si>
  <si>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</si>
  <si>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</si>
  <si>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</si>
  <si>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</si>
  <si>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</si>
  <si>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</si>
  <si>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</si>
  <si>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</si>
  <si>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</si>
  <si>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</si>
  <si>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</si>
  <si>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</si>
  <si>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</si>
  <si>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</si>
  <si>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</si>
  <si>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</si>
  <si>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</si>
  <si>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</si>
  <si>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</si>
  <si>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</si>
  <si>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</si>
  <si>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</si>
  <si>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</si>
  <si>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</si>
  <si>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</si>
  <si>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</si>
  <si>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</si>
  <si>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</si>
  <si>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</si>
  <si>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</si>
  <si>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</si>
  <si>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</si>
  <si>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</si>
  <si>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</si>
  <si>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</si>
  <si>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(D)</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</si>
  <si>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</si>
  <si>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</si>
  <si>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</si>
  <si>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</si>
  <si>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</si>
  <si>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</si>
  <si>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</si>
  <si>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</si>
  <si>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</si>
  <si>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</si>
  <si>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</si>
  <si>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</si>
  <si>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</si>
  <si>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</si>
  <si>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</si>
  <si>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</si>
  <si>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</si>
  <si>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</si>
  <si>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</si>
  <si>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</si>
  <si>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</si>
  <si>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</si>
  <si>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</si>
  <si>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</si>
  <si>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</si>
  <si>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</si>
  <si>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</si>
  <si>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</si>
  <si>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</si>
  <si>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</si>
  <si>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</si>
  <si>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</si>
  <si>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</si>
  <si>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</si>
  <si>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</si>
  <si>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</si>
  <si>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</si>
  <si>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</si>
  <si>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</si>
  <si>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</si>
  <si>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</si>
  <si>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</si>
  <si>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</si>
  <si>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</si>
  <si>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</si>
  <si>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</si>
  <si>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</si>
  <si>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</si>
  <si>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</si>
  <si>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</si>
  <si>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</si>
  <si>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</si>
  <si>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</si>
  <si>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</si>
  <si>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</si>
  <si>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</si>
  <si>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</si>
  <si>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</si>
  <si>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</si>
  <si>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</si>
  <si>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</si>
  <si>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</si>
  <si>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</si>
  <si>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</si>
  <si>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</si>
  <si>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</si>
  <si>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</si>
  <si>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</si>
  <si>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</si>
  <si>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</si>
  <si>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</si>
  <si>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</si>
  <si>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</si>
  <si>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</si>
  <si>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</si>
  <si>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</si>
  <si>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</si>
  <si>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</si>
  <si>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</si>
  <si>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</si>
  <si>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</si>
  <si>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</si>
  <si>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</si>
  <si>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</si>
  <si>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</si>
  <si>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</si>
  <si>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t>SMMPA Settlement Payment</t>
  </si>
  <si>
    <t>Unamortized Premium on Long-term Debt</t>
  </si>
  <si>
    <t>Unamortized Discount on Long-term Debt</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</si>
  <si>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</si>
  <si>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</si>
  <si>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</si>
  <si>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</si>
  <si>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</si>
  <si>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</si>
  <si>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</si>
  <si>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</si>
  <si>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For the 12 months ended 12/31/15</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</si>
  <si>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</si>
  <si>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</si>
  <si>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</si>
  <si>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</si>
  <si>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</si>
  <si>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</si>
  <si>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</si>
  <si>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</si>
  <si>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</si>
  <si>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</si>
  <si>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</si>
  <si>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</si>
  <si>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</si>
  <si>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</si>
  <si>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</si>
  <si>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</si>
  <si>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</si>
  <si>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</si>
  <si>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</si>
  <si>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(line 1 - line 6 + line 6c + line 6h + line 6i)</t>
  </si>
  <si>
    <t>Based on Gross Plant</t>
  </si>
  <si>
    <t>Allocated ATRR (2)</t>
  </si>
  <si>
    <t>Calculation of Effective Interest Rate</t>
  </si>
  <si>
    <t>Notes</t>
  </si>
  <si>
    <t>True-up year ATRR True-up Amount                                         (Line 1 - Line 2)</t>
  </si>
  <si>
    <t>True-up year Actual divisor                                                                          (3)</t>
  </si>
  <si>
    <t>True-up Year Projected Divisor                                                                    (4)</t>
  </si>
  <si>
    <t>True-up Year Projected Annual Cost ($/kW/Yr)                                          (5)</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</si>
  <si>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</si>
  <si>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</si>
  <si>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</si>
  <si>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</si>
  <si>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</si>
  <si>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</si>
  <si>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</si>
  <si>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Transmission CIAC adjustment (1)</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</si>
  <si>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</si>
  <si>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</si>
  <si>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</si>
  <si>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</si>
  <si>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</si>
  <si>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</si>
  <si>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</si>
  <si>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</si>
  <si>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</si>
  <si>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</si>
  <si>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</si>
  <si>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</si>
  <si>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</si>
  <si>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</si>
  <si>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</si>
  <si>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</si>
  <si>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</si>
  <si>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</si>
  <si>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</si>
  <si>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</si>
  <si>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</si>
  <si>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</si>
  <si>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</si>
  <si>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</si>
  <si>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</si>
  <si>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</si>
  <si>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</si>
  <si>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</si>
  <si>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(1) RPU received no Schedule 7, 8 or 9 revenues during calendar 2015, but received a "Catch-up" payment from</t>
  </si>
  <si>
    <t xml:space="preserve">    SMMPA of amounts RPU should have received for Schedules 7, 8 and 9 under the settlement in ER14-2154. </t>
  </si>
  <si>
    <t xml:space="preserve">    Amts shown are principal amounts from the "Catch-up" payment</t>
  </si>
  <si>
    <t>Difference in Divisor                                                                     (line 5 - line 4)</t>
  </si>
  <si>
    <t>Interest on Attachment O Amounts</t>
  </si>
  <si>
    <t>True-up year actual Att GG ATRR Amount                                                 (8)</t>
  </si>
  <si>
    <t>True-up year Att GG ATRR True-up Amount                        (Line 13 - Line 14)</t>
  </si>
  <si>
    <t>Interest on True-Up Amount                                   (Line 15 * Line 16 * Line 17)</t>
  </si>
  <si>
    <t>True-up year Actual ATRR Amount                                                               (1)</t>
  </si>
  <si>
    <t>True-up Year Projected ATRR Amount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</si>
  <si>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</si>
  <si>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</si>
  <si>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</si>
  <si>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</si>
  <si>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</si>
  <si>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</si>
  <si>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</si>
  <si>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</si>
  <si>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</si>
  <si>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</si>
  <si>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</si>
  <si>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</si>
  <si>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</si>
  <si>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</si>
  <si>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</si>
  <si>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Transmission CIAC adjustment (2)</t>
  </si>
  <si>
    <t>Total Transmission (2)</t>
  </si>
  <si>
    <t>Total Transmission Accum. Depreciation</t>
  </si>
  <si>
    <t>Accum. Depreciation for CIAC facilities</t>
  </si>
  <si>
    <t>Att O_RPU, P 2 of 5, Line 8</t>
  </si>
  <si>
    <t xml:space="preserve">  Average of 12 coincident system peaks for requirements (RQ) service       </t>
  </si>
  <si>
    <t>(page 4, line 30)</t>
  </si>
  <si>
    <t>(page 4, line 33)</t>
  </si>
  <si>
    <t>FERC Annual Charge ($/MWh)</t>
  </si>
  <si>
    <t>Short Term</t>
  </si>
  <si>
    <t>Long Term</t>
  </si>
  <si>
    <t>(Col 3 times Col 4)</t>
  </si>
  <si>
    <t>Total Income Taxes   (line 25 plus line 26)</t>
  </si>
  <si>
    <t>Transmission plant included in ISO rates  (line 1 less lines 2 &amp; 3)</t>
  </si>
  <si>
    <t>Included transmission expenses ( line 6 less line 7)</t>
  </si>
  <si>
    <t>Percentage of transmission expenses included in ISO Rates  (line 9 times line 10)</t>
  </si>
  <si>
    <t xml:space="preserve">II.32.b (Note CC) </t>
  </si>
  <si>
    <t>Total  (sum lines 22, 23)</t>
  </si>
  <si>
    <t>Proprietary Capital Cost Rate =</t>
  </si>
  <si>
    <t>TIER =</t>
  </si>
  <si>
    <t>32a</t>
  </si>
  <si>
    <t>32b</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</si>
  <si>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</si>
  <si>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The FERC's annual charges for the year assessed the Transmission Owner for service under this tariff, if any.</t>
  </si>
  <si>
    <t>Calculate using 13 month average balances</t>
  </si>
  <si>
    <t>Structures and improvements – Old business office</t>
  </si>
  <si>
    <t>(line 16 / 4,160; line 16 / 8,760 times 1000)</t>
  </si>
  <si>
    <t>Attachment O, pg. 4, Line 31</t>
  </si>
  <si>
    <t>Attachment O, pg. 4, Line 32a</t>
  </si>
  <si>
    <t>Attachment O, pg. 4, Line 32b</t>
  </si>
  <si>
    <t>Should match value on Attachment O, pg. 4, Line 33</t>
  </si>
  <si>
    <t>Goes to Att O_RPU, page 4 of 5, line 30</t>
  </si>
  <si>
    <t>Formula Rate Work Papers - True-up Interest Calculation</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</si>
  <si>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</si>
  <si>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Attachment O, page 4, line 30</t>
  </si>
  <si>
    <t>Attachment O Workpapers - Rental Income from Electric Property (Acct 454)</t>
  </si>
  <si>
    <t>indicate what line of the audited financials reflects Pre Payments</t>
  </si>
  <si>
    <t>recorded in USofA account ________, reflected in I/S in _______ exp</t>
  </si>
  <si>
    <r>
      <t xml:space="preserve">Confirm that the above does not contain any A&amp;G related wages  . </t>
    </r>
    <r>
      <rPr>
        <b/>
        <sz val="12"/>
        <color theme="1"/>
        <rFont val="Times New Roman"/>
        <family val="1"/>
      </rPr>
      <t>Correct.</t>
    </r>
  </si>
  <si>
    <t xml:space="preserve">If not, please provide an explanation and a workpaper </t>
  </si>
  <si>
    <t xml:space="preserve">(2) Accumulated Depreciation for Attachment O Transmission is 13 month average of total Transmission Accumulated Depreciation less Accumulated Depreciation for CIAC facilities </t>
  </si>
  <si>
    <t xml:space="preserve">    used throughout the workbook and should not be modified or deleted </t>
  </si>
  <si>
    <t>Rates</t>
  </si>
  <si>
    <t>(9) See Acct 456.1 tab, line 6 + line 6a</t>
  </si>
  <si>
    <t>20 Month Average</t>
  </si>
  <si>
    <t>Removes transmission plant determined  to be state-jurisdictional by Commission order according to the seven-factor test (until EIA 412 balances are adjusted to reflect application of seven-factor test).</t>
  </si>
  <si>
    <t>Other (describe)</t>
  </si>
  <si>
    <t>Total Revenue (2)</t>
  </si>
  <si>
    <t xml:space="preserve">             plus incorrectly recorded RPU ARR alloctation</t>
  </si>
  <si>
    <t xml:space="preserve">          Account 456.1 amount shown on RPU financial statements</t>
  </si>
  <si>
    <t xml:space="preserve">(2)  RPU financial statements supporting Account 456.1 incorrectly included ARR revenue allocated to RPU load.      </t>
  </si>
  <si>
    <t xml:space="preserve">      Adjustment to tie 456.1 amount to RPU financial statements is:</t>
  </si>
  <si>
    <t xml:space="preserve">          RPU Account 456.1 revenue</t>
  </si>
  <si>
    <t>(c)</t>
  </si>
  <si>
    <t>Projected</t>
  </si>
  <si>
    <t>Actual-Projected</t>
  </si>
  <si>
    <t xml:space="preserve">Account 561.1    </t>
  </si>
  <si>
    <t xml:space="preserve">Account 561.2   </t>
  </si>
  <si>
    <t xml:space="preserve">Account 561.3    </t>
  </si>
  <si>
    <t xml:space="preserve">     Subtotal         </t>
  </si>
  <si>
    <t>(Line 11 - Line 13)</t>
  </si>
  <si>
    <t>Schedule 1 Net Expenses</t>
  </si>
  <si>
    <t>Divisor kW (sum lines 8-14)</t>
  </si>
  <si>
    <t>True-Up Adjustment Principal Under(Over) Recovery</t>
  </si>
  <si>
    <t>Number of Months</t>
  </si>
  <si>
    <t>True-Up Adjustment Interest Under(Over) Recovery</t>
  </si>
  <si>
    <t xml:space="preserve">Total True-Up Adjustment Principal &amp; Interest Under(Over) Recovery </t>
  </si>
  <si>
    <r>
      <t>Account 561.BA for Schedule 24</t>
    </r>
    <r>
      <rPr>
        <vertAlign val="superscript"/>
        <sz val="12"/>
        <rFont val="Times New Roman"/>
        <family val="1"/>
      </rPr>
      <t>2</t>
    </r>
  </si>
  <si>
    <r>
      <t>Account 561 Available excluding revenue credits</t>
    </r>
    <r>
      <rPr>
        <vertAlign val="superscript"/>
        <sz val="12"/>
        <rFont val="Times New Roman"/>
        <family val="1"/>
      </rPr>
      <t>3</t>
    </r>
  </si>
  <si>
    <r>
      <t xml:space="preserve">Revenue Credits </t>
    </r>
    <r>
      <rPr>
        <sz val="12"/>
        <rFont val="Times New Roman"/>
        <family val="1"/>
      </rPr>
      <t>(Schedule 1 Revenue Credits, excluding True-Up Adj)</t>
    </r>
  </si>
  <si>
    <t>See Account Value on Transmission O&amp;M tab (1)</t>
  </si>
  <si>
    <t>Page 2 of 3</t>
  </si>
  <si>
    <t>Page 1 of 3</t>
  </si>
  <si>
    <t>Calculation of True-up Amounts and Interest for Attachment O and Attachment GG</t>
  </si>
  <si>
    <t>Attachment O Work Papers - Schedule 1</t>
  </si>
  <si>
    <t>RPU has no Acct 561.BA Expenses</t>
  </si>
  <si>
    <t>(1) Form 1 or similar source document page references are for actual year for which there is a Form 1 or similar source documents. Inputs in whole dollars.</t>
  </si>
  <si>
    <t>(1) Utilized by forward-looking Transmission Owners. Line 21 will be supported by a True-Up Worksheet.</t>
  </si>
  <si>
    <t>(Line 1 + Line 2 + Line 3)</t>
  </si>
  <si>
    <r>
      <t>INPUT 1: Account 561 Available excluding revenue credits</t>
    </r>
    <r>
      <rPr>
        <b/>
        <vertAlign val="superscript"/>
        <sz val="12"/>
        <rFont val="Times New Roman"/>
        <family val="1"/>
      </rPr>
      <t>3</t>
    </r>
  </si>
  <si>
    <t>Input 2:  True-Up Adjustment Principal &amp; Interest Under(Over) Recovery</t>
  </si>
  <si>
    <t>Schedule 1 Net Expenses including True-Up Adjustment</t>
  </si>
  <si>
    <t>(2)  Source references may vary by company; page references are to each company's source document; analogous figures would be provided for projected year.  Inputs in whole dollars.</t>
  </si>
  <si>
    <t>(3)  Revenue collected by the Transmission Owner or ITC under this Schedule 1 for firm transactions of less than 1 year, all non-firm transactions, and any other transactions</t>
  </si>
  <si>
    <t xml:space="preserve">      whose loads are not included in the Attachment O Zonal Rate Divisor for the zone.</t>
  </si>
  <si>
    <t xml:space="preserve">      This revenue credit is derived from the MISO MR Settlements file by subtracting Schedule 9 revenues related to Schedule 1 from the total Schedule 1 revenues,</t>
  </si>
  <si>
    <t xml:space="preserve">      which results in the total revenue credit for Schedule 1.</t>
  </si>
  <si>
    <r>
      <t xml:space="preserve">Input 3: Revenue Credits </t>
    </r>
    <r>
      <rPr>
        <sz val="9"/>
        <rFont val="Times New Roman"/>
        <family val="1"/>
      </rPr>
      <t>(Current year Schedule 1 Revenue Credits, excluding True-Up Adjustment)</t>
    </r>
    <r>
      <rPr>
        <sz val="12"/>
        <rFont val="Times New Roman"/>
        <family val="1"/>
      </rPr>
      <t xml:space="preserve">  (2), (3)</t>
    </r>
  </si>
  <si>
    <t>(Line 4 - Line 5)</t>
  </si>
  <si>
    <t>Calculation of True-up Amount and Interest for Schedule 1</t>
  </si>
  <si>
    <t>(4)  Revenue collected by the Transmission Owner or ITC under this Schedule 1 for firm transactions of less than 1 year, all non-firm transactions, and any other transactions</t>
  </si>
  <si>
    <t>See Attachment O, pg 1, line 15</t>
  </si>
  <si>
    <t>(Line 11 - Line 12)</t>
  </si>
  <si>
    <t>Line 10, col. (d)</t>
  </si>
  <si>
    <t xml:space="preserve">    Difference in Divisor</t>
  </si>
  <si>
    <t>Line 13 * Line 14</t>
  </si>
  <si>
    <t>Line 8, col. (e) + Line 15</t>
  </si>
  <si>
    <t>See Page 3 of 3</t>
  </si>
  <si>
    <t>Line 16 * Line 17 * Line 18</t>
  </si>
  <si>
    <t>Page 3 of 3</t>
  </si>
  <si>
    <t>Line 15 + Line 19</t>
  </si>
  <si>
    <t>(2) Scheduling, Control, and Dispatch Service--Balancing Authority.</t>
  </si>
  <si>
    <t>(3) Scheduling, Control, and Dispatch Service--Transmission.</t>
  </si>
  <si>
    <t>True-up Year Divisor True-up Amount                                      (Line 6 * Line 7)</t>
  </si>
  <si>
    <r>
      <t xml:space="preserve">      http://www.ferc.gov/enforcement/acct-matts/interest-rates.asp </t>
    </r>
    <r>
      <rPr>
        <sz val="12"/>
        <rFont val="Times New Roman"/>
        <family val="1"/>
      </rPr>
      <t xml:space="preserve">for the appropriate Months.  For under-collections, the </t>
    </r>
  </si>
  <si>
    <t xml:space="preserve">       applicable interest rate shall be calculated based on the annual average of the one-month London Interbank Offer Rate </t>
  </si>
  <si>
    <t xml:space="preserve">      (“LIBOR”) capped at the annual average of the applicable refund interest rates as provided in 18 C.F.R. § 35.19a.</t>
  </si>
  <si>
    <t>See Account 456.1 tab, line 3</t>
  </si>
  <si>
    <t xml:space="preserve">   "True-up Interest" tab, page 2 of 3, line 19</t>
  </si>
  <si>
    <t>Twenty (20) Month Average Interest Rate</t>
  </si>
  <si>
    <t>RPU Load below contract rate of delivery (1)</t>
  </si>
  <si>
    <t>RPU Load above contract rate of delivery (2)</t>
  </si>
  <si>
    <t>(c )</t>
  </si>
  <si>
    <t>RPU 12 CP Load Amounts</t>
  </si>
  <si>
    <t>RPU Total Load         (c )+(d)</t>
  </si>
  <si>
    <t>Column (e) amount goes to Att O_RPU, page 1, line 8</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</si>
</sst>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 numFmtId="184" formatCode="_(&quot;$&quot;* #,##0.00000000_);_(&quot;$&quot;* \(#,##0.00000000\);_(&quot;$&quot;* &quot;-&quot;??_);_(@_)"/>
  </numFmts>
  <fonts count="154">
    <font>
      <sz val="12"/>
      <name val="Arial MT"/>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
      <sz val="12"/>
      <name val="Garamond"/>
      <family val="1"/>
    </font>
    <font>
      <vertAlign val="superscript"/>
      <sz val="12"/>
      <name val="Times New Roman"/>
      <family val="1"/>
    </font>
    <font>
      <sz val="9"/>
      <name val="Times New Roman"/>
      <family val="1"/>
    </font>
    <font>
      <b/>
      <vertAlign val="superscript"/>
      <sz val="12"/>
      <name val="Times New Roman"/>
      <family val="1"/>
    </font>
    <font>
      <b/>
      <u/>
      <sz val="12"/>
      <name val="Times New Roman"/>
      <family val="1"/>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486">
    <xf numFmtId="172" fontId="0" fillId="0" borderId="0" applyProtection="0"/>
    <xf numFmtId="43" fontId="22"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12" fillId="0" borderId="0"/>
    <xf numFmtId="172" fontId="22" fillId="0" borderId="0" applyProtection="0"/>
    <xf numFmtId="172" fontId="31" fillId="0" borderId="0" applyFill="0"/>
    <xf numFmtId="172" fontId="31" fillId="0" borderId="0">
      <alignment horizontal="center"/>
    </xf>
    <xf numFmtId="0" fontId="31" fillId="0" borderId="0" applyFill="0">
      <alignment horizontal="center"/>
    </xf>
    <xf numFmtId="172" fontId="32" fillId="0" borderId="30" applyFill="0"/>
    <xf numFmtId="0" fontId="25" fillId="0" borderId="0" applyFont="0" applyAlignment="0"/>
    <xf numFmtId="0" fontId="33" fillId="0" borderId="0" applyFill="0">
      <alignment vertical="top"/>
    </xf>
    <xf numFmtId="0" fontId="32" fillId="0" borderId="0" applyFill="0">
      <alignment horizontal="left" vertical="top"/>
    </xf>
    <xf numFmtId="172" fontId="24" fillId="0" borderId="9" applyFill="0"/>
    <xf numFmtId="0" fontId="25" fillId="0" borderId="0" applyNumberFormat="0" applyFont="0" applyAlignment="0"/>
    <xf numFmtId="0" fontId="33" fillId="0" borderId="0" applyFill="0">
      <alignment wrapText="1"/>
    </xf>
    <xf numFmtId="0" fontId="32" fillId="0" borderId="0" applyFill="0">
      <alignment horizontal="left" vertical="top" wrapText="1"/>
    </xf>
    <xf numFmtId="172" fontId="27" fillId="0" borderId="0" applyFill="0"/>
    <xf numFmtId="0" fontId="34" fillId="0" borderId="0" applyNumberFormat="0" applyFont="0" applyAlignment="0">
      <alignment horizontal="center"/>
    </xf>
    <xf numFmtId="0" fontId="35" fillId="0" borderId="0" applyFill="0">
      <alignment vertical="top" wrapText="1"/>
    </xf>
    <xf numFmtId="0" fontId="24" fillId="0" borderId="0" applyFill="0">
      <alignment horizontal="left" vertical="top" wrapText="1"/>
    </xf>
    <xf numFmtId="172" fontId="25" fillId="0" borderId="0" applyFill="0"/>
    <xf numFmtId="0" fontId="34" fillId="0" borderId="0" applyNumberFormat="0" applyFont="0" applyAlignment="0">
      <alignment horizontal="center"/>
    </xf>
    <xf numFmtId="0" fontId="36" fillId="0" borderId="0" applyFill="0">
      <alignment vertical="center" wrapText="1"/>
    </xf>
    <xf numFmtId="0" fontId="26" fillId="0" borderId="0">
      <alignment horizontal="left" vertical="center" wrapText="1"/>
    </xf>
    <xf numFmtId="172"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25"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72"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5"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0" fontId="4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 fontId="25" fillId="0" borderId="0" applyFont="0" applyFill="0" applyBorder="0" applyAlignment="0" applyProtection="0"/>
    <xf numFmtId="7"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2" fontId="25" fillId="0" borderId="0" applyFont="0" applyFill="0" applyBorder="0" applyAlignment="0" applyProtection="0"/>
    <xf numFmtId="38" fontId="31" fillId="3" borderId="0" applyNumberFormat="0" applyBorder="0" applyAlignment="0" applyProtection="0"/>
    <xf numFmtId="0" fontId="45" fillId="0" borderId="1"/>
    <xf numFmtId="0" fontId="46" fillId="0" borderId="0"/>
    <xf numFmtId="10" fontId="31" fillId="4" borderId="14" applyNumberFormat="0" applyBorder="0" applyAlignment="0" applyProtection="0"/>
    <xf numFmtId="176" fontId="47" fillId="0" borderId="0"/>
    <xf numFmtId="0" fontId="30" fillId="0" borderId="0"/>
    <xf numFmtId="39" fontId="48" fillId="0" borderId="0"/>
    <xf numFmtId="0" fontId="30" fillId="0" borderId="0"/>
    <xf numFmtId="0" fontId="30" fillId="0" borderId="0"/>
    <xf numFmtId="0" fontId="25" fillId="0" borderId="0"/>
    <xf numFmtId="0" fontId="25" fillId="0" borderId="0"/>
    <xf numFmtId="0" fontId="49" fillId="0" borderId="0"/>
    <xf numFmtId="0" fontId="12" fillId="0" borderId="0"/>
    <xf numFmtId="0" fontId="12" fillId="0" borderId="0"/>
    <xf numFmtId="0" fontId="22" fillId="0" borderId="0"/>
    <xf numFmtId="10"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22"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25" fillId="0" borderId="0">
      <alignment horizontal="left" vertical="top"/>
    </xf>
    <xf numFmtId="0" fontId="51" fillId="0" borderId="1">
      <alignment horizontal="center"/>
    </xf>
    <xf numFmtId="3" fontId="44" fillId="0" borderId="0" applyFont="0" applyFill="0" applyBorder="0" applyAlignment="0" applyProtection="0"/>
    <xf numFmtId="0" fontId="44" fillId="5" borderId="0" applyNumberFormat="0" applyFont="0" applyBorder="0" applyAlignment="0" applyProtection="0"/>
    <xf numFmtId="3" fontId="25" fillId="0" borderId="0">
      <alignment horizontal="right" vertical="top"/>
    </xf>
    <xf numFmtId="41" fontId="26" fillId="3" borderId="13" applyFill="0"/>
    <xf numFmtId="0" fontId="52" fillId="0" borderId="0">
      <alignment horizontal="left" indent="7"/>
    </xf>
    <xf numFmtId="41" fontId="26" fillId="0" borderId="13" applyFill="0">
      <alignment horizontal="left" indent="2"/>
    </xf>
    <xf numFmtId="172" fontId="53" fillId="0" borderId="4" applyFill="0">
      <alignment horizontal="right"/>
    </xf>
    <xf numFmtId="0" fontId="28" fillId="0" borderId="14" applyNumberFormat="0" applyFont="0" applyBorder="0">
      <alignment horizontal="right"/>
    </xf>
    <xf numFmtId="0" fontId="54" fillId="0" borderId="0" applyFill="0"/>
    <xf numFmtId="0" fontId="24" fillId="0" borderId="0" applyFill="0"/>
    <xf numFmtId="4" fontId="53" fillId="0" borderId="4" applyFill="0"/>
    <xf numFmtId="0" fontId="25" fillId="0" borderId="0" applyNumberFormat="0" applyFont="0" applyBorder="0" applyAlignment="0"/>
    <xf numFmtId="0" fontId="35" fillId="0" borderId="0" applyFill="0">
      <alignment horizontal="left" indent="1"/>
    </xf>
    <xf numFmtId="0" fontId="55" fillId="0" borderId="0" applyFill="0">
      <alignment horizontal="left" indent="1"/>
    </xf>
    <xf numFmtId="4" fontId="37" fillId="0" borderId="0" applyFill="0"/>
    <xf numFmtId="0" fontId="25" fillId="0" borderId="0" applyNumberFormat="0" applyFont="0" applyFill="0" applyBorder="0" applyAlignment="0"/>
    <xf numFmtId="0" fontId="35" fillId="0" borderId="0" applyFill="0">
      <alignment horizontal="left" indent="2"/>
    </xf>
    <xf numFmtId="0" fontId="24" fillId="0" borderId="0" applyFill="0">
      <alignment horizontal="left" indent="2"/>
    </xf>
    <xf numFmtId="4" fontId="37" fillId="0" borderId="0" applyFill="0"/>
    <xf numFmtId="0" fontId="25" fillId="0" borderId="0" applyNumberFormat="0" applyFont="0" applyBorder="0" applyAlignment="0"/>
    <xf numFmtId="0" fontId="56" fillId="0" borderId="0">
      <alignment horizontal="left" indent="3"/>
    </xf>
    <xf numFmtId="0" fontId="57" fillId="0" borderId="0" applyFill="0">
      <alignment horizontal="left" indent="3"/>
    </xf>
    <xf numFmtId="4" fontId="37" fillId="0" borderId="0" applyFill="0"/>
    <xf numFmtId="0" fontId="25" fillId="0" borderId="0" applyNumberFormat="0" applyFont="0" applyBorder="0" applyAlignment="0"/>
    <xf numFmtId="0" fontId="38" fillId="0" borderId="0">
      <alignment horizontal="left" indent="4"/>
    </xf>
    <xf numFmtId="0" fontId="25" fillId="0" borderId="0" applyFill="0">
      <alignment horizontal="left" indent="4"/>
    </xf>
    <xf numFmtId="4" fontId="39" fillId="0" borderId="0" applyFill="0"/>
    <xf numFmtId="0" fontId="25"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25"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0" fillId="0" borderId="0" applyNumberFormat="0" applyBorder="0" applyAlignment="0"/>
    <xf numFmtId="0" fontId="58" fillId="0" borderId="0" applyNumberFormat="0" applyBorder="0" applyAlignment="0"/>
    <xf numFmtId="0" fontId="59" fillId="0" borderId="0" applyNumberFormat="0" applyBorder="0" applyAlignment="0"/>
    <xf numFmtId="0" fontId="50" fillId="0" borderId="0" applyNumberFormat="0" applyBorder="0" applyAlignment="0"/>
    <xf numFmtId="9" fontId="22" fillId="0" borderId="0" applyFont="0" applyFill="0" applyBorder="0" applyAlignment="0" applyProtection="0"/>
    <xf numFmtId="44" fontId="22" fillId="0" borderId="0" applyFont="0" applyFill="0" applyBorder="0" applyAlignment="0" applyProtection="0"/>
    <xf numFmtId="0" fontId="11" fillId="0" borderId="0"/>
    <xf numFmtId="43" fontId="23" fillId="0" borderId="0" applyFont="0" applyFill="0" applyBorder="0" applyAlignment="0" applyProtection="0"/>
    <xf numFmtId="44" fontId="23" fillId="0" borderId="0" applyFont="0" applyFill="0" applyBorder="0" applyAlignment="0" applyProtection="0"/>
    <xf numFmtId="0" fontId="22"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178" fontId="77" fillId="0" borderId="0"/>
    <xf numFmtId="44" fontId="23" fillId="0" borderId="0" applyFont="0" applyFill="0" applyBorder="0" applyAlignment="0" applyProtection="0"/>
    <xf numFmtId="0" fontId="23"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31" applyNumberFormat="0" applyFill="0" applyAlignment="0" applyProtection="0"/>
    <xf numFmtId="0" fontId="91" fillId="0" borderId="32" applyNumberFormat="0" applyFill="0" applyAlignment="0" applyProtection="0"/>
    <xf numFmtId="0" fontId="92" fillId="0" borderId="33" applyNumberFormat="0" applyFill="0" applyAlignment="0" applyProtection="0"/>
    <xf numFmtId="0" fontId="92" fillId="0" borderId="0" applyNumberFormat="0" applyFill="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0" applyNumberFormat="0" applyBorder="0" applyAlignment="0" applyProtection="0"/>
    <xf numFmtId="0" fontId="96" fillId="10" borderId="34" applyNumberFormat="0" applyAlignment="0" applyProtection="0"/>
    <xf numFmtId="0" fontId="97" fillId="11" borderId="35" applyNumberFormat="0" applyAlignment="0" applyProtection="0"/>
    <xf numFmtId="0" fontId="98" fillId="11" borderId="34" applyNumberFormat="0" applyAlignment="0" applyProtection="0"/>
    <xf numFmtId="0" fontId="99" fillId="0" borderId="36" applyNumberFormat="0" applyFill="0" applyAlignment="0" applyProtection="0"/>
    <xf numFmtId="0" fontId="100" fillId="12" borderId="37"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9" applyNumberFormat="0" applyFill="0" applyAlignment="0" applyProtection="0"/>
    <xf numFmtId="0" fontId="10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104" fillId="37" borderId="0" applyNumberFormat="0" applyBorder="0" applyAlignment="0" applyProtection="0"/>
    <xf numFmtId="0" fontId="23" fillId="0" borderId="0"/>
    <xf numFmtId="0" fontId="23" fillId="0" borderId="0"/>
    <xf numFmtId="0" fontId="7" fillId="13" borderId="38" applyNumberFormat="0" applyFont="0" applyAlignment="0" applyProtection="0"/>
    <xf numFmtId="0" fontId="23" fillId="0" borderId="0"/>
    <xf numFmtId="43" fontId="23" fillId="0" borderId="0" applyFont="0" applyFill="0" applyBorder="0" applyAlignment="0" applyProtection="0"/>
    <xf numFmtId="0" fontId="108" fillId="0" borderId="0"/>
    <xf numFmtId="9" fontId="23" fillId="0" borderId="0" applyFont="0" applyFill="0" applyBorder="0" applyAlignment="0" applyProtection="0"/>
    <xf numFmtId="0" fontId="6" fillId="0" borderId="0"/>
    <xf numFmtId="0" fontId="50" fillId="0" borderId="0"/>
    <xf numFmtId="44" fontId="5" fillId="0" borderId="0" applyFont="0" applyFill="0" applyBorder="0" applyAlignment="0" applyProtection="0"/>
    <xf numFmtId="0" fontId="131" fillId="0" borderId="0" applyNumberFormat="0" applyFill="0" applyBorder="0" applyAlignment="0" applyProtection="0">
      <alignment vertical="top"/>
      <protection locked="0"/>
    </xf>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3" fillId="0" borderId="0"/>
    <xf numFmtId="0" fontId="148" fillId="0" borderId="0"/>
    <xf numFmtId="43" fontId="23" fillId="0" borderId="0" applyFont="0" applyFill="0" applyBorder="0" applyAlignment="0" applyProtection="0"/>
    <xf numFmtId="44" fontId="23" fillId="0" borderId="0" applyFont="0" applyFill="0" applyBorder="0" applyAlignment="0" applyProtection="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149" fillId="0" borderId="0"/>
  </cellStyleXfs>
  <cellXfs count="1000">
    <xf numFmtId="172" fontId="0" fillId="0" borderId="0" xfId="0" applyAlignment="1"/>
    <xf numFmtId="0" fontId="13" fillId="0" borderId="0" xfId="0" applyNumberFormat="1" applyFont="1" applyAlignment="1" applyProtection="1">
      <alignment horizontal="center"/>
      <protection locked="0"/>
    </xf>
    <xf numFmtId="0" fontId="13" fillId="0" borderId="0" xfId="0" applyNumberFormat="1" applyFont="1" applyAlignment="1" applyProtection="1">
      <protection locked="0"/>
    </xf>
    <xf numFmtId="172" fontId="13" fillId="0" borderId="0" xfId="0" applyFont="1" applyAlignment="1"/>
    <xf numFmtId="0" fontId="13" fillId="0" borderId="0" xfId="0" applyNumberFormat="1" applyFont="1" applyAlignment="1"/>
    <xf numFmtId="3" fontId="13" fillId="0" borderId="0" xfId="0" applyNumberFormat="1" applyFont="1" applyAlignment="1"/>
    <xf numFmtId="3" fontId="13" fillId="0" borderId="0" xfId="0" applyNumberFormat="1" applyFont="1" applyBorder="1" applyAlignment="1"/>
    <xf numFmtId="164" fontId="13" fillId="0" borderId="0" xfId="0" applyNumberFormat="1" applyFont="1" applyAlignment="1">
      <alignment horizontal="center"/>
    </xf>
    <xf numFmtId="3" fontId="13" fillId="0" borderId="0" xfId="0" applyNumberFormat="1" applyFont="1" applyFill="1" applyAlignment="1"/>
    <xf numFmtId="3" fontId="13" fillId="0" borderId="0" xfId="0" applyNumberFormat="1" applyFont="1" applyFill="1" applyAlignment="1">
      <alignment horizontal="right"/>
    </xf>
    <xf numFmtId="0" fontId="13" fillId="0" borderId="0" xfId="0" applyNumberFormat="1" applyFont="1" applyAlignment="1" applyProtection="1">
      <alignment horizontal="left"/>
      <protection locked="0"/>
    </xf>
    <xf numFmtId="0" fontId="13" fillId="0" borderId="0" xfId="0" applyNumberFormat="1" applyFont="1" applyProtection="1">
      <protection locked="0"/>
    </xf>
    <xf numFmtId="0" fontId="13" fillId="0" borderId="0" xfId="0" applyNumberFormat="1" applyFont="1"/>
    <xf numFmtId="0" fontId="13" fillId="0" borderId="0" xfId="0" applyNumberFormat="1" applyFont="1" applyAlignment="1">
      <alignment horizontal="right"/>
    </xf>
    <xf numFmtId="0" fontId="13" fillId="0" borderId="0" xfId="0" applyNumberFormat="1" applyFont="1" applyAlignment="1">
      <alignment horizontal="center"/>
    </xf>
    <xf numFmtId="0" fontId="13" fillId="2" borderId="0" xfId="0" applyNumberFormat="1" applyFont="1" applyFill="1"/>
    <xf numFmtId="0" fontId="13" fillId="2" borderId="0" xfId="0" applyNumberFormat="1" applyFont="1" applyFill="1" applyAlignment="1" applyProtection="1">
      <alignment horizontal="right"/>
      <protection locked="0"/>
    </xf>
    <xf numFmtId="49" fontId="13" fillId="0" borderId="0" xfId="0" applyNumberFormat="1" applyFont="1"/>
    <xf numFmtId="0" fontId="13" fillId="0" borderId="1" xfId="0" applyNumberFormat="1" applyFont="1" applyBorder="1" applyAlignment="1" applyProtection="1">
      <alignment horizontal="center"/>
      <protection locked="0"/>
    </xf>
    <xf numFmtId="3" fontId="13" fillId="0" borderId="0" xfId="0" applyNumberFormat="1" applyFont="1"/>
    <xf numFmtId="0" fontId="13" fillId="0" borderId="1" xfId="0" applyNumberFormat="1" applyFont="1" applyBorder="1" applyAlignment="1" applyProtection="1">
      <alignment horizontal="centerContinuous"/>
      <protection locked="0"/>
    </xf>
    <xf numFmtId="166" fontId="13" fillId="0" borderId="0" xfId="0" applyNumberFormat="1" applyFont="1" applyAlignment="1"/>
    <xf numFmtId="3" fontId="13" fillId="2" borderId="0" xfId="0" applyNumberFormat="1" applyFont="1" applyFill="1"/>
    <xf numFmtId="0" fontId="15" fillId="0" borderId="0" xfId="0" applyNumberFormat="1" applyFont="1"/>
    <xf numFmtId="3" fontId="13" fillId="0" borderId="1" xfId="0" applyNumberFormat="1" applyFont="1" applyBorder="1" applyAlignment="1"/>
    <xf numFmtId="3" fontId="13" fillId="0" borderId="0" xfId="0" applyNumberFormat="1" applyFont="1" applyAlignment="1">
      <alignment horizontal="fill"/>
    </xf>
    <xf numFmtId="3" fontId="13" fillId="0" borderId="0" xfId="0" applyNumberFormat="1" applyFont="1" applyFill="1" applyBorder="1"/>
    <xf numFmtId="3" fontId="13" fillId="2" borderId="0" xfId="0" applyNumberFormat="1" applyFont="1" applyFill="1" applyBorder="1"/>
    <xf numFmtId="3" fontId="13" fillId="2" borderId="1" xfId="0" applyNumberFormat="1" applyFont="1" applyFill="1" applyBorder="1"/>
    <xf numFmtId="168" fontId="13" fillId="0" borderId="0" xfId="0" applyNumberFormat="1" applyFont="1"/>
    <xf numFmtId="168" fontId="13" fillId="0" borderId="0" xfId="0" applyNumberFormat="1" applyFont="1" applyAlignment="1">
      <alignment horizontal="center"/>
    </xf>
    <xf numFmtId="172" fontId="13" fillId="0" borderId="0" xfId="0" applyFont="1" applyAlignment="1">
      <alignment horizontal="center"/>
    </xf>
    <xf numFmtId="171" fontId="13" fillId="0" borderId="0" xfId="0" applyNumberFormat="1" applyFont="1" applyAlignment="1"/>
    <xf numFmtId="0" fontId="13" fillId="0" borderId="0" xfId="0" applyNumberFormat="1"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center"/>
    </xf>
    <xf numFmtId="3" fontId="16" fillId="0" borderId="0" xfId="0" applyNumberFormat="1" applyFont="1" applyAlignment="1">
      <alignment horizontal="center"/>
    </xf>
    <xf numFmtId="0" fontId="16" fillId="0" borderId="0" xfId="0" applyNumberFormat="1" applyFont="1" applyAlignment="1" applyProtection="1">
      <alignment horizontal="center"/>
      <protection locked="0"/>
    </xf>
    <xf numFmtId="172" fontId="16" fillId="0" borderId="0" xfId="0" applyFont="1" applyAlignment="1">
      <alignment horizontal="center"/>
    </xf>
    <xf numFmtId="3" fontId="16" fillId="0" borderId="0" xfId="0" applyNumberFormat="1" applyFont="1" applyAlignment="1"/>
    <xf numFmtId="0" fontId="16" fillId="0" borderId="0" xfId="0" applyNumberFormat="1" applyFont="1" applyAlignment="1"/>
    <xf numFmtId="165" fontId="13" fillId="0" borderId="0" xfId="0" applyNumberFormat="1" applyFont="1" applyAlignment="1"/>
    <xf numFmtId="3" fontId="13" fillId="2" borderId="1" xfId="0" applyNumberFormat="1" applyFont="1" applyFill="1" applyBorder="1" applyAlignment="1"/>
    <xf numFmtId="3" fontId="13" fillId="2" borderId="0" xfId="0" applyNumberFormat="1" applyFont="1" applyFill="1" applyAlignment="1"/>
    <xf numFmtId="0" fontId="13" fillId="0" borderId="0" xfId="0" applyNumberFormat="1" applyFont="1" applyAlignment="1">
      <alignment horizontal="fill"/>
    </xf>
    <xf numFmtId="165" fontId="13" fillId="0" borderId="0" xfId="0" applyNumberFormat="1" applyFont="1" applyAlignment="1">
      <alignment horizontal="right"/>
    </xf>
    <xf numFmtId="3" fontId="13" fillId="0" borderId="0" xfId="0" applyNumberFormat="1" applyFont="1" applyAlignment="1">
      <alignment horizontal="center"/>
    </xf>
    <xf numFmtId="172" fontId="13" fillId="0" borderId="1" xfId="0" applyFont="1" applyBorder="1" applyAlignment="1"/>
    <xf numFmtId="3" fontId="13" fillId="0" borderId="2" xfId="0" applyNumberFormat="1" applyFont="1" applyBorder="1" applyAlignment="1"/>
    <xf numFmtId="3" fontId="13" fillId="0" borderId="0" xfId="0" applyNumberFormat="1" applyFont="1" applyAlignment="1">
      <alignment horizontal="right"/>
    </xf>
    <xf numFmtId="0" fontId="13" fillId="0" borderId="0" xfId="0" applyNumberFormat="1" applyFont="1" applyFill="1" applyAlignment="1" applyProtection="1">
      <alignment horizontal="center"/>
      <protection locked="0"/>
    </xf>
    <xf numFmtId="0" fontId="13" fillId="0" borderId="0" xfId="0" applyNumberFormat="1" applyFont="1" applyFill="1" applyAlignment="1"/>
    <xf numFmtId="172" fontId="13" fillId="0" borderId="0" xfId="0" applyFont="1" applyFill="1" applyAlignment="1"/>
    <xf numFmtId="3" fontId="13" fillId="0" borderId="0" xfId="0" applyNumberFormat="1" applyFont="1" applyAlignment="1">
      <alignment horizontal="left"/>
    </xf>
    <xf numFmtId="166" fontId="13" fillId="0" borderId="0" xfId="0" applyNumberFormat="1" applyFont="1" applyAlignment="1">
      <alignment horizontal="right"/>
    </xf>
    <xf numFmtId="10" fontId="13" fillId="0" borderId="0" xfId="0" applyNumberFormat="1" applyFont="1" applyAlignment="1">
      <alignment horizontal="left"/>
    </xf>
    <xf numFmtId="166" fontId="13" fillId="0" borderId="0" xfId="0" applyNumberFormat="1" applyFont="1" applyAlignment="1">
      <alignment horizontal="center"/>
    </xf>
    <xf numFmtId="10" fontId="13" fillId="0" borderId="0" xfId="0" applyNumberFormat="1" applyFont="1" applyFill="1" applyAlignment="1">
      <alignment horizontal="right"/>
    </xf>
    <xf numFmtId="169" fontId="13" fillId="0" borderId="0" xfId="0" applyNumberFormat="1" applyFont="1" applyFill="1" applyAlignment="1">
      <alignment horizontal="right"/>
    </xf>
    <xf numFmtId="0" fontId="14" fillId="0" borderId="0" xfId="0" applyNumberFormat="1" applyFont="1" applyAlignment="1" applyProtection="1">
      <alignment horizontal="center"/>
      <protection locked="0"/>
    </xf>
    <xf numFmtId="172" fontId="14" fillId="0" borderId="0" xfId="0" applyFont="1" applyAlignment="1"/>
    <xf numFmtId="3" fontId="14" fillId="0" borderId="0" xfId="0" applyNumberFormat="1" applyFont="1" applyAlignment="1"/>
    <xf numFmtId="0" fontId="14" fillId="0" borderId="0" xfId="0" applyNumberFormat="1" applyFont="1"/>
    <xf numFmtId="0" fontId="14" fillId="0" borderId="0" xfId="0" applyNumberFormat="1" applyFont="1" applyAlignment="1">
      <alignment horizontal="center"/>
    </xf>
    <xf numFmtId="172" fontId="13" fillId="0" borderId="0" xfId="0" applyFont="1" applyAlignment="1">
      <alignment horizontal="right"/>
    </xf>
    <xf numFmtId="0" fontId="17" fillId="0" borderId="0" xfId="0" applyNumberFormat="1" applyFont="1"/>
    <xf numFmtId="0" fontId="13" fillId="0" borderId="1" xfId="0" applyNumberFormat="1" applyFont="1" applyBorder="1" applyProtection="1">
      <protection locked="0"/>
    </xf>
    <xf numFmtId="0" fontId="13" fillId="0" borderId="1" xfId="0" applyNumberFormat="1" applyFont="1" applyBorder="1"/>
    <xf numFmtId="49" fontId="13" fillId="0" borderId="0" xfId="0" applyNumberFormat="1" applyFont="1" applyAlignment="1"/>
    <xf numFmtId="172" fontId="13" fillId="0" borderId="0" xfId="0" applyFont="1" applyBorder="1" applyAlignment="1"/>
    <xf numFmtId="0" fontId="13" fillId="0" borderId="0" xfId="0" applyNumberFormat="1" applyFont="1" applyBorder="1" applyAlignment="1"/>
    <xf numFmtId="172" fontId="13" fillId="0" borderId="3" xfId="0" applyFont="1" applyBorder="1" applyAlignment="1"/>
    <xf numFmtId="3" fontId="15" fillId="0" borderId="0" xfId="0" applyNumberFormat="1" applyFont="1" applyBorder="1" applyAlignment="1"/>
    <xf numFmtId="165" fontId="13" fillId="0" borderId="0" xfId="0" applyNumberFormat="1" applyFont="1"/>
    <xf numFmtId="172" fontId="18" fillId="0" borderId="0" xfId="0" applyFont="1" applyBorder="1"/>
    <xf numFmtId="172" fontId="15" fillId="0" borderId="0" xfId="0" applyFont="1" applyBorder="1"/>
    <xf numFmtId="166" fontId="13" fillId="0" borderId="0" xfId="0" applyNumberFormat="1" applyFont="1"/>
    <xf numFmtId="3" fontId="13" fillId="0" borderId="1" xfId="0" applyNumberFormat="1" applyFont="1" applyBorder="1" applyAlignment="1">
      <alignment horizontal="center"/>
    </xf>
    <xf numFmtId="172" fontId="15" fillId="0" borderId="0" xfId="0" applyFont="1" applyBorder="1" applyAlignment="1"/>
    <xf numFmtId="4" fontId="13" fillId="0" borderId="0" xfId="0" applyNumberFormat="1" applyFont="1" applyAlignment="1"/>
    <xf numFmtId="172" fontId="15" fillId="0" borderId="4" xfId="0" applyFont="1" applyBorder="1" applyAlignment="1"/>
    <xf numFmtId="172" fontId="13" fillId="0" borderId="4" xfId="0" applyFont="1" applyBorder="1" applyAlignment="1"/>
    <xf numFmtId="172" fontId="13" fillId="0" borderId="5" xfId="0" applyFont="1" applyBorder="1" applyAlignment="1"/>
    <xf numFmtId="3" fontId="13" fillId="0" borderId="0" xfId="0" applyNumberFormat="1" applyFont="1" applyBorder="1" applyAlignment="1">
      <alignment horizontal="center"/>
    </xf>
    <xf numFmtId="166" fontId="13" fillId="0" borderId="0" xfId="0" applyNumberFormat="1" applyFont="1" applyAlignment="1" applyProtection="1">
      <alignment horizontal="center"/>
      <protection locked="0"/>
    </xf>
    <xf numFmtId="0" fontId="13" fillId="0" borderId="1" xfId="0" applyNumberFormat="1" applyFont="1" applyBorder="1" applyAlignment="1"/>
    <xf numFmtId="9" fontId="13" fillId="0" borderId="0" xfId="0" applyNumberFormat="1" applyFont="1" applyAlignment="1"/>
    <xf numFmtId="169" fontId="13" fillId="0" borderId="0" xfId="0" applyNumberFormat="1" applyFont="1" applyAlignment="1"/>
    <xf numFmtId="10" fontId="13" fillId="0" borderId="0" xfId="0" applyNumberFormat="1" applyFont="1" applyAlignment="1"/>
    <xf numFmtId="3" fontId="13" fillId="0" borderId="0" xfId="0" quotePrefix="1" applyNumberFormat="1" applyFont="1" applyAlignment="1"/>
    <xf numFmtId="0" fontId="14" fillId="0" borderId="0" xfId="0" applyNumberFormat="1" applyFont="1" applyProtection="1">
      <protection locked="0"/>
    </xf>
    <xf numFmtId="172" fontId="13" fillId="0" borderId="0" xfId="0" applyFont="1" applyFill="1" applyAlignment="1" applyProtection="1"/>
    <xf numFmtId="170" fontId="13" fillId="0" borderId="0" xfId="0" applyNumberFormat="1" applyFont="1" applyFill="1" applyBorder="1" applyProtection="1"/>
    <xf numFmtId="3" fontId="15" fillId="0" borderId="0" xfId="0" applyNumberFormat="1" applyFont="1" applyAlignment="1">
      <alignment horizontal="left"/>
    </xf>
    <xf numFmtId="0" fontId="13" fillId="0" borderId="0" xfId="0" applyNumberFormat="1" applyFont="1" applyBorder="1" applyAlignment="1" applyProtection="1">
      <protection locked="0"/>
    </xf>
    <xf numFmtId="0" fontId="13" fillId="0" borderId="0" xfId="0" applyNumberFormat="1" applyFont="1" applyBorder="1" applyProtection="1">
      <protection locked="0"/>
    </xf>
    <xf numFmtId="0" fontId="14" fillId="0" borderId="0" xfId="0" applyNumberFormat="1" applyFont="1" applyAlignment="1" applyProtection="1">
      <protection locked="0"/>
    </xf>
    <xf numFmtId="170" fontId="13" fillId="0" borderId="0" xfId="0" applyNumberFormat="1" applyFont="1" applyFill="1" applyBorder="1" applyAlignment="1" applyProtection="1"/>
    <xf numFmtId="0" fontId="14" fillId="0" borderId="0" xfId="0" applyNumberFormat="1" applyFont="1" applyAlignment="1"/>
    <xf numFmtId="172" fontId="13" fillId="0" borderId="0" xfId="0" applyNumberFormat="1" applyFont="1" applyAlignment="1" applyProtection="1">
      <protection locked="0"/>
    </xf>
    <xf numFmtId="3" fontId="13" fillId="0" borderId="0" xfId="0" applyNumberFormat="1" applyFont="1" applyProtection="1">
      <protection locked="0"/>
    </xf>
    <xf numFmtId="170" fontId="13" fillId="0" borderId="0" xfId="0" applyNumberFormat="1" applyFont="1" applyAlignment="1" applyProtection="1">
      <alignment horizontal="right"/>
      <protection locked="0"/>
    </xf>
    <xf numFmtId="170" fontId="13" fillId="0" borderId="0" xfId="0" applyNumberFormat="1" applyFont="1" applyProtection="1">
      <protection locked="0"/>
    </xf>
    <xf numFmtId="3" fontId="13" fillId="0" borderId="0" xfId="0" applyNumberFormat="1" applyFont="1" applyFill="1" applyAlignment="1" applyProtection="1"/>
    <xf numFmtId="0" fontId="15" fillId="0" borderId="0" xfId="0" applyNumberFormat="1" applyFont="1" applyFill="1" applyAlignment="1" applyProtection="1">
      <alignment horizontal="left"/>
      <protection locked="0"/>
    </xf>
    <xf numFmtId="172" fontId="13" fillId="2" borderId="0" xfId="0" applyFont="1" applyFill="1" applyAlignment="1"/>
    <xf numFmtId="0" fontId="13" fillId="2" borderId="0" xfId="0" applyNumberFormat="1" applyFont="1" applyFill="1" applyProtection="1">
      <protection locked="0"/>
    </xf>
    <xf numFmtId="0" fontId="13" fillId="0" borderId="0" xfId="0" applyNumberFormat="1" applyFont="1" applyAlignment="1" applyProtection="1">
      <alignment horizontal="left" indent="8"/>
      <protection locked="0"/>
    </xf>
    <xf numFmtId="9" fontId="13" fillId="0" borderId="1" xfId="0" applyNumberFormat="1" applyFont="1" applyBorder="1" applyAlignment="1"/>
    <xf numFmtId="171" fontId="13" fillId="0" borderId="0" xfId="0" applyNumberFormat="1" applyFont="1" applyBorder="1" applyProtection="1">
      <protection locked="0"/>
    </xf>
    <xf numFmtId="0" fontId="13" fillId="0" borderId="0" xfId="0" applyNumberFormat="1" applyFont="1" applyBorder="1"/>
    <xf numFmtId="0" fontId="13" fillId="0" borderId="6" xfId="0" applyNumberFormat="1" applyFont="1" applyBorder="1" applyAlignment="1">
      <alignment horizontal="center"/>
    </xf>
    <xf numFmtId="0" fontId="13" fillId="0" borderId="0" xfId="0" applyNumberFormat="1" applyFont="1" applyBorder="1" applyAlignment="1">
      <alignment horizontal="center"/>
    </xf>
    <xf numFmtId="0" fontId="13" fillId="0" borderId="3" xfId="0" applyNumberFormat="1" applyFont="1" applyBorder="1" applyAlignment="1">
      <alignment horizontal="center"/>
    </xf>
    <xf numFmtId="0" fontId="13" fillId="0" borderId="0" xfId="0" applyNumberFormat="1" applyFont="1" applyAlignment="1" applyProtection="1">
      <alignment horizontal="center" vertical="top" wrapText="1"/>
      <protection locked="0"/>
    </xf>
    <xf numFmtId="0" fontId="13" fillId="0" borderId="0" xfId="0" applyNumberFormat="1" applyFont="1" applyAlignment="1" applyProtection="1">
      <alignment vertical="top" wrapText="1"/>
      <protection locked="0"/>
    </xf>
    <xf numFmtId="3" fontId="13" fillId="0" borderId="0" xfId="0" applyNumberFormat="1" applyFont="1" applyAlignment="1">
      <alignment vertical="top" wrapText="1"/>
    </xf>
    <xf numFmtId="0" fontId="13" fillId="0" borderId="0" xfId="0" applyNumberFormat="1" applyFont="1" applyFill="1" applyAlignment="1" applyProtection="1">
      <alignment vertical="top" wrapText="1"/>
      <protection locked="0"/>
    </xf>
    <xf numFmtId="10" fontId="13" fillId="2" borderId="0" xfId="0" applyNumberFormat="1" applyFont="1" applyFill="1" applyAlignment="1" applyProtection="1">
      <alignment vertical="top" wrapText="1"/>
      <protection locked="0"/>
    </xf>
    <xf numFmtId="172" fontId="13" fillId="0" borderId="0" xfId="0" applyFont="1" applyAlignment="1">
      <alignment horizontal="center" vertical="top" wrapText="1"/>
    </xf>
    <xf numFmtId="172" fontId="13" fillId="0" borderId="0" xfId="0" applyFont="1" applyFill="1" applyAlignment="1">
      <alignment horizontal="center" vertical="top" wrapText="1"/>
    </xf>
    <xf numFmtId="0" fontId="14" fillId="0" borderId="0" xfId="0" applyNumberFormat="1" applyFont="1" applyAlignment="1" applyProtection="1">
      <alignment vertical="top" wrapText="1"/>
      <protection locked="0"/>
    </xf>
    <xf numFmtId="0" fontId="13" fillId="0" borderId="0" xfId="0" applyNumberFormat="1" applyFont="1" applyFill="1" applyAlignment="1" applyProtection="1">
      <alignment horizontal="left" vertical="top" wrapText="1" indent="8"/>
      <protection locked="0"/>
    </xf>
    <xf numFmtId="0" fontId="13" fillId="0" borderId="0" xfId="0" applyNumberFormat="1" applyFont="1" applyFill="1"/>
    <xf numFmtId="0" fontId="13" fillId="2" borderId="1" xfId="0" applyNumberFormat="1" applyFont="1" applyFill="1" applyBorder="1" applyAlignment="1"/>
    <xf numFmtId="170" fontId="13" fillId="2" borderId="6" xfId="0" applyNumberFormat="1" applyFont="1" applyFill="1" applyBorder="1" applyAlignment="1"/>
    <xf numFmtId="170" fontId="13" fillId="2" borderId="7" xfId="0" applyNumberFormat="1" applyFont="1" applyFill="1" applyBorder="1" applyAlignment="1"/>
    <xf numFmtId="170" fontId="13" fillId="0" borderId="6" xfId="0" applyNumberFormat="1" applyFont="1" applyBorder="1" applyAlignment="1"/>
    <xf numFmtId="170" fontId="13" fillId="0" borderId="6" xfId="0" applyNumberFormat="1" applyFont="1" applyFill="1" applyBorder="1" applyAlignment="1"/>
    <xf numFmtId="170" fontId="13" fillId="0" borderId="7" xfId="0" applyNumberFormat="1" applyFont="1" applyBorder="1" applyAlignment="1"/>
    <xf numFmtId="172" fontId="19" fillId="0" borderId="0" xfId="0" applyFont="1" applyAlignment="1"/>
    <xf numFmtId="3" fontId="13" fillId="0" borderId="2" xfId="0" applyNumberFormat="1" applyFont="1" applyFill="1" applyBorder="1" applyAlignment="1"/>
    <xf numFmtId="0" fontId="13" fillId="0" borderId="0" xfId="0" applyNumberFormat="1" applyFont="1" applyFill="1" applyAlignment="1">
      <alignment horizontal="fill"/>
    </xf>
    <xf numFmtId="3" fontId="20" fillId="0" borderId="0" xfId="0" applyNumberFormat="1" applyFont="1" applyAlignment="1"/>
    <xf numFmtId="0" fontId="13" fillId="0" borderId="0" xfId="0" applyNumberFormat="1" applyFont="1" applyFill="1" applyAlignment="1">
      <alignment horizontal="left" vertical="top"/>
    </xf>
    <xf numFmtId="0" fontId="13" fillId="0" borderId="0" xfId="0" applyNumberFormat="1" applyFont="1" applyFill="1" applyAlignment="1">
      <alignment vertical="top"/>
    </xf>
    <xf numFmtId="0" fontId="13" fillId="0" borderId="0" xfId="0" applyNumberFormat="1" applyFont="1" applyFill="1" applyBorder="1" applyAlignment="1" applyProtection="1">
      <protection locked="0"/>
    </xf>
    <xf numFmtId="0" fontId="13" fillId="0" borderId="0" xfId="0" applyNumberFormat="1" applyFont="1" applyFill="1" applyBorder="1" applyProtection="1">
      <protection locked="0"/>
    </xf>
    <xf numFmtId="0" fontId="13" fillId="0" borderId="1" xfId="0" applyNumberFormat="1" applyFont="1" applyFill="1" applyBorder="1" applyAlignment="1" applyProtection="1">
      <protection locked="0"/>
    </xf>
    <xf numFmtId="0" fontId="13" fillId="0" borderId="1" xfId="0" applyNumberFormat="1" applyFont="1" applyFill="1" applyBorder="1" applyProtection="1">
      <protection locked="0"/>
    </xf>
    <xf numFmtId="0" fontId="25" fillId="0" borderId="0" xfId="2" applyFont="1"/>
    <xf numFmtId="0" fontId="23" fillId="0" borderId="0" xfId="2"/>
    <xf numFmtId="0" fontId="23" fillId="0" borderId="11" xfId="2" applyBorder="1" applyAlignment="1">
      <alignment horizontal="center"/>
    </xf>
    <xf numFmtId="0" fontId="23" fillId="0" borderId="3" xfId="2" applyBorder="1"/>
    <xf numFmtId="0" fontId="23" fillId="0" borderId="3" xfId="2" applyBorder="1" applyAlignment="1">
      <alignment horizontal="center"/>
    </xf>
    <xf numFmtId="0" fontId="23" fillId="0" borderId="12" xfId="2" applyBorder="1" applyAlignment="1">
      <alignment horizontal="center"/>
    </xf>
    <xf numFmtId="0" fontId="23" fillId="0" borderId="5" xfId="2" applyBorder="1" applyAlignment="1">
      <alignment horizontal="center"/>
    </xf>
    <xf numFmtId="0" fontId="23" fillId="0" borderId="5" xfId="2" applyFill="1" applyBorder="1" applyAlignment="1">
      <alignment horizontal="center"/>
    </xf>
    <xf numFmtId="0" fontId="23" fillId="0" borderId="13" xfId="2" applyBorder="1" applyAlignment="1">
      <alignment horizontal="center"/>
    </xf>
    <xf numFmtId="0" fontId="28" fillId="0" borderId="11" xfId="2" applyFont="1" applyBorder="1" applyAlignment="1">
      <alignment horizontal="center"/>
    </xf>
    <xf numFmtId="43" fontId="0" fillId="0" borderId="11" xfId="3" applyFont="1" applyFill="1" applyBorder="1"/>
    <xf numFmtId="0" fontId="23" fillId="0" borderId="11" xfId="2" applyFill="1" applyBorder="1" applyAlignment="1">
      <alignment horizontal="center"/>
    </xf>
    <xf numFmtId="0" fontId="28" fillId="0" borderId="11" xfId="2" applyFont="1" applyFill="1" applyBorder="1" applyAlignment="1">
      <alignment horizontal="center"/>
    </xf>
    <xf numFmtId="0" fontId="23" fillId="0" borderId="13" xfId="2" applyBorder="1"/>
    <xf numFmtId="37" fontId="0" fillId="0" borderId="13" xfId="3" applyNumberFormat="1" applyFont="1" applyFill="1" applyBorder="1"/>
    <xf numFmtId="0" fontId="23" fillId="0" borderId="13" xfId="2" applyFill="1" applyBorder="1" applyAlignment="1">
      <alignment horizontal="center"/>
    </xf>
    <xf numFmtId="0" fontId="23" fillId="0" borderId="13" xfId="2" applyFill="1" applyBorder="1"/>
    <xf numFmtId="0" fontId="23" fillId="0" borderId="12" xfId="2" applyBorder="1" applyAlignment="1">
      <alignment horizontal="left" indent="1"/>
    </xf>
    <xf numFmtId="173" fontId="29" fillId="0" borderId="12" xfId="4" applyNumberFormat="1" applyFont="1" applyFill="1" applyBorder="1"/>
    <xf numFmtId="0" fontId="23" fillId="0" borderId="12" xfId="2" applyFill="1" applyBorder="1" applyAlignment="1">
      <alignment horizontal="center"/>
    </xf>
    <xf numFmtId="0" fontId="23" fillId="0" borderId="12" xfId="2" applyFill="1" applyBorder="1"/>
    <xf numFmtId="0" fontId="23" fillId="0" borderId="14" xfId="2" applyBorder="1" applyAlignment="1">
      <alignment horizontal="center"/>
    </xf>
    <xf numFmtId="0" fontId="23" fillId="0" borderId="14" xfId="2" applyBorder="1"/>
    <xf numFmtId="0" fontId="23" fillId="0" borderId="14" xfId="2" applyFill="1" applyBorder="1" applyAlignment="1">
      <alignment horizontal="center"/>
    </xf>
    <xf numFmtId="0" fontId="23" fillId="0" borderId="14" xfId="2" applyFill="1" applyBorder="1"/>
    <xf numFmtId="0" fontId="23" fillId="0" borderId="13" xfId="2" applyBorder="1" applyAlignment="1">
      <alignment horizontal="left" indent="1"/>
    </xf>
    <xf numFmtId="37" fontId="29" fillId="0" borderId="13" xfId="3" applyNumberFormat="1" applyFont="1" applyFill="1" applyBorder="1"/>
    <xf numFmtId="0" fontId="23" fillId="0" borderId="12" xfId="2" applyFill="1" applyBorder="1" applyAlignment="1">
      <alignment horizontal="left" indent="1"/>
    </xf>
    <xf numFmtId="0" fontId="28" fillId="0" borderId="15" xfId="2" applyFont="1" applyFill="1" applyBorder="1"/>
    <xf numFmtId="37" fontId="28" fillId="0" borderId="16" xfId="3" applyNumberFormat="1" applyFont="1" applyFill="1" applyBorder="1"/>
    <xf numFmtId="0" fontId="23" fillId="0" borderId="17" xfId="2" applyFill="1" applyBorder="1" applyAlignment="1">
      <alignment horizontal="center"/>
    </xf>
    <xf numFmtId="0" fontId="28" fillId="0" borderId="18" xfId="2" applyFont="1" applyFill="1" applyBorder="1"/>
    <xf numFmtId="37" fontId="29" fillId="0" borderId="3" xfId="3" applyNumberFormat="1" applyFont="1" applyFill="1" applyBorder="1"/>
    <xf numFmtId="0" fontId="28" fillId="0" borderId="13" xfId="2" applyFont="1" applyFill="1" applyBorder="1" applyAlignment="1">
      <alignment horizontal="center"/>
    </xf>
    <xf numFmtId="0" fontId="23" fillId="0" borderId="6" xfId="2" applyBorder="1"/>
    <xf numFmtId="0" fontId="23" fillId="0" borderId="3" xfId="2" applyFill="1" applyBorder="1" applyAlignment="1">
      <alignment horizontal="center"/>
    </xf>
    <xf numFmtId="0" fontId="23" fillId="0" borderId="9" xfId="2" applyBorder="1" applyAlignment="1">
      <alignment horizontal="center"/>
    </xf>
    <xf numFmtId="0" fontId="28" fillId="0" borderId="11" xfId="2" applyFont="1" applyBorder="1"/>
    <xf numFmtId="37" fontId="28" fillId="0" borderId="11" xfId="3" applyNumberFormat="1" applyFont="1" applyFill="1" applyBorder="1"/>
    <xf numFmtId="0" fontId="28" fillId="0" borderId="19" xfId="2" applyFont="1" applyBorder="1"/>
    <xf numFmtId="0" fontId="28" fillId="0" borderId="13" xfId="2" applyFont="1" applyBorder="1" applyAlignment="1">
      <alignment horizontal="center"/>
    </xf>
    <xf numFmtId="0" fontId="23" fillId="0" borderId="12" xfId="2" applyBorder="1"/>
    <xf numFmtId="174" fontId="29" fillId="0" borderId="12" xfId="3" applyNumberFormat="1" applyFont="1" applyFill="1" applyBorder="1"/>
    <xf numFmtId="174" fontId="0" fillId="0" borderId="13" xfId="3" applyNumberFormat="1" applyFont="1" applyFill="1" applyBorder="1"/>
    <xf numFmtId="0" fontId="28" fillId="0" borderId="7" xfId="2" applyFont="1" applyFill="1" applyBorder="1"/>
    <xf numFmtId="174" fontId="28" fillId="0" borderId="16" xfId="3" applyNumberFormat="1" applyFont="1" applyFill="1" applyBorder="1"/>
    <xf numFmtId="0" fontId="28" fillId="0" borderId="18" xfId="2" applyFont="1" applyBorder="1"/>
    <xf numFmtId="0" fontId="28" fillId="0" borderId="12" xfId="2" applyFont="1" applyFill="1" applyBorder="1" applyAlignment="1">
      <alignment horizontal="center"/>
    </xf>
    <xf numFmtId="0" fontId="23" fillId="0" borderId="0" xfId="2" applyFill="1"/>
    <xf numFmtId="0" fontId="23" fillId="0" borderId="12" xfId="2" quotePrefix="1" applyFill="1" applyBorder="1" applyAlignment="1">
      <alignment horizontal="left" indent="1"/>
    </xf>
    <xf numFmtId="0" fontId="28" fillId="0" borderId="13" xfId="2" applyFont="1" applyBorder="1"/>
    <xf numFmtId="174" fontId="28" fillId="0" borderId="13" xfId="3" applyNumberFormat="1" applyFont="1" applyFill="1" applyBorder="1"/>
    <xf numFmtId="0" fontId="23" fillId="0" borderId="20" xfId="2" applyBorder="1" applyAlignment="1">
      <alignment horizontal="center"/>
    </xf>
    <xf numFmtId="0" fontId="28" fillId="0" borderId="21" xfId="2" applyFont="1" applyBorder="1"/>
    <xf numFmtId="173" fontId="28" fillId="0" borderId="16" xfId="4" applyNumberFormat="1" applyFont="1" applyFill="1" applyBorder="1"/>
    <xf numFmtId="0" fontId="23" fillId="0" borderId="22" xfId="2" applyFill="1" applyBorder="1" applyAlignment="1">
      <alignment horizontal="center"/>
    </xf>
    <xf numFmtId="0" fontId="28" fillId="0" borderId="21" xfId="2" applyFont="1" applyFill="1" applyBorder="1"/>
    <xf numFmtId="0" fontId="23" fillId="0" borderId="0" xfId="2" applyBorder="1"/>
    <xf numFmtId="37" fontId="0" fillId="0" borderId="0" xfId="3" applyNumberFormat="1" applyFont="1" applyFill="1" applyBorder="1"/>
    <xf numFmtId="0" fontId="23" fillId="0" borderId="0" xfId="2" applyFill="1" applyBorder="1"/>
    <xf numFmtId="37" fontId="23" fillId="0" borderId="0" xfId="2" applyNumberFormat="1" applyFill="1" applyBorder="1"/>
    <xf numFmtId="37" fontId="23" fillId="0" borderId="0" xfId="2" applyNumberFormat="1" applyBorder="1"/>
    <xf numFmtId="0" fontId="26" fillId="0" borderId="0" xfId="2" applyFont="1" applyAlignment="1">
      <alignment horizontal="left"/>
    </xf>
    <xf numFmtId="14" fontId="26" fillId="0" borderId="0" xfId="2" applyNumberFormat="1" applyFont="1" applyAlignment="1">
      <alignment horizontal="left"/>
    </xf>
    <xf numFmtId="0" fontId="25" fillId="0" borderId="0" xfId="2" applyFont="1" applyAlignment="1">
      <alignment horizontal="left"/>
    </xf>
    <xf numFmtId="0" fontId="27" fillId="0" borderId="0" xfId="2" applyFont="1" applyBorder="1" applyAlignment="1">
      <alignment horizontal="left"/>
    </xf>
    <xf numFmtId="0" fontId="23" fillId="0" borderId="10" xfId="2" applyFill="1" applyBorder="1"/>
    <xf numFmtId="0" fontId="23" fillId="0" borderId="10" xfId="2" applyFill="1" applyBorder="1" applyAlignment="1">
      <alignment horizontal="center"/>
    </xf>
    <xf numFmtId="0" fontId="23" fillId="0" borderId="5" xfId="2" applyFill="1" applyBorder="1"/>
    <xf numFmtId="174" fontId="29" fillId="0" borderId="5" xfId="3" applyNumberFormat="1" applyFont="1" applyFill="1" applyBorder="1"/>
    <xf numFmtId="0" fontId="23" fillId="0" borderId="17" xfId="2" applyFill="1" applyBorder="1"/>
    <xf numFmtId="0" fontId="23" fillId="0" borderId="3" xfId="2" applyFill="1" applyBorder="1"/>
    <xf numFmtId="174" fontId="29" fillId="0" borderId="3" xfId="3" applyNumberFormat="1" applyFont="1" applyFill="1" applyBorder="1"/>
    <xf numFmtId="0" fontId="23" fillId="0" borderId="23" xfId="2" applyFill="1" applyBorder="1" applyAlignment="1">
      <alignment horizontal="center"/>
    </xf>
    <xf numFmtId="0" fontId="23" fillId="0" borderId="24" xfId="2" applyFill="1" applyBorder="1"/>
    <xf numFmtId="174" fontId="28" fillId="0" borderId="25" xfId="3" applyNumberFormat="1" applyFont="1" applyFill="1" applyBorder="1"/>
    <xf numFmtId="0" fontId="28" fillId="0" borderId="24" xfId="2" applyFont="1" applyFill="1" applyBorder="1"/>
    <xf numFmtId="0" fontId="25" fillId="0" borderId="23" xfId="2" applyFont="1" applyFill="1" applyBorder="1" applyAlignment="1">
      <alignment horizontal="center"/>
    </xf>
    <xf numFmtId="0" fontId="25" fillId="0" borderId="24" xfId="2" applyFont="1" applyFill="1" applyBorder="1"/>
    <xf numFmtId="173" fontId="28" fillId="0" borderId="26" xfId="4" applyNumberFormat="1" applyFont="1" applyFill="1" applyBorder="1"/>
    <xf numFmtId="37" fontId="23" fillId="0" borderId="0" xfId="2" applyNumberFormat="1"/>
    <xf numFmtId="0" fontId="26" fillId="0" borderId="0" xfId="2" applyFont="1" applyAlignment="1">
      <alignment horizontal="center"/>
    </xf>
    <xf numFmtId="0" fontId="28" fillId="0" borderId="0" xfId="2" applyFont="1"/>
    <xf numFmtId="14" fontId="26" fillId="0" borderId="0" xfId="2" applyNumberFormat="1" applyFont="1" applyAlignment="1">
      <alignment horizontal="center"/>
    </xf>
    <xf numFmtId="37" fontId="23" fillId="0" borderId="11" xfId="2" applyNumberFormat="1" applyBorder="1"/>
    <xf numFmtId="37" fontId="23" fillId="0" borderId="3" xfId="2" applyNumberFormat="1" applyBorder="1"/>
    <xf numFmtId="0" fontId="23" fillId="0" borderId="4" xfId="2" applyBorder="1"/>
    <xf numFmtId="0" fontId="23" fillId="0" borderId="4" xfId="2" applyFill="1" applyBorder="1" applyAlignment="1">
      <alignment horizontal="left" indent="1"/>
    </xf>
    <xf numFmtId="0" fontId="23" fillId="0" borderId="28" xfId="2" applyFill="1" applyBorder="1"/>
    <xf numFmtId="173" fontId="28" fillId="0" borderId="27" xfId="4" applyNumberFormat="1" applyFont="1" applyFill="1" applyBorder="1"/>
    <xf numFmtId="173" fontId="28" fillId="0" borderId="24" xfId="4" applyNumberFormat="1" applyFont="1" applyFill="1" applyBorder="1"/>
    <xf numFmtId="37" fontId="29" fillId="0" borderId="3" xfId="2" applyNumberFormat="1" applyFont="1" applyFill="1" applyBorder="1"/>
    <xf numFmtId="174" fontId="29" fillId="0" borderId="5" xfId="3" applyNumberFormat="1" applyFont="1" applyFill="1" applyBorder="1" applyAlignment="1">
      <alignment horizontal="right"/>
    </xf>
    <xf numFmtId="174" fontId="29" fillId="0" borderId="3" xfId="3" applyNumberFormat="1" applyFont="1" applyFill="1" applyBorder="1" applyAlignment="1">
      <alignment horizontal="right"/>
    </xf>
    <xf numFmtId="174" fontId="29" fillId="0" borderId="17" xfId="3" applyNumberFormat="1" applyFont="1" applyFill="1" applyBorder="1" applyAlignment="1">
      <alignment horizontal="right"/>
    </xf>
    <xf numFmtId="37" fontId="29" fillId="0" borderId="3" xfId="2" applyNumberFormat="1" applyFont="1" applyFill="1" applyBorder="1" applyAlignment="1">
      <alignment horizontal="right"/>
    </xf>
    <xf numFmtId="37" fontId="23" fillId="0" borderId="0" xfId="2" applyNumberFormat="1" applyFill="1"/>
    <xf numFmtId="0" fontId="25" fillId="0" borderId="0" xfId="2" applyFont="1" applyBorder="1"/>
    <xf numFmtId="0" fontId="25" fillId="0" borderId="5" xfId="2" applyFont="1" applyBorder="1" applyAlignment="1">
      <alignment horizontal="center"/>
    </xf>
    <xf numFmtId="170" fontId="13" fillId="0" borderId="0" xfId="0" applyNumberFormat="1" applyFont="1" applyAlignment="1"/>
    <xf numFmtId="0" fontId="25" fillId="0" borderId="3" xfId="2" applyFont="1" applyBorder="1" applyAlignment="1">
      <alignment horizontal="center"/>
    </xf>
    <xf numFmtId="37" fontId="25" fillId="0" borderId="3" xfId="2" applyNumberFormat="1" applyFont="1" applyBorder="1"/>
    <xf numFmtId="173" fontId="25" fillId="0" borderId="5" xfId="4" applyNumberFormat="1" applyFont="1" applyBorder="1"/>
    <xf numFmtId="174" fontId="25" fillId="0" borderId="5" xfId="3" applyNumberFormat="1" applyFont="1" applyBorder="1"/>
    <xf numFmtId="174" fontId="25" fillId="0" borderId="3" xfId="3" applyNumberFormat="1" applyFont="1" applyBorder="1"/>
    <xf numFmtId="0" fontId="25" fillId="0" borderId="5" xfId="2" applyFont="1" applyFill="1" applyBorder="1" applyAlignment="1">
      <alignment horizontal="center"/>
    </xf>
    <xf numFmtId="43" fontId="60" fillId="0" borderId="11" xfId="3" applyFont="1" applyFill="1" applyBorder="1"/>
    <xf numFmtId="37" fontId="60" fillId="0" borderId="13" xfId="3" applyNumberFormat="1" applyFont="1" applyFill="1" applyBorder="1"/>
    <xf numFmtId="37" fontId="60" fillId="0" borderId="14" xfId="3" applyNumberFormat="1" applyFont="1" applyFill="1" applyBorder="1"/>
    <xf numFmtId="174" fontId="60" fillId="0" borderId="13" xfId="3" applyNumberFormat="1" applyFont="1" applyFill="1" applyBorder="1"/>
    <xf numFmtId="174" fontId="60" fillId="0" borderId="12" xfId="3" applyNumberFormat="1" applyFont="1" applyFill="1" applyBorder="1"/>
    <xf numFmtId="174" fontId="60" fillId="0" borderId="0" xfId="3" applyNumberFormat="1" applyFont="1" applyFill="1" applyBorder="1"/>
    <xf numFmtId="43" fontId="60" fillId="0" borderId="0" xfId="3" applyFont="1" applyFill="1" applyBorder="1"/>
    <xf numFmtId="37" fontId="25" fillId="0" borderId="0" xfId="2" applyNumberFormat="1" applyFont="1" applyBorder="1"/>
    <xf numFmtId="43" fontId="60" fillId="0" borderId="0" xfId="3" applyFont="1" applyBorder="1"/>
    <xf numFmtId="43" fontId="25" fillId="0" borderId="0" xfId="2" applyNumberFormat="1" applyFont="1" applyBorder="1"/>
    <xf numFmtId="9" fontId="13" fillId="0" borderId="0" xfId="198" applyFont="1" applyFill="1" applyAlignment="1"/>
    <xf numFmtId="37" fontId="29" fillId="0" borderId="12" xfId="3" applyNumberFormat="1" applyFont="1" applyFill="1" applyBorder="1"/>
    <xf numFmtId="37" fontId="60" fillId="0" borderId="12" xfId="3" applyNumberFormat="1" applyFont="1" applyFill="1" applyBorder="1"/>
    <xf numFmtId="174" fontId="25" fillId="0" borderId="5" xfId="3" applyNumberFormat="1" applyFont="1" applyFill="1" applyBorder="1"/>
    <xf numFmtId="174" fontId="25" fillId="0" borderId="3" xfId="3" applyNumberFormat="1" applyFont="1" applyFill="1" applyBorder="1"/>
    <xf numFmtId="174" fontId="25" fillId="0" borderId="17" xfId="3" applyNumberFormat="1" applyFont="1" applyFill="1" applyBorder="1"/>
    <xf numFmtId="173" fontId="28" fillId="0" borderId="25" xfId="4" applyNumberFormat="1" applyFont="1" applyFill="1" applyBorder="1"/>
    <xf numFmtId="37" fontId="25" fillId="0" borderId="3" xfId="2" applyNumberFormat="1" applyFont="1" applyFill="1" applyBorder="1"/>
    <xf numFmtId="0" fontId="23" fillId="0" borderId="5" xfId="2" applyFill="1" applyBorder="1" applyAlignment="1">
      <alignment horizontal="left" indent="1"/>
    </xf>
    <xf numFmtId="174" fontId="60" fillId="0" borderId="5" xfId="3" applyNumberFormat="1" applyFont="1" applyFill="1" applyBorder="1"/>
    <xf numFmtId="174" fontId="60" fillId="0" borderId="3" xfId="3" applyNumberFormat="1" applyFont="1" applyFill="1" applyBorder="1"/>
    <xf numFmtId="37" fontId="25" fillId="0" borderId="0" xfId="2" applyNumberFormat="1" applyFont="1" applyFill="1"/>
    <xf numFmtId="0" fontId="23" fillId="0" borderId="7" xfId="2" applyFill="1" applyBorder="1"/>
    <xf numFmtId="37" fontId="23" fillId="0" borderId="4" xfId="2" applyNumberFormat="1" applyFill="1" applyBorder="1"/>
    <xf numFmtId="37" fontId="29" fillId="0" borderId="10" xfId="2" applyNumberFormat="1" applyFont="1" applyFill="1" applyBorder="1"/>
    <xf numFmtId="37" fontId="29" fillId="0" borderId="5" xfId="2" applyNumberFormat="1" applyFont="1" applyFill="1" applyBorder="1"/>
    <xf numFmtId="37" fontId="61" fillId="0" borderId="0" xfId="2" applyNumberFormat="1" applyFont="1" applyFill="1"/>
    <xf numFmtId="173" fontId="23" fillId="0" borderId="0" xfId="199" applyNumberFormat="1" applyFont="1"/>
    <xf numFmtId="174" fontId="23" fillId="0" borderId="0" xfId="1" applyNumberFormat="1" applyFont="1"/>
    <xf numFmtId="174" fontId="63" fillId="0" borderId="0" xfId="1" applyNumberFormat="1" applyFont="1"/>
    <xf numFmtId="0" fontId="63" fillId="0" borderId="0" xfId="2" applyFont="1"/>
    <xf numFmtId="0" fontId="63" fillId="0" borderId="0" xfId="2" applyFont="1" applyAlignment="1">
      <alignment horizontal="left"/>
    </xf>
    <xf numFmtId="0" fontId="63" fillId="0" borderId="11" xfId="2" applyFont="1" applyBorder="1" applyAlignment="1">
      <alignment horizontal="center"/>
    </xf>
    <xf numFmtId="0" fontId="63" fillId="0" borderId="10" xfId="2" applyFont="1" applyBorder="1" applyAlignment="1">
      <alignment horizontal="center"/>
    </xf>
    <xf numFmtId="0" fontId="63" fillId="0" borderId="12" xfId="2" applyFont="1" applyBorder="1" applyAlignment="1">
      <alignment horizontal="center"/>
    </xf>
    <xf numFmtId="0" fontId="63" fillId="0" borderId="5" xfId="2" applyFont="1" applyBorder="1" applyAlignment="1">
      <alignment horizontal="center"/>
    </xf>
    <xf numFmtId="0" fontId="63" fillId="0" borderId="13" xfId="2" applyFont="1" applyFill="1" applyBorder="1" applyAlignment="1">
      <alignment horizontal="center"/>
    </xf>
    <xf numFmtId="0" fontId="63" fillId="0" borderId="14" xfId="2" applyFont="1" applyBorder="1" applyAlignment="1">
      <alignment horizontal="center"/>
    </xf>
    <xf numFmtId="0" fontId="63" fillId="0" borderId="14" xfId="2" applyFont="1" applyBorder="1"/>
    <xf numFmtId="173" fontId="66" fillId="0" borderId="14" xfId="4" applyNumberFormat="1" applyFont="1" applyBorder="1"/>
    <xf numFmtId="173" fontId="67" fillId="0" borderId="14" xfId="4" applyNumberFormat="1" applyFont="1" applyBorder="1"/>
    <xf numFmtId="173" fontId="62" fillId="0" borderId="14" xfId="4" applyNumberFormat="1" applyFont="1" applyBorder="1"/>
    <xf numFmtId="174" fontId="67" fillId="0" borderId="14" xfId="3" applyNumberFormat="1" applyFont="1" applyBorder="1"/>
    <xf numFmtId="174" fontId="66" fillId="0" borderId="14" xfId="3" applyNumberFormat="1" applyFont="1" applyFill="1" applyBorder="1"/>
    <xf numFmtId="0" fontId="63" fillId="0" borderId="0" xfId="2" applyFont="1" applyFill="1"/>
    <xf numFmtId="173" fontId="63" fillId="0" borderId="14" xfId="4" applyNumberFormat="1" applyFont="1" applyFill="1" applyBorder="1"/>
    <xf numFmtId="174" fontId="66" fillId="0" borderId="11" xfId="3" applyNumberFormat="1" applyFont="1" applyFill="1" applyBorder="1"/>
    <xf numFmtId="173" fontId="63" fillId="0" borderId="11" xfId="4" applyNumberFormat="1" applyFont="1" applyFill="1" applyBorder="1"/>
    <xf numFmtId="0" fontId="67" fillId="0" borderId="18" xfId="2" applyFont="1" applyBorder="1"/>
    <xf numFmtId="173" fontId="67" fillId="0" borderId="27" xfId="4" applyNumberFormat="1" applyFont="1" applyFill="1" applyBorder="1"/>
    <xf numFmtId="173" fontId="67" fillId="0" borderId="23" xfId="4" applyNumberFormat="1" applyFont="1" applyFill="1" applyBorder="1"/>
    <xf numFmtId="173" fontId="67" fillId="0" borderId="26" xfId="4" applyNumberFormat="1" applyFont="1" applyFill="1" applyBorder="1"/>
    <xf numFmtId="173" fontId="67" fillId="0" borderId="16" xfId="4" applyNumberFormat="1" applyFont="1" applyFill="1" applyBorder="1"/>
    <xf numFmtId="0" fontId="67" fillId="0" borderId="14" xfId="2" applyFont="1" applyBorder="1"/>
    <xf numFmtId="173" fontId="67" fillId="0" borderId="12" xfId="4" applyNumberFormat="1" applyFont="1" applyFill="1" applyBorder="1"/>
    <xf numFmtId="173" fontId="63" fillId="0" borderId="0" xfId="4" applyNumberFormat="1" applyFont="1" applyFill="1"/>
    <xf numFmtId="173" fontId="63" fillId="0" borderId="0" xfId="2" applyNumberFormat="1" applyFont="1"/>
    <xf numFmtId="173" fontId="63" fillId="0" borderId="12" xfId="4" applyNumberFormat="1" applyFont="1" applyFill="1" applyBorder="1"/>
    <xf numFmtId="37" fontId="67" fillId="0" borderId="12" xfId="2" applyNumberFormat="1" applyFont="1" applyFill="1" applyBorder="1"/>
    <xf numFmtId="37" fontId="63" fillId="0" borderId="0" xfId="2" applyNumberFormat="1" applyFont="1"/>
    <xf numFmtId="170" fontId="13" fillId="0" borderId="0" xfId="0" applyNumberFormat="1" applyFont="1" applyFill="1" applyBorder="1" applyAlignment="1"/>
    <xf numFmtId="37" fontId="23" fillId="0" borderId="0" xfId="2" applyNumberFormat="1" applyFont="1" applyFill="1"/>
    <xf numFmtId="0" fontId="65" fillId="0" borderId="0" xfId="2" applyFont="1" applyBorder="1" applyAlignment="1">
      <alignment horizontal="left"/>
    </xf>
    <xf numFmtId="0" fontId="68" fillId="0" borderId="0" xfId="2" applyFont="1" applyAlignment="1">
      <alignment horizontal="left"/>
    </xf>
    <xf numFmtId="0" fontId="68" fillId="0" borderId="0" xfId="2" applyFont="1"/>
    <xf numFmtId="0" fontId="68" fillId="0" borderId="0" xfId="2" applyFont="1" applyFill="1" applyBorder="1"/>
    <xf numFmtId="0" fontId="68" fillId="0" borderId="0" xfId="2" applyFont="1" applyBorder="1"/>
    <xf numFmtId="37" fontId="68" fillId="0" borderId="0" xfId="2" applyNumberFormat="1" applyFont="1" applyBorder="1"/>
    <xf numFmtId="44" fontId="63" fillId="0" borderId="11" xfId="199" applyFont="1" applyFill="1" applyBorder="1"/>
    <xf numFmtId="44" fontId="63" fillId="0" borderId="0" xfId="199" applyFont="1" applyFill="1"/>
    <xf numFmtId="44" fontId="63" fillId="0" borderId="12" xfId="199" applyFont="1" applyFill="1" applyBorder="1"/>
    <xf numFmtId="0" fontId="70" fillId="0" borderId="0" xfId="204" applyFont="1"/>
    <xf numFmtId="0" fontId="71" fillId="0" borderId="0" xfId="204" applyFont="1"/>
    <xf numFmtId="0" fontId="10" fillId="0" borderId="0" xfId="204"/>
    <xf numFmtId="0" fontId="10" fillId="0" borderId="0" xfId="204" applyAlignment="1">
      <alignment vertical="center"/>
    </xf>
    <xf numFmtId="0" fontId="72" fillId="0" borderId="0" xfId="204" applyFont="1" applyAlignment="1">
      <alignment vertical="center"/>
    </xf>
    <xf numFmtId="0" fontId="72" fillId="0" borderId="0" xfId="204" applyFont="1" applyAlignment="1">
      <alignment horizontal="left" vertical="center"/>
    </xf>
    <xf numFmtId="0" fontId="69" fillId="0" borderId="4" xfId="204" applyFont="1" applyBorder="1" applyAlignment="1">
      <alignment horizontal="center" vertical="center" wrapText="1"/>
    </xf>
    <xf numFmtId="0" fontId="10" fillId="0" borderId="0" xfId="204" applyAlignment="1">
      <alignment horizontal="center" vertical="center" wrapText="1"/>
    </xf>
    <xf numFmtId="0" fontId="74" fillId="0" borderId="0" xfId="204" applyFont="1" applyAlignment="1">
      <alignment horizontal="center" vertical="center"/>
    </xf>
    <xf numFmtId="0" fontId="69"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5" fillId="0" borderId="0" xfId="206" applyNumberFormat="1" applyFont="1" applyAlignment="1">
      <alignment vertical="center"/>
    </xf>
    <xf numFmtId="0" fontId="76" fillId="0" borderId="0" xfId="204" applyFont="1" applyAlignment="1">
      <alignment horizontal="center" vertical="center"/>
    </xf>
    <xf numFmtId="173" fontId="10" fillId="0" borderId="0" xfId="204" applyNumberFormat="1" applyAlignment="1">
      <alignment vertical="center"/>
    </xf>
    <xf numFmtId="0" fontId="78" fillId="0" borderId="0" xfId="204" applyFont="1" applyAlignment="1">
      <alignment horizontal="center"/>
    </xf>
    <xf numFmtId="0" fontId="79" fillId="0" borderId="0" xfId="204" applyFont="1" applyAlignment="1">
      <alignment horizontal="center"/>
    </xf>
    <xf numFmtId="0" fontId="80" fillId="0" borderId="0" xfId="204" applyFont="1" applyAlignment="1">
      <alignment horizontal="left" indent="1"/>
    </xf>
    <xf numFmtId="0" fontId="10" fillId="0" borderId="0" xfId="204" applyAlignment="1"/>
    <xf numFmtId="0" fontId="80" fillId="0" borderId="0" xfId="204" applyFont="1" applyAlignment="1">
      <alignment horizontal="left" indent="2"/>
    </xf>
    <xf numFmtId="0" fontId="69" fillId="0" borderId="0" xfId="204" applyFont="1"/>
    <xf numFmtId="0" fontId="10" fillId="0" borderId="0" xfId="204" applyAlignment="1">
      <alignment horizontal="left" indent="1"/>
    </xf>
    <xf numFmtId="0" fontId="10" fillId="0" borderId="0" xfId="204" applyFont="1" applyAlignment="1">
      <alignment horizontal="left" indent="2"/>
    </xf>
    <xf numFmtId="0" fontId="10" fillId="0" borderId="0" xfId="204" applyFont="1" applyAlignment="1">
      <alignment horizontal="left" indent="1"/>
    </xf>
    <xf numFmtId="0" fontId="81" fillId="0" borderId="0" xfId="204" applyFont="1"/>
    <xf numFmtId="0" fontId="81" fillId="0" borderId="0" xfId="204" applyFont="1" applyAlignment="1">
      <alignment horizontal="left" indent="1"/>
    </xf>
    <xf numFmtId="0" fontId="10" fillId="0" borderId="0" xfId="204" applyFont="1"/>
    <xf numFmtId="0" fontId="69" fillId="0" borderId="0" xfId="204" applyFont="1" applyAlignment="1">
      <alignment horizontal="center"/>
    </xf>
    <xf numFmtId="0" fontId="10" fillId="0" borderId="0" xfId="204" applyAlignment="1">
      <alignment horizontal="center"/>
    </xf>
    <xf numFmtId="0" fontId="70" fillId="0" borderId="0" xfId="204" applyFont="1" applyAlignment="1"/>
    <xf numFmtId="178" fontId="82" fillId="0" borderId="0" xfId="208" applyFont="1" applyAlignment="1"/>
    <xf numFmtId="0" fontId="13" fillId="0" borderId="0" xfId="204" applyNumberFormat="1" applyFont="1" applyAlignment="1" applyProtection="1">
      <alignment horizontal="center"/>
      <protection locked="0"/>
    </xf>
    <xf numFmtId="0" fontId="13" fillId="0" borderId="0" xfId="204" applyNumberFormat="1" applyFont="1" applyAlignment="1" applyProtection="1">
      <protection locked="0"/>
    </xf>
    <xf numFmtId="0" fontId="13" fillId="0" borderId="0" xfId="204" applyNumberFormat="1" applyFont="1" applyBorder="1" applyAlignment="1" applyProtection="1">
      <protection locked="0"/>
    </xf>
    <xf numFmtId="0" fontId="13" fillId="0" borderId="0" xfId="204" applyNumberFormat="1" applyFont="1" applyFill="1" applyAlignment="1" applyProtection="1">
      <alignment horizontal="center"/>
      <protection locked="0"/>
    </xf>
    <xf numFmtId="0" fontId="13" fillId="0" borderId="0" xfId="204" applyNumberFormat="1" applyFont="1" applyFill="1" applyBorder="1" applyAlignment="1" applyProtection="1">
      <protection locked="0"/>
    </xf>
    <xf numFmtId="0" fontId="81" fillId="0" borderId="0" xfId="204" applyFont="1" applyAlignment="1">
      <alignment horizontal="left" indent="2"/>
    </xf>
    <xf numFmtId="0" fontId="9" fillId="0" borderId="0" xfId="211"/>
    <xf numFmtId="43" fontId="85" fillId="0" borderId="0" xfId="208" applyNumberFormat="1" applyFont="1" applyFill="1" applyBorder="1"/>
    <xf numFmtId="0" fontId="86" fillId="0" borderId="0" xfId="211" applyFont="1"/>
    <xf numFmtId="174" fontId="9" fillId="0" borderId="0" xfId="211" applyNumberFormat="1"/>
    <xf numFmtId="0" fontId="23" fillId="0" borderId="0" xfId="2" applyAlignment="1">
      <alignment horizontal="left"/>
    </xf>
    <xf numFmtId="0" fontId="86" fillId="0" borderId="0" xfId="204" applyFont="1" applyAlignment="1">
      <alignment horizontal="center" vertical="center" wrapText="1"/>
    </xf>
    <xf numFmtId="179" fontId="86" fillId="0" borderId="0" xfId="204" applyNumberFormat="1" applyFont="1" applyAlignment="1">
      <alignment vertical="center"/>
    </xf>
    <xf numFmtId="172" fontId="23" fillId="0" borderId="0" xfId="0" applyFont="1" applyBorder="1"/>
    <xf numFmtId="172" fontId="0" fillId="0" borderId="0" xfId="0"/>
    <xf numFmtId="172" fontId="0" fillId="0" borderId="11" xfId="0" applyBorder="1"/>
    <xf numFmtId="174" fontId="29"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8" fillId="0" borderId="0" xfId="3" applyFont="1" applyFill="1"/>
    <xf numFmtId="43" fontId="0" fillId="0" borderId="0" xfId="3" applyFont="1" applyBorder="1"/>
    <xf numFmtId="0" fontId="105" fillId="0" borderId="0" xfId="204" applyFont="1" applyAlignment="1"/>
    <xf numFmtId="0" fontId="106" fillId="0" borderId="0" xfId="211" applyFont="1" applyAlignment="1">
      <alignment horizontal="left" indent="2"/>
    </xf>
    <xf numFmtId="0" fontId="107" fillId="0" borderId="0" xfId="211" applyFont="1"/>
    <xf numFmtId="170" fontId="86" fillId="0" borderId="0" xfId="211" applyNumberFormat="1" applyFont="1"/>
    <xf numFmtId="170" fontId="86" fillId="0" borderId="9" xfId="211" applyNumberFormat="1" applyFont="1" applyBorder="1"/>
    <xf numFmtId="0" fontId="76" fillId="0" borderId="0" xfId="204" applyFont="1" applyFill="1" applyAlignment="1">
      <alignment horizontal="center" vertical="center"/>
    </xf>
    <xf numFmtId="0" fontId="9" fillId="0" borderId="0" xfId="204" applyFont="1" applyAlignment="1">
      <alignment vertical="center"/>
    </xf>
    <xf numFmtId="173" fontId="0" fillId="0" borderId="0" xfId="206" applyNumberFormat="1" applyFont="1" applyFill="1" applyAlignment="1">
      <alignment vertical="center"/>
    </xf>
    <xf numFmtId="173" fontId="68" fillId="0" borderId="0" xfId="199" applyNumberFormat="1" applyFont="1"/>
    <xf numFmtId="172" fontId="108" fillId="0" borderId="0" xfId="260" applyNumberFormat="1" applyFill="1" applyBorder="1" applyAlignment="1"/>
    <xf numFmtId="172" fontId="108" fillId="0" borderId="0" xfId="260" applyNumberFormat="1" applyFill="1" applyBorder="1" applyAlignment="1">
      <alignment horizontal="right"/>
    </xf>
    <xf numFmtId="0" fontId="26" fillId="0" borderId="0" xfId="260" applyNumberFormat="1" applyFont="1" applyFill="1" applyBorder="1" applyAlignment="1" applyProtection="1">
      <protection locked="0"/>
    </xf>
    <xf numFmtId="0" fontId="26" fillId="0" borderId="0" xfId="260" applyNumberFormat="1" applyFont="1" applyFill="1" applyBorder="1" applyAlignment="1" applyProtection="1">
      <alignment horizontal="left"/>
      <protection locked="0"/>
    </xf>
    <xf numFmtId="0" fontId="26" fillId="0" borderId="0" xfId="260" applyNumberFormat="1" applyFont="1" applyFill="1" applyBorder="1" applyProtection="1">
      <protection locked="0"/>
    </xf>
    <xf numFmtId="0" fontId="26" fillId="0" borderId="0" xfId="260" applyNumberFormat="1" applyFont="1" applyFill="1" applyBorder="1"/>
    <xf numFmtId="0" fontId="26" fillId="0" borderId="0" xfId="260" applyNumberFormat="1" applyFont="1" applyFill="1" applyBorder="1" applyAlignment="1" applyProtection="1">
      <alignment horizontal="right"/>
      <protection locked="0"/>
    </xf>
    <xf numFmtId="0" fontId="108" fillId="0" borderId="0" xfId="260" applyNumberFormat="1" applyFont="1" applyFill="1" applyBorder="1"/>
    <xf numFmtId="0" fontId="109" fillId="0" borderId="0" xfId="260" applyNumberFormat="1" applyFont="1" applyFill="1" applyBorder="1"/>
    <xf numFmtId="172" fontId="108" fillId="0" borderId="0" xfId="260" applyNumberFormat="1" applyFont="1" applyFill="1" applyBorder="1" applyAlignment="1"/>
    <xf numFmtId="3" fontId="26" fillId="0" borderId="0" xfId="260" applyNumberFormat="1" applyFont="1" applyFill="1" applyBorder="1" applyAlignment="1"/>
    <xf numFmtId="0" fontId="109" fillId="0" borderId="0" xfId="260" applyNumberFormat="1" applyFont="1" applyFill="1" applyBorder="1" applyAlignment="1">
      <alignment horizontal="center"/>
    </xf>
    <xf numFmtId="0" fontId="108" fillId="0" borderId="0" xfId="260" applyNumberFormat="1" applyFill="1" applyBorder="1" applyAlignment="1" applyProtection="1">
      <alignment horizontal="center"/>
      <protection locked="0"/>
    </xf>
    <xf numFmtId="49" fontId="26" fillId="0" borderId="0" xfId="260" applyNumberFormat="1" applyFont="1" applyFill="1" applyBorder="1"/>
    <xf numFmtId="3" fontId="26" fillId="0" borderId="0" xfId="260" applyNumberFormat="1" applyFont="1" applyFill="1" applyBorder="1"/>
    <xf numFmtId="0" fontId="26" fillId="0" borderId="0" xfId="260" applyNumberFormat="1" applyFont="1" applyFill="1" applyBorder="1" applyAlignment="1">
      <alignment horizontal="center"/>
    </xf>
    <xf numFmtId="49" fontId="26" fillId="0" borderId="0" xfId="260" applyNumberFormat="1" applyFont="1" applyFill="1" applyBorder="1" applyAlignment="1">
      <alignment horizontal="center"/>
    </xf>
    <xf numFmtId="3" fontId="108" fillId="0" borderId="0" xfId="260" applyNumberFormat="1" applyFont="1" applyFill="1" applyBorder="1" applyAlignment="1"/>
    <xf numFmtId="0" fontId="108" fillId="0" borderId="0" xfId="260" applyNumberFormat="1" applyFont="1" applyFill="1" applyBorder="1" applyAlignment="1"/>
    <xf numFmtId="0" fontId="26" fillId="0" borderId="0" xfId="260" applyNumberFormat="1" applyFont="1" applyFill="1" applyBorder="1" applyAlignment="1"/>
    <xf numFmtId="3" fontId="24" fillId="0" borderId="0" xfId="260" applyNumberFormat="1" applyFont="1" applyFill="1" applyBorder="1" applyAlignment="1">
      <alignment horizontal="center"/>
    </xf>
    <xf numFmtId="0" fontId="108" fillId="0" borderId="0" xfId="260" applyNumberFormat="1" applyFont="1" applyFill="1" applyBorder="1" applyAlignment="1">
      <alignment horizontal="center"/>
    </xf>
    <xf numFmtId="172" fontId="24" fillId="0" borderId="0" xfId="260" applyNumberFormat="1" applyFont="1" applyFill="1" applyBorder="1" applyAlignment="1">
      <alignment horizontal="center"/>
    </xf>
    <xf numFmtId="0" fontId="24" fillId="0" borderId="0" xfId="260" applyNumberFormat="1" applyFont="1" applyFill="1" applyBorder="1" applyAlignment="1" applyProtection="1">
      <alignment horizontal="center"/>
      <protection locked="0"/>
    </xf>
    <xf numFmtId="0" fontId="84" fillId="0" borderId="0" xfId="260" applyNumberFormat="1" applyFont="1" applyFill="1" applyBorder="1" applyAlignment="1">
      <alignment horizontal="center"/>
    </xf>
    <xf numFmtId="0" fontId="24" fillId="0" borderId="0" xfId="260" applyNumberFormat="1" applyFont="1" applyFill="1" applyBorder="1" applyAlignment="1"/>
    <xf numFmtId="0" fontId="110" fillId="0" borderId="0" xfId="260" applyNumberFormat="1" applyFont="1" applyFill="1" applyBorder="1" applyAlignment="1" applyProtection="1">
      <alignment horizontal="center"/>
      <protection locked="0"/>
    </xf>
    <xf numFmtId="3" fontId="26" fillId="0" borderId="0" xfId="260" applyNumberFormat="1" applyFont="1" applyFill="1" applyBorder="1" applyAlignment="1">
      <alignment horizontal="center"/>
    </xf>
    <xf numFmtId="10" fontId="26" fillId="0" borderId="0" xfId="260" applyNumberFormat="1" applyFont="1" applyFill="1" applyBorder="1" applyAlignment="1"/>
    <xf numFmtId="10" fontId="0" fillId="0" borderId="0" xfId="261" applyNumberFormat="1" applyFont="1" applyFill="1" applyBorder="1" applyAlignment="1"/>
    <xf numFmtId="10" fontId="24" fillId="0" borderId="0" xfId="260" applyNumberFormat="1" applyFont="1" applyFill="1" applyBorder="1" applyAlignment="1"/>
    <xf numFmtId="3" fontId="84" fillId="0" borderId="0" xfId="260" applyNumberFormat="1" applyFont="1" applyFill="1" applyBorder="1" applyAlignment="1"/>
    <xf numFmtId="165" fontId="24" fillId="0" borderId="0" xfId="260" applyNumberFormat="1" applyFont="1" applyFill="1" applyBorder="1" applyAlignment="1"/>
    <xf numFmtId="49" fontId="108" fillId="0" borderId="0" xfId="260" applyNumberFormat="1" applyFont="1" applyFill="1" applyBorder="1" applyAlignment="1">
      <alignment horizontal="center"/>
    </xf>
    <xf numFmtId="172" fontId="26" fillId="0" borderId="0" xfId="260" applyNumberFormat="1" applyFont="1" applyFill="1" applyBorder="1" applyAlignment="1">
      <alignment horizontal="center"/>
    </xf>
    <xf numFmtId="0" fontId="24" fillId="0" borderId="0" xfId="260" applyNumberFormat="1" applyFont="1" applyFill="1" applyBorder="1" applyAlignment="1">
      <alignment horizontal="center"/>
    </xf>
    <xf numFmtId="3" fontId="108" fillId="0" borderId="0" xfId="260" applyNumberFormat="1" applyFont="1" applyFill="1" applyBorder="1" applyAlignment="1">
      <alignment horizontal="center"/>
    </xf>
    <xf numFmtId="49" fontId="84" fillId="0" borderId="0" xfId="260" applyNumberFormat="1" applyFont="1" applyFill="1" applyBorder="1" applyAlignment="1">
      <alignment horizontal="center"/>
    </xf>
    <xf numFmtId="172" fontId="84" fillId="0" borderId="0" xfId="260" applyNumberFormat="1" applyFont="1" applyFill="1" applyBorder="1" applyAlignment="1"/>
    <xf numFmtId="3" fontId="24" fillId="0" borderId="0" xfId="260" applyNumberFormat="1" applyFont="1" applyFill="1" applyBorder="1" applyAlignment="1"/>
    <xf numFmtId="10" fontId="24" fillId="0" borderId="0" xfId="261" applyNumberFormat="1" applyFont="1" applyFill="1" applyBorder="1" applyAlignment="1"/>
    <xf numFmtId="0" fontId="108" fillId="0" borderId="0" xfId="260" applyNumberFormat="1" applyFont="1" applyFill="1" applyBorder="1" applyAlignment="1">
      <alignment horizontal="fill"/>
    </xf>
    <xf numFmtId="172" fontId="111" fillId="0" borderId="0" xfId="260" applyNumberFormat="1" applyFont="1" applyFill="1" applyBorder="1" applyAlignment="1"/>
    <xf numFmtId="3" fontId="112" fillId="0" borderId="0" xfId="260" applyNumberFormat="1" applyFont="1" applyFill="1" applyBorder="1" applyAlignment="1"/>
    <xf numFmtId="164" fontId="26" fillId="0" borderId="0" xfId="260" applyNumberFormat="1" applyFont="1" applyFill="1" applyBorder="1" applyAlignment="1">
      <alignment horizontal="center"/>
    </xf>
    <xf numFmtId="10" fontId="26" fillId="0" borderId="0" xfId="261" applyNumberFormat="1" applyFont="1" applyFill="1" applyBorder="1" applyAlignment="1"/>
    <xf numFmtId="170" fontId="108" fillId="0" borderId="0" xfId="260" applyNumberFormat="1" applyFill="1" applyBorder="1" applyAlignment="1"/>
    <xf numFmtId="0" fontId="112" fillId="0" borderId="0" xfId="260" applyNumberFormat="1" applyFont="1" applyFill="1" applyBorder="1"/>
    <xf numFmtId="172" fontId="26" fillId="0" borderId="0" xfId="260" applyNumberFormat="1" applyFont="1" applyFill="1" applyBorder="1" applyAlignment="1"/>
    <xf numFmtId="49" fontId="13" fillId="0" borderId="0" xfId="260" applyNumberFormat="1" applyFont="1" applyFill="1" applyBorder="1" applyAlignment="1">
      <alignment horizontal="left"/>
    </xf>
    <xf numFmtId="0" fontId="13" fillId="0" borderId="0" xfId="260" applyNumberFormat="1" applyFont="1" applyFill="1" applyBorder="1" applyAlignment="1">
      <alignment horizontal="right"/>
    </xf>
    <xf numFmtId="0" fontId="108" fillId="0" borderId="0" xfId="260" applyNumberFormat="1" applyFont="1" applyFill="1" applyBorder="1" applyAlignment="1">
      <alignment horizontal="right"/>
    </xf>
    <xf numFmtId="49" fontId="108" fillId="0" borderId="0" xfId="260" applyNumberFormat="1" applyFill="1" applyBorder="1" applyAlignment="1">
      <alignment horizontal="left"/>
    </xf>
    <xf numFmtId="172" fontId="26" fillId="0" borderId="0" xfId="260" applyNumberFormat="1" applyFont="1" applyFill="1" applyBorder="1" applyAlignment="1">
      <alignment horizontal="right"/>
    </xf>
    <xf numFmtId="180" fontId="24" fillId="0" borderId="0" xfId="260" applyNumberFormat="1" applyFont="1" applyFill="1" applyBorder="1" applyAlignment="1">
      <alignment horizontal="center"/>
    </xf>
    <xf numFmtId="172" fontId="84" fillId="0" borderId="18" xfId="260" applyNumberFormat="1" applyFont="1" applyFill="1" applyBorder="1" applyAlignment="1">
      <alignment horizontal="center" wrapText="1"/>
    </xf>
    <xf numFmtId="172" fontId="84" fillId="0" borderId="28" xfId="260" applyNumberFormat="1" applyFont="1" applyFill="1" applyBorder="1" applyAlignment="1"/>
    <xf numFmtId="172" fontId="84" fillId="0" borderId="28" xfId="260" applyNumberFormat="1" applyFont="1" applyFill="1" applyBorder="1" applyAlignment="1">
      <alignment horizontal="center" wrapText="1"/>
    </xf>
    <xf numFmtId="0" fontId="24" fillId="0" borderId="28" xfId="260" applyNumberFormat="1" applyFont="1" applyFill="1" applyBorder="1" applyAlignment="1">
      <alignment horizontal="center" wrapText="1"/>
    </xf>
    <xf numFmtId="172" fontId="84" fillId="0" borderId="14" xfId="260" applyNumberFormat="1" applyFont="1" applyFill="1" applyBorder="1" applyAlignment="1">
      <alignment horizontal="center" wrapText="1"/>
    </xf>
    <xf numFmtId="3" fontId="24" fillId="0" borderId="14" xfId="260" applyNumberFormat="1" applyFont="1" applyFill="1" applyBorder="1" applyAlignment="1">
      <alignment horizontal="center" wrapText="1"/>
    </xf>
    <xf numFmtId="3" fontId="24" fillId="0" borderId="28" xfId="260" applyNumberFormat="1" applyFont="1" applyFill="1" applyBorder="1" applyAlignment="1">
      <alignment horizontal="center" wrapText="1"/>
    </xf>
    <xf numFmtId="0" fontId="26" fillId="0" borderId="18" xfId="260" applyNumberFormat="1" applyFont="1" applyFill="1" applyBorder="1"/>
    <xf numFmtId="0" fontId="26" fillId="0" borderId="28" xfId="260" applyNumberFormat="1" applyFont="1" applyFill="1" applyBorder="1"/>
    <xf numFmtId="0" fontId="26" fillId="0" borderId="28" xfId="260" applyNumberFormat="1" applyFont="1" applyFill="1" applyBorder="1" applyAlignment="1">
      <alignment horizontal="center"/>
    </xf>
    <xf numFmtId="0" fontId="26" fillId="0" borderId="14" xfId="260" applyNumberFormat="1" applyFont="1" applyFill="1" applyBorder="1" applyAlignment="1">
      <alignment horizontal="center"/>
    </xf>
    <xf numFmtId="3" fontId="26" fillId="0" borderId="28" xfId="260" applyNumberFormat="1" applyFont="1" applyFill="1" applyBorder="1" applyAlignment="1">
      <alignment horizontal="center"/>
    </xf>
    <xf numFmtId="3" fontId="26" fillId="0" borderId="14" xfId="260" applyNumberFormat="1" applyFont="1" applyFill="1" applyBorder="1" applyAlignment="1">
      <alignment horizontal="center" wrapText="1"/>
    </xf>
    <xf numFmtId="0" fontId="26" fillId="0" borderId="6" xfId="260" applyNumberFormat="1" applyFont="1" applyFill="1" applyBorder="1"/>
    <xf numFmtId="0" fontId="26" fillId="0" borderId="13" xfId="260" applyNumberFormat="1" applyFont="1" applyFill="1" applyBorder="1"/>
    <xf numFmtId="3" fontId="26" fillId="0" borderId="13" xfId="260" applyNumberFormat="1" applyFont="1" applyFill="1" applyBorder="1" applyAlignment="1"/>
    <xf numFmtId="172" fontId="108" fillId="0" borderId="6" xfId="260" applyNumberFormat="1" applyFill="1" applyBorder="1" applyAlignment="1"/>
    <xf numFmtId="172" fontId="23" fillId="0" borderId="0" xfId="260" applyNumberFormat="1" applyFont="1" applyFill="1" applyBorder="1" applyAlignment="1"/>
    <xf numFmtId="0" fontId="108" fillId="0" borderId="0" xfId="260" applyFill="1" applyBorder="1" applyAlignment="1">
      <alignment horizontal="center"/>
    </xf>
    <xf numFmtId="173" fontId="0" fillId="2" borderId="0" xfId="4" applyNumberFormat="1" applyFont="1" applyFill="1" applyBorder="1" applyAlignment="1"/>
    <xf numFmtId="172" fontId="108" fillId="0" borderId="13" xfId="260" applyNumberFormat="1" applyFill="1" applyBorder="1" applyAlignment="1"/>
    <xf numFmtId="173" fontId="26" fillId="2" borderId="0" xfId="4" applyNumberFormat="1" applyFont="1" applyFill="1" applyBorder="1" applyAlignment="1"/>
    <xf numFmtId="172" fontId="60" fillId="0" borderId="0" xfId="260" applyNumberFormat="1" applyFont="1" applyFill="1" applyBorder="1" applyAlignment="1"/>
    <xf numFmtId="172" fontId="60" fillId="0" borderId="13" xfId="260" applyNumberFormat="1" applyFont="1" applyFill="1" applyBorder="1" applyAlignment="1"/>
    <xf numFmtId="172" fontId="108" fillId="0" borderId="7" xfId="260" applyNumberFormat="1" applyFill="1" applyBorder="1" applyAlignment="1"/>
    <xf numFmtId="172" fontId="108" fillId="0" borderId="4" xfId="260" applyNumberFormat="1" applyFill="1" applyBorder="1" applyAlignment="1"/>
    <xf numFmtId="172" fontId="60" fillId="0" borderId="4" xfId="260" applyNumberFormat="1" applyFont="1" applyFill="1" applyBorder="1" applyAlignment="1"/>
    <xf numFmtId="172" fontId="60" fillId="0" borderId="12" xfId="260" applyNumberFormat="1" applyFont="1" applyFill="1" applyBorder="1" applyAlignment="1"/>
    <xf numFmtId="170" fontId="26" fillId="0" borderId="0" xfId="260" applyNumberFormat="1" applyFont="1" applyFill="1" applyBorder="1" applyAlignment="1"/>
    <xf numFmtId="1" fontId="26" fillId="0" borderId="0" xfId="3" applyNumberFormat="1" applyFont="1" applyFill="1" applyBorder="1" applyAlignment="1">
      <alignment horizontal="center"/>
    </xf>
    <xf numFmtId="172" fontId="26" fillId="0" borderId="1" xfId="260" applyNumberFormat="1" applyFont="1" applyFill="1" applyBorder="1" applyAlignment="1"/>
    <xf numFmtId="172" fontId="60" fillId="0" borderId="0" xfId="260" applyNumberFormat="1" applyFont="1" applyFill="1" applyBorder="1" applyAlignment="1">
      <alignment horizontal="center"/>
    </xf>
    <xf numFmtId="172" fontId="13" fillId="0" borderId="0" xfId="260" applyNumberFormat="1" applyFont="1" applyFill="1" applyBorder="1" applyAlignment="1"/>
    <xf numFmtId="49" fontId="13" fillId="0" borderId="0" xfId="260" applyNumberFormat="1" applyFont="1" applyFill="1" applyBorder="1" applyAlignment="1">
      <alignment horizontal="center"/>
    </xf>
    <xf numFmtId="172" fontId="113" fillId="0" borderId="0" xfId="260" applyNumberFormat="1" applyFont="1" applyFill="1" applyBorder="1" applyAlignment="1">
      <alignment horizontal="right"/>
    </xf>
    <xf numFmtId="172" fontId="22" fillId="0" borderId="0" xfId="0" applyFont="1" applyFill="1" applyBorder="1" applyAlignment="1">
      <alignment horizontal="center" vertical="top"/>
    </xf>
    <xf numFmtId="172" fontId="22" fillId="0" borderId="0" xfId="0" applyFont="1" applyFill="1" applyBorder="1" applyAlignment="1"/>
    <xf numFmtId="172" fontId="22" fillId="0" borderId="0" xfId="0" applyFont="1" applyFill="1" applyBorder="1" applyAlignment="1">
      <alignment horizontal="center"/>
    </xf>
    <xf numFmtId="172" fontId="0" fillId="0" borderId="0" xfId="0" applyFont="1" applyFill="1" applyBorder="1" applyAlignment="1">
      <alignment horizontal="center"/>
    </xf>
    <xf numFmtId="172" fontId="0" fillId="0" borderId="0" xfId="0" applyFont="1" applyFill="1" applyBorder="1" applyAlignment="1"/>
    <xf numFmtId="172" fontId="26" fillId="0" borderId="13" xfId="260" applyNumberFormat="1" applyFont="1" applyFill="1" applyBorder="1" applyAlignment="1"/>
    <xf numFmtId="170" fontId="26" fillId="2" borderId="0" xfId="260" applyNumberFormat="1" applyFont="1" applyFill="1" applyBorder="1" applyAlignment="1"/>
    <xf numFmtId="173" fontId="114" fillId="0" borderId="0" xfId="204" applyNumberFormat="1" applyFont="1" applyBorder="1" applyAlignment="1">
      <alignment horizontal="center" vertical="center" wrapText="1"/>
    </xf>
    <xf numFmtId="169" fontId="13" fillId="0" borderId="4" xfId="0" applyNumberFormat="1" applyFont="1" applyBorder="1" applyAlignment="1"/>
    <xf numFmtId="172" fontId="115" fillId="0" borderId="0" xfId="0" applyFont="1" applyAlignment="1"/>
    <xf numFmtId="172" fontId="116" fillId="0" borderId="0" xfId="0" applyFont="1" applyAlignment="1">
      <alignment horizontal="center"/>
    </xf>
    <xf numFmtId="172" fontId="117" fillId="0" borderId="0" xfId="0" applyFont="1" applyAlignment="1">
      <alignment horizontal="center"/>
    </xf>
    <xf numFmtId="172" fontId="118" fillId="0" borderId="0" xfId="0" applyFont="1" applyAlignment="1">
      <alignment horizontal="center"/>
    </xf>
    <xf numFmtId="172" fontId="116" fillId="0" borderId="0" xfId="0" applyFont="1" applyAlignment="1"/>
    <xf numFmtId="3" fontId="116" fillId="0" borderId="0" xfId="0" applyNumberFormat="1" applyFont="1" applyAlignment="1">
      <alignment horizontal="center"/>
    </xf>
    <xf numFmtId="3" fontId="115" fillId="0" borderId="0" xfId="0" applyNumberFormat="1" applyFont="1" applyAlignment="1"/>
    <xf numFmtId="4" fontId="115" fillId="0" borderId="0" xfId="0" applyNumberFormat="1" applyFont="1" applyAlignment="1"/>
    <xf numFmtId="0" fontId="119" fillId="0" borderId="0" xfId="0" applyNumberFormat="1" applyFont="1" applyAlignment="1">
      <alignment horizontal="right"/>
    </xf>
    <xf numFmtId="172" fontId="119" fillId="0" borderId="0" xfId="0" applyFont="1" applyAlignment="1"/>
    <xf numFmtId="0" fontId="121" fillId="0" borderId="0" xfId="204" applyFont="1" applyAlignment="1">
      <alignment horizontal="center" vertical="center"/>
    </xf>
    <xf numFmtId="172" fontId="110" fillId="0" borderId="0" xfId="0" applyFont="1" applyAlignment="1"/>
    <xf numFmtId="172" fontId="13" fillId="0" borderId="0" xfId="0" applyFont="1" applyFill="1" applyAlignment="1">
      <alignment wrapText="1"/>
    </xf>
    <xf numFmtId="181" fontId="13" fillId="0" borderId="9" xfId="0" applyNumberFormat="1" applyFont="1" applyBorder="1" applyAlignment="1"/>
    <xf numFmtId="181" fontId="13" fillId="0" borderId="0" xfId="0" applyNumberFormat="1" applyFont="1" applyFill="1" applyAlignment="1"/>
    <xf numFmtId="0" fontId="13" fillId="0" borderId="0" xfId="139" applyNumberFormat="1" applyFont="1" applyFill="1" applyAlignment="1" applyProtection="1">
      <alignment horizontal="center"/>
      <protection locked="0"/>
    </xf>
    <xf numFmtId="172" fontId="0" fillId="0" borderId="0" xfId="0" applyFill="1" applyAlignment="1"/>
    <xf numFmtId="166" fontId="13" fillId="0" borderId="0" xfId="0" applyNumberFormat="1" applyFont="1" applyFill="1" applyAlignment="1"/>
    <xf numFmtId="39" fontId="13" fillId="0" borderId="0" xfId="139" applyFont="1" applyFill="1" applyAlignment="1"/>
    <xf numFmtId="3" fontId="13" fillId="0" borderId="0" xfId="0" applyNumberFormat="1" applyFont="1" applyFill="1" applyAlignment="1">
      <alignment horizontal="fill"/>
    </xf>
    <xf numFmtId="0" fontId="13" fillId="0" borderId="0" xfId="0" applyNumberFormat="1" applyFont="1" applyAlignment="1">
      <alignment wrapText="1"/>
    </xf>
    <xf numFmtId="172" fontId="13" fillId="0" borderId="0" xfId="0" applyFont="1" applyAlignment="1">
      <alignment wrapText="1"/>
    </xf>
    <xf numFmtId="0" fontId="13" fillId="0" borderId="0" xfId="0" applyNumberFormat="1" applyFont="1" applyAlignment="1" applyProtection="1">
      <alignment horizontal="center" wrapText="1"/>
      <protection locked="0"/>
    </xf>
    <xf numFmtId="0" fontId="13" fillId="0" borderId="0" xfId="0" applyNumberFormat="1" applyFont="1" applyAlignment="1">
      <alignment horizontal="left" wrapText="1"/>
    </xf>
    <xf numFmtId="10" fontId="13" fillId="0" borderId="0" xfId="198" applyNumberFormat="1" applyFont="1" applyFill="1" applyAlignment="1"/>
    <xf numFmtId="172" fontId="13" fillId="0" borderId="0" xfId="0" quotePrefix="1" applyFont="1" applyAlignment="1"/>
    <xf numFmtId="172" fontId="119" fillId="0" borderId="0" xfId="0" applyFont="1" applyAlignment="1">
      <alignment horizontal="right"/>
    </xf>
    <xf numFmtId="172" fontId="13" fillId="0" borderId="0" xfId="0" applyFont="1" applyFill="1" applyBorder="1" applyAlignment="1"/>
    <xf numFmtId="172" fontId="119" fillId="0" borderId="0" xfId="0" applyFont="1" applyFill="1" applyAlignment="1"/>
    <xf numFmtId="172" fontId="0" fillId="0" borderId="0" xfId="0" applyFont="1" applyAlignment="1"/>
    <xf numFmtId="0" fontId="13" fillId="0" borderId="0" xfId="0" applyNumberFormat="1" applyFont="1" applyFill="1" applyProtection="1">
      <protection locked="0"/>
    </xf>
    <xf numFmtId="39" fontId="21" fillId="0" borderId="0" xfId="139" applyFont="1" applyFill="1" applyAlignment="1"/>
    <xf numFmtId="164" fontId="13" fillId="0" borderId="0" xfId="0" applyNumberFormat="1" applyFont="1" applyFill="1" applyAlignment="1">
      <alignment horizontal="left"/>
    </xf>
    <xf numFmtId="10" fontId="13" fillId="0" borderId="0" xfId="0" applyNumberFormat="1" applyFont="1" applyFill="1" applyAlignment="1">
      <alignment horizontal="left"/>
    </xf>
    <xf numFmtId="164" fontId="13" fillId="0" borderId="0" xfId="0" applyNumberFormat="1" applyFont="1" applyFill="1" applyAlignment="1" applyProtection="1">
      <alignment horizontal="left"/>
      <protection locked="0"/>
    </xf>
    <xf numFmtId="167" fontId="13" fillId="0" borderId="0" xfId="0" applyNumberFormat="1" applyFont="1" applyFill="1" applyAlignment="1"/>
    <xf numFmtId="164" fontId="13" fillId="0" borderId="0" xfId="0" applyNumberFormat="1" applyFont="1" applyFill="1" applyAlignment="1">
      <alignment horizontal="center"/>
    </xf>
    <xf numFmtId="49" fontId="13" fillId="0" borderId="0" xfId="0" applyNumberFormat="1" applyFont="1" applyFill="1"/>
    <xf numFmtId="49" fontId="13" fillId="0" borderId="0" xfId="0" applyNumberFormat="1" applyFont="1" applyFill="1" applyAlignment="1"/>
    <xf numFmtId="0" fontId="13" fillId="0" borderId="1" xfId="0" applyNumberFormat="1" applyFont="1" applyFill="1" applyBorder="1"/>
    <xf numFmtId="3" fontId="13" fillId="0" borderId="0" xfId="0" applyNumberFormat="1" applyFont="1" applyFill="1" applyBorder="1" applyAlignment="1"/>
    <xf numFmtId="0" fontId="14" fillId="0" borderId="0" xfId="0" applyNumberFormat="1" applyFont="1" applyFill="1" applyAlignment="1" applyProtection="1">
      <alignment vertical="top" wrapText="1"/>
      <protection locked="0"/>
    </xf>
    <xf numFmtId="0" fontId="122"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2" fillId="0" borderId="0" xfId="204" applyFont="1" applyAlignment="1">
      <alignment horizontal="center" vertical="center"/>
    </xf>
    <xf numFmtId="1" fontId="70" fillId="0" borderId="0" xfId="204" applyNumberFormat="1" applyFont="1" applyFill="1" applyAlignment="1">
      <alignment horizontal="left"/>
    </xf>
    <xf numFmtId="181" fontId="13" fillId="0" borderId="0" xfId="0" applyNumberFormat="1" applyFont="1" applyBorder="1" applyAlignment="1"/>
    <xf numFmtId="172" fontId="13"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6" fillId="0" borderId="4" xfId="0" applyFont="1" applyBorder="1" applyAlignment="1">
      <alignment horizontal="center" wrapText="1"/>
    </xf>
    <xf numFmtId="3" fontId="13" fillId="0" borderId="0" xfId="0" applyNumberFormat="1" applyFont="1" applyFill="1"/>
    <xf numFmtId="3" fontId="13" fillId="0" borderId="1" xfId="0" applyNumberFormat="1" applyFont="1" applyFill="1" applyBorder="1" applyAlignment="1"/>
    <xf numFmtId="174" fontId="13" fillId="0" borderId="0" xfId="1" applyNumberFormat="1" applyFont="1" applyFill="1" applyBorder="1" applyAlignment="1"/>
    <xf numFmtId="170" fontId="13" fillId="0" borderId="0" xfId="0" applyNumberFormat="1" applyFont="1" applyFill="1" applyAlignment="1"/>
    <xf numFmtId="170" fontId="13" fillId="0" borderId="0" xfId="0" applyNumberFormat="1" applyFont="1" applyFill="1" applyBorder="1" applyAlignment="1" applyProtection="1">
      <protection locked="0"/>
    </xf>
    <xf numFmtId="174" fontId="13" fillId="0" borderId="0" xfId="0" applyNumberFormat="1" applyFont="1" applyFill="1" applyBorder="1" applyAlignment="1"/>
    <xf numFmtId="181" fontId="13" fillId="6" borderId="0" xfId="0" applyNumberFormat="1" applyFont="1" applyFill="1" applyAlignment="1">
      <alignment vertical="center"/>
    </xf>
    <xf numFmtId="49" fontId="16" fillId="0" borderId="0" xfId="0" applyNumberFormat="1" applyFont="1" applyFill="1"/>
    <xf numFmtId="41" fontId="26" fillId="0" borderId="0" xfId="260" applyNumberFormat="1" applyFont="1" applyFill="1" applyBorder="1" applyAlignment="1"/>
    <xf numFmtId="0" fontId="5" fillId="0" borderId="0" xfId="204" applyFont="1" applyBorder="1" applyAlignment="1">
      <alignment horizontal="center" vertical="center" wrapText="1"/>
    </xf>
    <xf numFmtId="0" fontId="69" fillId="0" borderId="4" xfId="262" applyFont="1" applyFill="1" applyBorder="1" applyAlignment="1">
      <alignment horizontal="center" vertical="center" wrapText="1"/>
    </xf>
    <xf numFmtId="0" fontId="5" fillId="0" borderId="0" xfId="204" applyFont="1" applyAlignment="1">
      <alignment horizontal="center" vertical="center"/>
    </xf>
    <xf numFmtId="174" fontId="0" fillId="0" borderId="0" xfId="1" applyNumberFormat="1" applyFont="1" applyFill="1" applyAlignment="1">
      <alignment vertical="center"/>
    </xf>
    <xf numFmtId="0" fontId="5" fillId="0" borderId="0" xfId="204" applyFont="1" applyAlignment="1">
      <alignment vertical="center"/>
    </xf>
    <xf numFmtId="0" fontId="5" fillId="0" borderId="0" xfId="204" applyFont="1" applyFill="1" applyAlignment="1">
      <alignment vertical="center"/>
    </xf>
    <xf numFmtId="173" fontId="75" fillId="0" borderId="0" xfId="206" applyNumberFormat="1" applyFont="1" applyFill="1" applyAlignment="1">
      <alignment vertical="center"/>
    </xf>
    <xf numFmtId="0" fontId="69" fillId="0" borderId="4" xfId="204" applyFont="1" applyFill="1" applyBorder="1" applyAlignment="1">
      <alignment horizontal="center" vertical="center" wrapText="1"/>
    </xf>
    <xf numFmtId="43" fontId="0" fillId="0" borderId="0" xfId="1" applyFont="1" applyFill="1" applyAlignment="1">
      <alignment vertical="center"/>
    </xf>
    <xf numFmtId="0" fontId="5" fillId="0" borderId="40" xfId="204" applyFont="1" applyBorder="1" applyAlignment="1">
      <alignment vertical="center"/>
    </xf>
    <xf numFmtId="0" fontId="5" fillId="0" borderId="41" xfId="204" applyFont="1" applyBorder="1" applyAlignment="1">
      <alignment vertical="center"/>
    </xf>
    <xf numFmtId="173" fontId="5" fillId="0" borderId="25" xfId="262" applyNumberFormat="1" applyFont="1" applyBorder="1" applyAlignment="1">
      <alignment vertical="center"/>
    </xf>
    <xf numFmtId="173" fontId="5" fillId="0" borderId="0" xfId="262" applyNumberFormat="1" applyFont="1" applyBorder="1" applyAlignment="1">
      <alignment vertical="center"/>
    </xf>
    <xf numFmtId="0" fontId="68" fillId="0" borderId="0" xfId="262" applyFont="1" applyAlignment="1">
      <alignment vertical="center"/>
    </xf>
    <xf numFmtId="0" fontId="68" fillId="0" borderId="0" xfId="262" applyFont="1" applyAlignment="1">
      <alignment horizontal="right" vertical="center"/>
    </xf>
    <xf numFmtId="173" fontId="68" fillId="0" borderId="9" xfId="262" applyNumberFormat="1" applyFont="1" applyBorder="1" applyAlignment="1">
      <alignment vertical="center"/>
    </xf>
    <xf numFmtId="1" fontId="5" fillId="0" borderId="0" xfId="204" applyNumberFormat="1" applyFont="1" applyBorder="1" applyAlignment="1">
      <alignment horizontal="center" vertical="center" wrapText="1"/>
    </xf>
    <xf numFmtId="1" fontId="5" fillId="0" borderId="0" xfId="204" applyNumberFormat="1" applyFont="1" applyAlignment="1">
      <alignment horizontal="center" vertical="center"/>
    </xf>
    <xf numFmtId="172" fontId="123" fillId="0" borderId="0" xfId="0" applyFont="1" applyAlignment="1">
      <alignment horizontal="center"/>
    </xf>
    <xf numFmtId="173" fontId="68" fillId="6" borderId="0" xfId="264" applyNumberFormat="1" applyFont="1" applyFill="1" applyAlignment="1">
      <alignment vertical="center"/>
    </xf>
    <xf numFmtId="37" fontId="68" fillId="6" borderId="0" xfId="264" applyNumberFormat="1" applyFont="1" applyFill="1" applyAlignment="1">
      <alignment vertical="center"/>
    </xf>
    <xf numFmtId="172" fontId="13" fillId="0" borderId="0" xfId="0" applyNumberFormat="1" applyFont="1"/>
    <xf numFmtId="173" fontId="66" fillId="0" borderId="14" xfId="4" applyNumberFormat="1" applyFont="1" applyFill="1" applyBorder="1"/>
    <xf numFmtId="173" fontId="62" fillId="0" borderId="14" xfId="4" applyNumberFormat="1" applyFont="1" applyFill="1" applyBorder="1"/>
    <xf numFmtId="174" fontId="66" fillId="6" borderId="14" xfId="3" applyNumberFormat="1" applyFont="1" applyFill="1" applyBorder="1"/>
    <xf numFmtId="174" fontId="66" fillId="6" borderId="11" xfId="3" applyNumberFormat="1" applyFont="1" applyFill="1" applyBorder="1"/>
    <xf numFmtId="173" fontId="66" fillId="6" borderId="14" xfId="4" applyNumberFormat="1" applyFont="1" applyFill="1" applyBorder="1"/>
    <xf numFmtId="173" fontId="63" fillId="6" borderId="14" xfId="4" applyNumberFormat="1" applyFont="1" applyFill="1" applyBorder="1"/>
    <xf numFmtId="173" fontId="63" fillId="6" borderId="11" xfId="4" applyNumberFormat="1" applyFont="1" applyFill="1" applyBorder="1"/>
    <xf numFmtId="0" fontId="26" fillId="0" borderId="0" xfId="260" applyNumberFormat="1" applyFont="1" applyFill="1" applyBorder="1" applyAlignment="1" applyProtection="1">
      <alignment horizontal="center"/>
      <protection locked="0"/>
    </xf>
    <xf numFmtId="173" fontId="29" fillId="6" borderId="12" xfId="4" applyNumberFormat="1" applyFont="1" applyFill="1" applyBorder="1"/>
    <xf numFmtId="173" fontId="29" fillId="6" borderId="5" xfId="4" applyNumberFormat="1" applyFont="1" applyFill="1" applyBorder="1"/>
    <xf numFmtId="174" fontId="29" fillId="6" borderId="12" xfId="3" applyNumberFormat="1" applyFont="1" applyFill="1" applyBorder="1"/>
    <xf numFmtId="174" fontId="29" fillId="6" borderId="5" xfId="3" applyNumberFormat="1" applyFont="1" applyFill="1" applyBorder="1"/>
    <xf numFmtId="174" fontId="29" fillId="6" borderId="13" xfId="3" applyNumberFormat="1" applyFont="1" applyFill="1" applyBorder="1"/>
    <xf numFmtId="174" fontId="29" fillId="6" borderId="3" xfId="3" applyNumberFormat="1" applyFont="1" applyFill="1" applyBorder="1"/>
    <xf numFmtId="174" fontId="29" fillId="6" borderId="14" xfId="3" applyNumberFormat="1" applyFont="1" applyFill="1" applyBorder="1"/>
    <xf numFmtId="174" fontId="29" fillId="6" borderId="17" xfId="3" applyNumberFormat="1" applyFont="1" applyFill="1" applyBorder="1"/>
    <xf numFmtId="174" fontId="29" fillId="6" borderId="20" xfId="3" applyNumberFormat="1" applyFont="1" applyFill="1" applyBorder="1"/>
    <xf numFmtId="174" fontId="29" fillId="6" borderId="11" xfId="3" applyNumberFormat="1" applyFont="1" applyFill="1" applyBorder="1"/>
    <xf numFmtId="173" fontId="29" fillId="6" borderId="11" xfId="4" applyNumberFormat="1" applyFont="1" applyFill="1" applyBorder="1"/>
    <xf numFmtId="173" fontId="13" fillId="6" borderId="0" xfId="206" applyNumberFormat="1" applyFont="1" applyFill="1"/>
    <xf numFmtId="37" fontId="13" fillId="6" borderId="0" xfId="205" applyNumberFormat="1" applyFont="1" applyFill="1"/>
    <xf numFmtId="37" fontId="13" fillId="6" borderId="1" xfId="205" applyNumberFormat="1" applyFont="1" applyFill="1" applyBorder="1"/>
    <xf numFmtId="37" fontId="13" fillId="0" borderId="0" xfId="205" applyNumberFormat="1" applyFont="1"/>
    <xf numFmtId="37" fontId="124" fillId="6" borderId="0" xfId="205" applyNumberFormat="1" applyFont="1" applyFill="1"/>
    <xf numFmtId="37" fontId="124" fillId="0" borderId="28" xfId="205" applyNumberFormat="1" applyFont="1" applyBorder="1"/>
    <xf numFmtId="37" fontId="125" fillId="0" borderId="0" xfId="205" applyNumberFormat="1" applyFont="1"/>
    <xf numFmtId="0" fontId="124" fillId="0" borderId="0" xfId="204" applyFont="1"/>
    <xf numFmtId="170" fontId="86" fillId="6" borderId="0" xfId="211" applyNumberFormat="1" applyFont="1" applyFill="1"/>
    <xf numFmtId="173" fontId="13" fillId="0" borderId="4" xfId="199" applyNumberFormat="1" applyFont="1" applyBorder="1"/>
    <xf numFmtId="173" fontId="13" fillId="0" borderId="0" xfId="199" applyNumberFormat="1" applyFont="1"/>
    <xf numFmtId="3" fontId="66" fillId="6" borderId="14" xfId="4" applyNumberFormat="1" applyFont="1" applyFill="1" applyBorder="1"/>
    <xf numFmtId="3" fontId="63" fillId="0" borderId="0" xfId="2" applyNumberFormat="1" applyFont="1"/>
    <xf numFmtId="3" fontId="63" fillId="0" borderId="0" xfId="2" applyNumberFormat="1" applyFont="1" applyFill="1"/>
    <xf numFmtId="3" fontId="66" fillId="6" borderId="14" xfId="3" applyNumberFormat="1" applyFont="1" applyFill="1" applyBorder="1"/>
    <xf numFmtId="44" fontId="63" fillId="6" borderId="14" xfId="199" applyFont="1" applyFill="1" applyBorder="1"/>
    <xf numFmtId="44" fontId="63" fillId="6" borderId="11" xfId="199" applyFont="1" applyFill="1" applyBorder="1"/>
    <xf numFmtId="173" fontId="13" fillId="0" borderId="0" xfId="212" applyNumberFormat="1" applyFont="1"/>
    <xf numFmtId="0" fontId="80" fillId="0" borderId="0" xfId="211" applyFont="1"/>
    <xf numFmtId="0" fontId="80" fillId="0" borderId="0" xfId="211" applyFont="1" applyAlignment="1">
      <alignment horizontal="left" indent="1"/>
    </xf>
    <xf numFmtId="0" fontId="21" fillId="0" borderId="0" xfId="211" applyFont="1"/>
    <xf numFmtId="0" fontId="80" fillId="0" borderId="0" xfId="211" applyFont="1" applyFill="1"/>
    <xf numFmtId="0" fontId="80" fillId="0" borderId="0" xfId="211" applyFont="1" applyAlignment="1">
      <alignment horizontal="left" indent="2"/>
    </xf>
    <xf numFmtId="174" fontId="80" fillId="0" borderId="0" xfId="211" applyNumberFormat="1" applyFont="1"/>
    <xf numFmtId="0" fontId="13" fillId="0" borderId="0" xfId="211" applyFont="1"/>
    <xf numFmtId="0" fontId="16" fillId="0" borderId="0" xfId="211" applyFont="1" applyAlignment="1">
      <alignment horizontal="center"/>
    </xf>
    <xf numFmtId="174" fontId="13" fillId="0" borderId="0" xfId="213" applyNumberFormat="1" applyFont="1" applyFill="1" applyBorder="1"/>
    <xf numFmtId="174" fontId="13" fillId="0" borderId="9" xfId="211" applyNumberFormat="1" applyFont="1" applyBorder="1"/>
    <xf numFmtId="0" fontId="13" fillId="0" borderId="0" xfId="211" applyFont="1" applyFill="1"/>
    <xf numFmtId="173" fontId="13" fillId="0" borderId="0" xfId="212" applyNumberFormat="1" applyFont="1" applyFill="1" applyBorder="1"/>
    <xf numFmtId="174" fontId="13" fillId="0" borderId="4" xfId="213" applyNumberFormat="1" applyFont="1" applyFill="1" applyBorder="1"/>
    <xf numFmtId="174" fontId="13" fillId="6" borderId="0" xfId="213" applyNumberFormat="1" applyFont="1" applyFill="1" applyBorder="1"/>
    <xf numFmtId="1" fontId="13" fillId="0" borderId="0" xfId="0" applyNumberFormat="1" applyFont="1" applyAlignment="1">
      <alignment horizontal="center"/>
    </xf>
    <xf numFmtId="172" fontId="13" fillId="0" borderId="4" xfId="0" applyFont="1" applyBorder="1" applyAlignment="1">
      <alignment horizontal="center" wrapText="1"/>
    </xf>
    <xf numFmtId="172" fontId="13" fillId="0" borderId="0" xfId="0" applyFont="1" applyAlignment="1"/>
    <xf numFmtId="0" fontId="126" fillId="0" borderId="0" xfId="204" applyFont="1" applyAlignment="1">
      <alignment horizontal="center"/>
    </xf>
    <xf numFmtId="173" fontId="13" fillId="0" borderId="0" xfId="206" applyNumberFormat="1" applyFont="1"/>
    <xf numFmtId="37" fontId="13" fillId="0" borderId="9" xfId="205" applyNumberFormat="1" applyFont="1" applyBorder="1"/>
    <xf numFmtId="43" fontId="13" fillId="0" borderId="0" xfId="205" applyFont="1"/>
    <xf numFmtId="43" fontId="13" fillId="6" borderId="0" xfId="205" applyFont="1" applyFill="1"/>
    <xf numFmtId="173" fontId="13" fillId="0" borderId="14" xfId="206" applyNumberFormat="1" applyFont="1" applyFill="1" applyBorder="1"/>
    <xf numFmtId="173" fontId="124" fillId="0" borderId="14" xfId="204" applyNumberFormat="1" applyFont="1" applyFill="1" applyBorder="1"/>
    <xf numFmtId="0" fontId="81" fillId="0" borderId="0" xfId="204" applyFont="1" applyAlignment="1">
      <alignment vertical="center"/>
    </xf>
    <xf numFmtId="0" fontId="81" fillId="0" borderId="0" xfId="204" applyFont="1" applyAlignment="1">
      <alignment horizontal="left" vertical="center"/>
    </xf>
    <xf numFmtId="0" fontId="124" fillId="0" borderId="0" xfId="204" applyFont="1" applyAlignment="1">
      <alignment vertical="center"/>
    </xf>
    <xf numFmtId="0" fontId="127" fillId="0" borderId="4" xfId="204" applyFont="1" applyBorder="1" applyAlignment="1">
      <alignment horizontal="center" vertical="center" wrapText="1"/>
    </xf>
    <xf numFmtId="0" fontId="124" fillId="0" borderId="0" xfId="204" applyFont="1" applyBorder="1" applyAlignment="1">
      <alignment horizontal="center" vertical="center" wrapText="1"/>
    </xf>
    <xf numFmtId="173" fontId="124" fillId="6" borderId="0" xfId="206" applyNumberFormat="1" applyFont="1" applyFill="1" applyBorder="1" applyAlignment="1">
      <alignment horizontal="center" vertical="center" wrapText="1"/>
    </xf>
    <xf numFmtId="173" fontId="124" fillId="6" borderId="9" xfId="206" applyNumberFormat="1" applyFont="1" applyFill="1" applyBorder="1" applyAlignment="1">
      <alignment horizontal="center" vertical="center" wrapText="1"/>
    </xf>
    <xf numFmtId="0" fontId="124" fillId="0" borderId="0" xfId="204" applyFont="1" applyAlignment="1">
      <alignment horizontal="center" vertical="center"/>
    </xf>
    <xf numFmtId="37" fontId="124" fillId="6" borderId="0" xfId="206" applyNumberFormat="1" applyFont="1" applyFill="1" applyBorder="1" applyAlignment="1">
      <alignment horizontal="right" vertical="center" wrapText="1"/>
    </xf>
    <xf numFmtId="174" fontId="124" fillId="6" borderId="0" xfId="1" applyNumberFormat="1" applyFont="1" applyFill="1" applyBorder="1" applyAlignment="1">
      <alignment horizontal="center" vertical="center" wrapText="1"/>
    </xf>
    <xf numFmtId="0" fontId="80" fillId="0" borderId="0" xfId="204" applyFont="1" applyAlignment="1">
      <alignment horizontal="center" vertical="center"/>
    </xf>
    <xf numFmtId="37" fontId="124" fillId="6" borderId="4" xfId="206" applyNumberFormat="1" applyFont="1" applyFill="1" applyBorder="1" applyAlignment="1">
      <alignment horizontal="right" vertical="center" wrapText="1"/>
    </xf>
    <xf numFmtId="174" fontId="124" fillId="6" borderId="4" xfId="1" applyNumberFormat="1" applyFont="1" applyFill="1" applyBorder="1" applyAlignment="1">
      <alignment horizontal="center" vertical="center" wrapText="1"/>
    </xf>
    <xf numFmtId="0" fontId="81" fillId="0" borderId="0" xfId="204" applyFont="1" applyAlignment="1">
      <alignment horizontal="center" vertical="center"/>
    </xf>
    <xf numFmtId="0" fontId="127" fillId="0" borderId="0" xfId="204" applyFont="1" applyAlignment="1">
      <alignment vertical="center"/>
    </xf>
    <xf numFmtId="173" fontId="128" fillId="0" borderId="0" xfId="206" applyNumberFormat="1" applyFont="1" applyAlignment="1">
      <alignment vertical="center"/>
    </xf>
    <xf numFmtId="173" fontId="124" fillId="0" borderId="0" xfId="204" applyNumberFormat="1" applyFont="1" applyAlignment="1">
      <alignment vertical="center"/>
    </xf>
    <xf numFmtId="1" fontId="124" fillId="0" borderId="0" xfId="204" applyNumberFormat="1" applyFont="1" applyBorder="1" applyAlignment="1">
      <alignment horizontal="center" vertical="center" wrapText="1"/>
    </xf>
    <xf numFmtId="1" fontId="124" fillId="0" borderId="0" xfId="204" applyNumberFormat="1" applyFont="1" applyAlignment="1">
      <alignment horizontal="center" vertical="center"/>
    </xf>
    <xf numFmtId="1" fontId="80" fillId="0" borderId="0" xfId="204" applyNumberFormat="1" applyFont="1" applyBorder="1" applyAlignment="1">
      <alignment horizontal="center" vertical="center" wrapText="1"/>
    </xf>
    <xf numFmtId="1" fontId="80" fillId="0" borderId="0" xfId="204" applyNumberFormat="1" applyFont="1" applyAlignment="1">
      <alignment horizontal="center" vertical="center"/>
    </xf>
    <xf numFmtId="0" fontId="80" fillId="0" borderId="0" xfId="204" applyFont="1" applyAlignment="1">
      <alignment horizontal="center" vertical="center" wrapText="1"/>
    </xf>
    <xf numFmtId="0" fontId="80" fillId="0" borderId="0" xfId="204" applyFont="1" applyBorder="1" applyAlignment="1">
      <alignment horizontal="center" vertical="center" wrapText="1"/>
    </xf>
    <xf numFmtId="173" fontId="80" fillId="0" borderId="0" xfId="206" applyNumberFormat="1" applyFont="1" applyBorder="1" applyAlignment="1">
      <alignment horizontal="center" vertical="center" wrapText="1"/>
    </xf>
    <xf numFmtId="0" fontId="80" fillId="0" borderId="0" xfId="204" applyFont="1" applyAlignment="1">
      <alignment vertical="center"/>
    </xf>
    <xf numFmtId="173" fontId="80" fillId="0" borderId="4" xfId="206" applyNumberFormat="1" applyFont="1" applyBorder="1" applyAlignment="1">
      <alignment horizontal="center" vertical="center" wrapText="1"/>
    </xf>
    <xf numFmtId="173" fontId="81" fillId="0" borderId="0" xfId="206" applyNumberFormat="1" applyFont="1" applyAlignment="1">
      <alignment vertical="center"/>
    </xf>
    <xf numFmtId="173" fontId="13" fillId="0" borderId="0" xfId="206" applyNumberFormat="1" applyFont="1" applyAlignment="1">
      <alignment vertical="center"/>
    </xf>
    <xf numFmtId="173" fontId="13" fillId="0" borderId="4" xfId="206" applyNumberFormat="1" applyFont="1" applyBorder="1" applyAlignment="1">
      <alignment vertical="center"/>
    </xf>
    <xf numFmtId="0" fontId="81" fillId="0" borderId="0" xfId="204" applyFont="1" applyBorder="1" applyAlignment="1">
      <alignment horizontal="left" vertical="center" wrapText="1"/>
    </xf>
    <xf numFmtId="0" fontId="80" fillId="0" borderId="0" xfId="204" applyFont="1" applyAlignment="1">
      <alignment horizontal="left" vertical="center"/>
    </xf>
    <xf numFmtId="0" fontId="80" fillId="0" borderId="9" xfId="204" applyFont="1" applyBorder="1" applyAlignment="1">
      <alignment vertical="center"/>
    </xf>
    <xf numFmtId="174" fontId="129" fillId="0" borderId="0" xfId="204" applyNumberFormat="1" applyFont="1" applyAlignment="1">
      <alignment vertical="center"/>
    </xf>
    <xf numFmtId="0" fontId="13" fillId="0" borderId="0" xfId="204" applyNumberFormat="1" applyFont="1"/>
    <xf numFmtId="0" fontId="13" fillId="0" borderId="0" xfId="2" applyFont="1" applyAlignment="1">
      <alignment horizontal="center"/>
    </xf>
    <xf numFmtId="0" fontId="13" fillId="0" borderId="0" xfId="2" applyFont="1"/>
    <xf numFmtId="0" fontId="13" fillId="0" borderId="4" xfId="2" applyFont="1" applyBorder="1" applyAlignment="1">
      <alignment horizontal="center"/>
    </xf>
    <xf numFmtId="0" fontId="81" fillId="0" borderId="4" xfId="204" applyFont="1" applyBorder="1" applyAlignment="1">
      <alignment horizontal="center" wrapText="1"/>
    </xf>
    <xf numFmtId="0" fontId="13"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3" fillId="0" borderId="0" xfId="0" applyFont="1" applyFill="1" applyAlignment="1">
      <alignment horizontal="center"/>
    </xf>
    <xf numFmtId="167" fontId="13" fillId="0" borderId="0" xfId="0" applyNumberFormat="1" applyFont="1" applyFill="1" applyBorder="1" applyAlignment="1">
      <alignment horizontal="center" wrapText="1"/>
    </xf>
    <xf numFmtId="167" fontId="13" fillId="0" borderId="0" xfId="0" applyNumberFormat="1" applyFont="1" applyAlignment="1"/>
    <xf numFmtId="0" fontId="132" fillId="0" borderId="0" xfId="265" applyNumberFormat="1" applyFont="1" applyFill="1" applyBorder="1" applyAlignment="1" applyProtection="1">
      <alignment horizontal="left"/>
      <protection locked="0"/>
    </xf>
    <xf numFmtId="172" fontId="16"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0" fillId="0" borderId="0" xfId="204" applyFont="1"/>
    <xf numFmtId="173" fontId="80" fillId="0" borderId="0" xfId="204" applyNumberFormat="1" applyFont="1" applyFill="1" applyBorder="1"/>
    <xf numFmtId="0" fontId="124" fillId="0" borderId="0" xfId="204" applyFont="1" applyAlignment="1"/>
    <xf numFmtId="178" fontId="16" fillId="0" borderId="0" xfId="208" applyFont="1" applyAlignment="1"/>
    <xf numFmtId="0" fontId="124" fillId="0" borderId="0" xfId="204" applyFont="1" applyAlignment="1">
      <alignment horizontal="center"/>
    </xf>
    <xf numFmtId="0" fontId="127" fillId="0" borderId="0" xfId="204" applyFont="1"/>
    <xf numFmtId="0" fontId="126" fillId="0" borderId="0" xfId="204" applyFont="1" applyAlignment="1">
      <alignment horizontal="left"/>
    </xf>
    <xf numFmtId="0" fontId="124" fillId="0" borderId="0" xfId="211" applyFont="1" applyFill="1"/>
    <xf numFmtId="0" fontId="124" fillId="0" borderId="0" xfId="211" applyFont="1"/>
    <xf numFmtId="0" fontId="81" fillId="0" borderId="0" xfId="204" applyFont="1" applyAlignment="1">
      <alignment horizontal="center"/>
    </xf>
    <xf numFmtId="0" fontId="83" fillId="0" borderId="0" xfId="204" applyFont="1" applyAlignment="1">
      <alignment horizontal="center"/>
    </xf>
    <xf numFmtId="0" fontId="80" fillId="0" borderId="0" xfId="204" applyFont="1" applyAlignment="1">
      <alignment horizontal="center"/>
    </xf>
    <xf numFmtId="0" fontId="80" fillId="0" borderId="4" xfId="204" applyFont="1" applyBorder="1" applyAlignment="1">
      <alignment horizontal="center"/>
    </xf>
    <xf numFmtId="0" fontId="80" fillId="0" borderId="0" xfId="204" applyFont="1" applyAlignment="1"/>
    <xf numFmtId="0" fontId="16" fillId="0" borderId="0" xfId="204" quotePrefix="1" applyFont="1" applyAlignment="1">
      <alignment horizontal="center"/>
    </xf>
    <xf numFmtId="0" fontId="16" fillId="0" borderId="4" xfId="204" quotePrefix="1" applyFont="1" applyBorder="1" applyAlignment="1">
      <alignment horizontal="center"/>
    </xf>
    <xf numFmtId="44" fontId="13" fillId="0" borderId="28" xfId="206" applyFont="1" applyBorder="1" applyAlignment="1"/>
    <xf numFmtId="44" fontId="13" fillId="0" borderId="0" xfId="206" applyFont="1" applyBorder="1" applyAlignment="1"/>
    <xf numFmtId="44" fontId="13" fillId="0" borderId="0" xfId="206" applyFont="1" applyAlignment="1"/>
    <xf numFmtId="44" fontId="13" fillId="0" borderId="9" xfId="206" applyFont="1" applyBorder="1" applyAlignment="1"/>
    <xf numFmtId="0" fontId="133" fillId="0" borderId="0" xfId="204" applyFont="1" applyAlignment="1"/>
    <xf numFmtId="3" fontId="80" fillId="0" borderId="0" xfId="204" applyNumberFormat="1" applyFont="1" applyAlignment="1"/>
    <xf numFmtId="0" fontId="127" fillId="0" borderId="0" xfId="204" applyFont="1" applyAlignment="1">
      <alignment horizontal="center"/>
    </xf>
    <xf numFmtId="0" fontId="13" fillId="0" borderId="0" xfId="0" applyNumberFormat="1" applyFont="1" applyAlignment="1" applyProtection="1">
      <alignment horizontal="center" vertical="center" wrapText="1"/>
      <protection locked="0"/>
    </xf>
    <xf numFmtId="0" fontId="81" fillId="0" borderId="0" xfId="204" applyFont="1" applyAlignment="1">
      <alignment horizontal="center" vertical="center"/>
    </xf>
    <xf numFmtId="172" fontId="13" fillId="0" borderId="0" xfId="0" applyFont="1" applyFill="1" applyAlignment="1">
      <alignment wrapText="1"/>
    </xf>
    <xf numFmtId="172" fontId="13" fillId="0" borderId="0" xfId="0" applyFont="1" applyFill="1" applyAlignment="1">
      <alignment horizontal="left" wrapText="1"/>
    </xf>
    <xf numFmtId="172" fontId="13" fillId="0" borderId="0" xfId="0" applyFont="1" applyAlignment="1">
      <alignment horizontal="center"/>
    </xf>
    <xf numFmtId="174" fontId="80" fillId="0" borderId="0" xfId="204" applyNumberFormat="1" applyFont="1" applyAlignment="1">
      <alignment vertical="center"/>
    </xf>
    <xf numFmtId="0" fontId="80" fillId="0" borderId="0" xfId="204" applyFont="1" applyBorder="1" applyAlignment="1">
      <alignment horizontal="center" vertical="center"/>
    </xf>
    <xf numFmtId="0" fontId="81" fillId="0" borderId="0" xfId="204" applyFont="1" applyBorder="1" applyAlignment="1">
      <alignment horizontal="center" wrapText="1"/>
    </xf>
    <xf numFmtId="0" fontId="80" fillId="0" borderId="0" xfId="204" applyFont="1" applyBorder="1" applyAlignment="1">
      <alignment vertical="center"/>
    </xf>
    <xf numFmtId="0" fontId="81" fillId="0" borderId="0" xfId="204" quotePrefix="1" applyFont="1" applyBorder="1" applyAlignment="1">
      <alignment horizontal="center" wrapText="1"/>
    </xf>
    <xf numFmtId="0" fontId="73" fillId="0" borderId="0" xfId="204" applyFont="1" applyAlignment="1">
      <alignment vertical="center"/>
    </xf>
    <xf numFmtId="0" fontId="134" fillId="0" borderId="0" xfId="0" applyNumberFormat="1" applyFont="1"/>
    <xf numFmtId="172" fontId="134" fillId="0" borderId="0" xfId="0" applyFont="1" applyAlignment="1"/>
    <xf numFmtId="0" fontId="13" fillId="0" borderId="0" xfId="139" applyNumberFormat="1" applyFont="1" applyFill="1" applyAlignment="1"/>
    <xf numFmtId="39" fontId="13" fillId="0" borderId="0" xfId="139" applyFont="1" applyAlignment="1"/>
    <xf numFmtId="37" fontId="13" fillId="6" borderId="0" xfId="0" applyNumberFormat="1" applyFont="1" applyFill="1" applyBorder="1" applyAlignment="1"/>
    <xf numFmtId="181" fontId="13" fillId="6" borderId="0" xfId="0" applyNumberFormat="1" applyFont="1" applyFill="1" applyBorder="1" applyAlignment="1"/>
    <xf numFmtId="37" fontId="13" fillId="6" borderId="4" xfId="0" applyNumberFormat="1" applyFont="1" applyFill="1" applyBorder="1" applyAlignment="1"/>
    <xf numFmtId="172" fontId="13" fillId="0" borderId="29" xfId="139" applyNumberFormat="1" applyFont="1" applyBorder="1" applyAlignment="1" applyProtection="1">
      <alignment horizontal="right"/>
      <protection locked="0"/>
    </xf>
    <xf numFmtId="174" fontId="13" fillId="6" borderId="4" xfId="49" applyNumberFormat="1" applyFont="1" applyFill="1" applyBorder="1" applyAlignment="1"/>
    <xf numFmtId="3" fontId="13" fillId="6" borderId="0" xfId="0" applyNumberFormat="1" applyFont="1" applyFill="1"/>
    <xf numFmtId="10" fontId="16" fillId="0" borderId="14" xfId="198" applyNumberFormat="1" applyFont="1" applyBorder="1"/>
    <xf numFmtId="177" fontId="13" fillId="0" borderId="0" xfId="1" applyNumberFormat="1" applyFont="1" applyBorder="1" applyAlignment="1"/>
    <xf numFmtId="0" fontId="21" fillId="0" borderId="0" xfId="0" applyNumberFormat="1" applyFont="1" applyFill="1" applyProtection="1">
      <protection locked="0"/>
    </xf>
    <xf numFmtId="167" fontId="130" fillId="6" borderId="0" xfId="0" applyNumberFormat="1" applyFont="1" applyFill="1" applyAlignment="1">
      <alignment horizontal="center" wrapText="1"/>
    </xf>
    <xf numFmtId="14" fontId="0" fillId="6" borderId="0" xfId="0" applyNumberFormat="1" applyFont="1" applyFill="1" applyBorder="1" applyAlignment="1" applyProtection="1"/>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3" fillId="6" borderId="42" xfId="0" applyNumberFormat="1" applyFont="1" applyFill="1" applyBorder="1" applyAlignment="1"/>
    <xf numFmtId="3" fontId="13" fillId="6" borderId="42" xfId="0" applyNumberFormat="1" applyFont="1" applyFill="1" applyBorder="1" applyAlignment="1"/>
    <xf numFmtId="182" fontId="13" fillId="0" borderId="0" xfId="198" applyNumberFormat="1" applyFont="1" applyAlignment="1"/>
    <xf numFmtId="174" fontId="13" fillId="0" borderId="0" xfId="1" applyNumberFormat="1" applyFont="1" applyAlignment="1"/>
    <xf numFmtId="0" fontId="81" fillId="0" borderId="0" xfId="204" applyFont="1" applyAlignment="1">
      <alignment horizontal="center" vertical="center"/>
    </xf>
    <xf numFmtId="0" fontId="80" fillId="0" borderId="0" xfId="211" applyFont="1" applyAlignment="1">
      <alignment horizontal="center"/>
    </xf>
    <xf numFmtId="0" fontId="80" fillId="0" borderId="0" xfId="204" applyFont="1" applyAlignment="1">
      <alignment horizontal="center"/>
    </xf>
    <xf numFmtId="173" fontId="124" fillId="0" borderId="29" xfId="211" applyNumberFormat="1" applyFont="1" applyBorder="1"/>
    <xf numFmtId="0" fontId="134" fillId="0" borderId="0" xfId="204" applyFont="1"/>
    <xf numFmtId="0" fontId="134" fillId="0" borderId="0" xfId="204" applyFont="1" applyAlignment="1">
      <alignment horizontal="left"/>
    </xf>
    <xf numFmtId="37" fontId="13" fillId="0" borderId="0" xfId="0" applyNumberFormat="1" applyFont="1" applyAlignment="1"/>
    <xf numFmtId="7" fontId="13" fillId="0" borderId="0" xfId="0" applyNumberFormat="1" applyFont="1" applyAlignment="1"/>
    <xf numFmtId="7" fontId="13" fillId="0" borderId="43" xfId="0" applyNumberFormat="1" applyFont="1" applyBorder="1" applyAlignment="1"/>
    <xf numFmtId="7" fontId="13" fillId="0" borderId="0" xfId="0" applyNumberFormat="1" applyFont="1" applyBorder="1" applyAlignment="1"/>
    <xf numFmtId="7" fontId="16" fillId="0" borderId="43" xfId="0" applyNumberFormat="1" applyFont="1" applyBorder="1" applyAlignment="1"/>
    <xf numFmtId="37" fontId="124" fillId="6" borderId="0" xfId="206" applyNumberFormat="1" applyFont="1" applyFill="1" applyBorder="1" applyAlignment="1">
      <alignment horizontal="center" vertical="center" wrapText="1"/>
    </xf>
    <xf numFmtId="5" fontId="128" fillId="0" borderId="0" xfId="206" applyNumberFormat="1" applyFont="1" applyAlignment="1">
      <alignment horizontal="center" vertical="center"/>
    </xf>
    <xf numFmtId="0" fontId="138" fillId="0" borderId="0" xfId="204" applyFont="1"/>
    <xf numFmtId="0" fontId="134" fillId="0" borderId="0" xfId="211" applyFont="1"/>
    <xf numFmtId="0" fontId="134" fillId="0" borderId="0" xfId="211" applyFont="1" applyAlignment="1">
      <alignment horizontal="left" indent="1"/>
    </xf>
    <xf numFmtId="174" fontId="13" fillId="0" borderId="0" xfId="1" applyNumberFormat="1" applyFont="1"/>
    <xf numFmtId="174" fontId="139" fillId="0" borderId="0" xfId="1" applyNumberFormat="1" applyFont="1"/>
    <xf numFmtId="173" fontId="139" fillId="0" borderId="0" xfId="199" applyNumberFormat="1" applyFont="1"/>
    <xf numFmtId="174" fontId="80" fillId="0" borderId="0" xfId="1" applyNumberFormat="1" applyFont="1"/>
    <xf numFmtId="173" fontId="80" fillId="0" borderId="0" xfId="204" applyNumberFormat="1" applyFont="1"/>
    <xf numFmtId="0" fontId="80" fillId="6" borderId="0" xfId="204" applyFont="1" applyFill="1" applyAlignment="1">
      <alignment horizontal="left" indent="1"/>
    </xf>
    <xf numFmtId="173" fontId="80" fillId="0" borderId="0" xfId="199" applyNumberFormat="1" applyFont="1"/>
    <xf numFmtId="0" fontId="140" fillId="0" borderId="0" xfId="204" applyFont="1" applyAlignment="1"/>
    <xf numFmtId="0" fontId="124" fillId="0" borderId="0" xfId="204" applyFont="1" applyFill="1"/>
    <xf numFmtId="0" fontId="119" fillId="0" borderId="0" xfId="2" applyFont="1"/>
    <xf numFmtId="174" fontId="13" fillId="0" borderId="4" xfId="205" applyNumberFormat="1" applyFont="1" applyBorder="1"/>
    <xf numFmtId="0" fontId="141" fillId="0" borderId="0" xfId="204" applyFont="1"/>
    <xf numFmtId="3" fontId="134" fillId="0" borderId="0" xfId="204" applyNumberFormat="1" applyFont="1" applyAlignment="1"/>
    <xf numFmtId="172" fontId="13" fillId="0" borderId="0" xfId="0" applyFont="1" applyAlignment="1"/>
    <xf numFmtId="0" fontId="124" fillId="0" borderId="4" xfId="204" quotePrefix="1" applyFont="1" applyBorder="1" applyAlignment="1">
      <alignment horizontal="center"/>
    </xf>
    <xf numFmtId="7" fontId="13" fillId="6" borderId="0" xfId="206" applyNumberFormat="1" applyFont="1" applyFill="1" applyAlignment="1"/>
    <xf numFmtId="39" fontId="13" fillId="6" borderId="0" xfId="206" applyNumberFormat="1" applyFont="1" applyFill="1" applyAlignment="1"/>
    <xf numFmtId="0" fontId="80" fillId="0" borderId="0" xfId="204" quotePrefix="1" applyFont="1"/>
    <xf numFmtId="173" fontId="13" fillId="6" borderId="0" xfId="212" applyNumberFormat="1" applyFont="1" applyFill="1"/>
    <xf numFmtId="174" fontId="13" fillId="6" borderId="0" xfId="205" applyNumberFormat="1" applyFont="1" applyFill="1"/>
    <xf numFmtId="174" fontId="80" fillId="6" borderId="0" xfId="205" applyNumberFormat="1" applyFont="1" applyFill="1"/>
    <xf numFmtId="173" fontId="80" fillId="6" borderId="14" xfId="204" applyNumberFormat="1" applyFont="1" applyFill="1" applyBorder="1"/>
    <xf numFmtId="173" fontId="124" fillId="6" borderId="0" xfId="4" applyNumberFormat="1" applyFont="1" applyFill="1" applyBorder="1"/>
    <xf numFmtId="183" fontId="124"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173" fontId="22" fillId="6" borderId="0" xfId="264" applyNumberFormat="1" applyFont="1" applyFill="1" applyAlignment="1">
      <alignment vertical="center"/>
    </xf>
    <xf numFmtId="0" fontId="142" fillId="0" borderId="0" xfId="204" applyFont="1" applyFill="1" applyAlignment="1">
      <alignment horizontal="center" vertical="center"/>
    </xf>
    <xf numFmtId="0" fontId="142" fillId="0" borderId="0" xfId="204" applyFont="1" applyAlignment="1">
      <alignment horizontal="center" vertical="center"/>
    </xf>
    <xf numFmtId="174" fontId="22" fillId="6" borderId="0" xfId="1" applyNumberFormat="1" applyFont="1" applyFill="1" applyAlignment="1">
      <alignment vertical="center"/>
    </xf>
    <xf numFmtId="3" fontId="80" fillId="6" borderId="0" xfId="204" applyNumberFormat="1" applyFont="1" applyFill="1" applyAlignment="1">
      <alignment horizontal="center" vertical="center"/>
    </xf>
    <xf numFmtId="3" fontId="80" fillId="6" borderId="4" xfId="204" applyNumberFormat="1" applyFont="1" applyFill="1" applyBorder="1" applyAlignment="1">
      <alignment horizontal="center" vertical="center"/>
    </xf>
    <xf numFmtId="0" fontId="143" fillId="0" borderId="0" xfId="204" applyFont="1" applyAlignment="1">
      <alignment vertical="center"/>
    </xf>
    <xf numFmtId="37" fontId="13" fillId="0" borderId="0" xfId="2" applyNumberFormat="1" applyFont="1" applyFill="1"/>
    <xf numFmtId="37" fontId="29" fillId="6" borderId="14" xfId="3" applyNumberFormat="1" applyFont="1" applyFill="1" applyBorder="1"/>
    <xf numFmtId="37" fontId="29" fillId="6" borderId="13" xfId="3" applyNumberFormat="1" applyFont="1" applyFill="1" applyBorder="1"/>
    <xf numFmtId="174" fontId="29" fillId="6" borderId="13" xfId="3" quotePrefix="1" applyNumberFormat="1" applyFont="1" applyFill="1" applyBorder="1"/>
    <xf numFmtId="37" fontId="29" fillId="6" borderId="12" xfId="3" applyNumberFormat="1" applyFont="1" applyFill="1" applyBorder="1"/>
    <xf numFmtId="37" fontId="29" fillId="6" borderId="20" xfId="3" applyNumberFormat="1" applyFont="1" applyFill="1" applyBorder="1"/>
    <xf numFmtId="0" fontId="144" fillId="0" borderId="0" xfId="204" applyFont="1" applyAlignment="1">
      <alignment horizontal="center" vertical="center"/>
    </xf>
    <xf numFmtId="0" fontId="144" fillId="0" borderId="0" xfId="204" applyFont="1" applyFill="1" applyAlignment="1">
      <alignment horizontal="center" vertical="center"/>
    </xf>
    <xf numFmtId="172" fontId="145" fillId="0" borderId="0" xfId="0" quotePrefix="1" applyFont="1" applyAlignment="1"/>
    <xf numFmtId="4" fontId="13" fillId="6" borderId="4" xfId="0" applyNumberFormat="1" applyFont="1" applyFill="1" applyBorder="1" applyAlignment="1"/>
    <xf numFmtId="3" fontId="13" fillId="0" borderId="0" xfId="0" applyNumberFormat="1" applyFont="1" applyFill="1" applyBorder="1" applyAlignment="1" applyProtection="1">
      <protection locked="0"/>
    </xf>
    <xf numFmtId="3" fontId="13" fillId="0" borderId="1" xfId="0" applyNumberFormat="1" applyFont="1" applyFill="1" applyBorder="1" applyAlignment="1" applyProtection="1">
      <protection locked="0"/>
    </xf>
    <xf numFmtId="174" fontId="13" fillId="6" borderId="0" xfId="205" applyNumberFormat="1" applyFont="1" applyFill="1" applyBorder="1"/>
    <xf numFmtId="172" fontId="13" fillId="0" borderId="0" xfId="0" applyFont="1" applyAlignment="1"/>
    <xf numFmtId="172" fontId="13" fillId="0" borderId="0" xfId="0" applyFont="1" applyAlignment="1"/>
    <xf numFmtId="172" fontId="16" fillId="0" borderId="0" xfId="0" applyFont="1" applyBorder="1" applyAlignment="1"/>
    <xf numFmtId="0" fontId="135" fillId="0" borderId="50" xfId="263" applyFont="1" applyBorder="1" applyAlignment="1">
      <alignment horizontal="center" wrapText="1"/>
    </xf>
    <xf numFmtId="170" fontId="135" fillId="0" borderId="51" xfId="263" applyNumberFormat="1" applyFont="1" applyBorder="1" applyAlignment="1">
      <alignment horizontal="center" wrapText="1"/>
    </xf>
    <xf numFmtId="0" fontId="135" fillId="0" borderId="52" xfId="263" applyFont="1" applyFill="1" applyBorder="1" applyAlignment="1">
      <alignment horizontal="center" wrapText="1"/>
    </xf>
    <xf numFmtId="172" fontId="135" fillId="0" borderId="53" xfId="0" applyFont="1" applyBorder="1" applyAlignment="1">
      <alignment horizontal="left"/>
    </xf>
    <xf numFmtId="7" fontId="16" fillId="0" borderId="54" xfId="3" quotePrefix="1" applyNumberFormat="1" applyFont="1" applyFill="1" applyBorder="1" applyAlignment="1">
      <alignment horizontal="right"/>
    </xf>
    <xf numFmtId="43" fontId="16" fillId="0" borderId="54" xfId="3" quotePrefix="1" applyNumberFormat="1" applyFont="1" applyFill="1" applyBorder="1" applyAlignment="1">
      <alignment horizontal="center"/>
    </xf>
    <xf numFmtId="172" fontId="135" fillId="0" borderId="53" xfId="0" applyFont="1" applyFill="1" applyBorder="1" applyAlignment="1">
      <alignment horizontal="center"/>
    </xf>
    <xf numFmtId="7" fontId="16" fillId="0" borderId="54" xfId="3" applyNumberFormat="1" applyFont="1" applyBorder="1"/>
    <xf numFmtId="172" fontId="16" fillId="0" borderId="55" xfId="0" quotePrefix="1" applyFont="1" applyBorder="1" applyAlignment="1"/>
    <xf numFmtId="0" fontId="16" fillId="0" borderId="56" xfId="0" applyNumberFormat="1" applyFont="1" applyBorder="1"/>
    <xf numFmtId="172" fontId="16" fillId="0" borderId="57" xfId="0" quotePrefix="1" applyFont="1" applyBorder="1" applyAlignment="1"/>
    <xf numFmtId="172" fontId="16" fillId="0" borderId="58" xfId="0" applyFont="1" applyBorder="1" applyAlignment="1"/>
    <xf numFmtId="0" fontId="16" fillId="0" borderId="59" xfId="0" applyNumberFormat="1" applyFont="1" applyBorder="1"/>
    <xf numFmtId="0" fontId="13" fillId="0" borderId="0" xfId="0" applyNumberFormat="1" applyFont="1" applyFill="1" applyAlignment="1">
      <alignment horizontal="center"/>
    </xf>
    <xf numFmtId="0" fontId="13" fillId="0" borderId="4" xfId="0" applyNumberFormat="1" applyFont="1" applyFill="1" applyBorder="1" applyAlignment="1">
      <alignment horizontal="center" wrapText="1"/>
    </xf>
    <xf numFmtId="173" fontId="13" fillId="0" borderId="0" xfId="0" applyNumberFormat="1" applyFont="1" applyFill="1"/>
    <xf numFmtId="44" fontId="13" fillId="0" borderId="0" xfId="199" applyFont="1" applyFill="1" applyAlignment="1"/>
    <xf numFmtId="10" fontId="13" fillId="0" borderId="0" xfId="198" applyNumberFormat="1" applyFont="1" applyFill="1" applyAlignment="1">
      <alignment horizontal="center"/>
    </xf>
    <xf numFmtId="173" fontId="16" fillId="0" borderId="0" xfId="199" applyNumberFormat="1" applyFont="1" applyFill="1"/>
    <xf numFmtId="174" fontId="13" fillId="0" borderId="4" xfId="1" applyNumberFormat="1" applyFont="1" applyFill="1" applyBorder="1"/>
    <xf numFmtId="174" fontId="13" fillId="0" borderId="4" xfId="1" applyNumberFormat="1" applyFont="1" applyFill="1" applyBorder="1" applyAlignment="1"/>
    <xf numFmtId="10" fontId="13" fillId="0" borderId="4" xfId="198" applyNumberFormat="1" applyFont="1" applyFill="1" applyBorder="1" applyAlignment="1">
      <alignment horizontal="center"/>
    </xf>
    <xf numFmtId="174" fontId="16" fillId="0" borderId="4" xfId="1" applyNumberFormat="1" applyFont="1" applyFill="1" applyBorder="1"/>
    <xf numFmtId="173" fontId="13" fillId="0" borderId="9" xfId="0" applyNumberFormat="1" applyFont="1" applyFill="1" applyBorder="1"/>
    <xf numFmtId="173" fontId="16" fillId="0" borderId="0" xfId="199" applyNumberFormat="1" applyFont="1" applyFill="1" applyAlignment="1">
      <alignment horizontal="left"/>
    </xf>
    <xf numFmtId="172" fontId="13" fillId="0" borderId="0" xfId="0" quotePrefix="1" applyFont="1" applyFill="1" applyAlignment="1"/>
    <xf numFmtId="0" fontId="146" fillId="0" borderId="0" xfId="0" applyNumberFormat="1" applyFont="1" applyFill="1"/>
    <xf numFmtId="0" fontId="13" fillId="0" borderId="9" xfId="0" applyNumberFormat="1" applyFont="1" applyFill="1" applyBorder="1"/>
    <xf numFmtId="0" fontId="13" fillId="0" borderId="0" xfId="206" applyNumberFormat="1" applyFont="1" applyFill="1" applyAlignment="1">
      <alignment vertical="center"/>
    </xf>
    <xf numFmtId="0" fontId="81" fillId="0" borderId="0" xfId="204" applyFont="1" applyBorder="1" applyAlignment="1">
      <alignment horizontal="center" vertical="center" wrapText="1"/>
    </xf>
    <xf numFmtId="0" fontId="81" fillId="0" borderId="0" xfId="204" applyFont="1" applyFill="1" applyBorder="1" applyAlignment="1">
      <alignment vertical="center" wrapText="1"/>
    </xf>
    <xf numFmtId="0" fontId="81" fillId="0" borderId="4" xfId="204" applyFont="1" applyFill="1" applyBorder="1" applyAlignment="1">
      <alignment horizontal="center" wrapText="1"/>
    </xf>
    <xf numFmtId="1" fontId="80" fillId="0" borderId="0" xfId="204" applyNumberFormat="1" applyFont="1" applyFill="1" applyAlignment="1">
      <alignment horizontal="center" vertical="center"/>
    </xf>
    <xf numFmtId="173" fontId="80" fillId="0" borderId="0" xfId="199" applyNumberFormat="1" applyFont="1" applyFill="1" applyBorder="1" applyAlignment="1">
      <alignment horizontal="center" vertical="center" wrapText="1"/>
    </xf>
    <xf numFmtId="173" fontId="13" fillId="0" borderId="0" xfId="206" applyNumberFormat="1" applyFont="1" applyFill="1" applyAlignment="1">
      <alignment vertical="center"/>
    </xf>
    <xf numFmtId="174" fontId="80" fillId="0" borderId="0" xfId="1" applyNumberFormat="1" applyFont="1" applyFill="1" applyAlignment="1">
      <alignment horizontal="center" vertical="center"/>
    </xf>
    <xf numFmtId="174" fontId="80" fillId="0" borderId="0" xfId="1" applyNumberFormat="1" applyFont="1" applyFill="1" applyBorder="1" applyAlignment="1">
      <alignment horizontal="center" vertical="center"/>
    </xf>
    <xf numFmtId="173" fontId="147" fillId="0" borderId="0" xfId="206" applyNumberFormat="1" applyFont="1" applyFill="1" applyAlignment="1">
      <alignment vertical="center"/>
    </xf>
    <xf numFmtId="173" fontId="147" fillId="0" borderId="0" xfId="206" applyNumberFormat="1" applyFont="1" applyFill="1" applyBorder="1" applyAlignment="1">
      <alignment vertical="center"/>
    </xf>
    <xf numFmtId="173" fontId="16" fillId="0" borderId="0" xfId="0" applyNumberFormat="1" applyFont="1" applyAlignment="1"/>
    <xf numFmtId="173" fontId="16" fillId="0" borderId="2" xfId="0" applyNumberFormat="1" applyFont="1" applyBorder="1" applyAlignment="1"/>
    <xf numFmtId="173" fontId="16" fillId="0" borderId="0" xfId="0" applyNumberFormat="1" applyFont="1" applyFill="1" applyAlignment="1"/>
    <xf numFmtId="0" fontId="80" fillId="0" borderId="0" xfId="0" applyNumberFormat="1" applyFont="1"/>
    <xf numFmtId="0" fontId="80" fillId="0" borderId="0" xfId="0" applyNumberFormat="1" applyFont="1" applyAlignment="1">
      <alignment horizontal="left"/>
    </xf>
    <xf numFmtId="174" fontId="80" fillId="0" borderId="4" xfId="1" applyNumberFormat="1" applyFont="1" applyFill="1" applyBorder="1" applyAlignment="1">
      <alignment horizontal="center" vertical="center"/>
    </xf>
    <xf numFmtId="0" fontId="4"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172" fontId="13" fillId="0" borderId="0" xfId="0" quotePrefix="1" applyFont="1" applyAlignment="1">
      <alignment wrapText="1"/>
    </xf>
    <xf numFmtId="0" fontId="80" fillId="0" borderId="0" xfId="204" applyFont="1" applyAlignment="1">
      <alignment horizontal="center"/>
    </xf>
    <xf numFmtId="0" fontId="3" fillId="0" borderId="0" xfId="204" applyFont="1"/>
    <xf numFmtId="43" fontId="61" fillId="0" borderId="0" xfId="1" applyFont="1"/>
    <xf numFmtId="171" fontId="13" fillId="0" borderId="42" xfId="0" applyNumberFormat="1" applyFont="1" applyFill="1" applyBorder="1" applyAlignment="1"/>
    <xf numFmtId="3" fontId="13" fillId="0" borderId="0" xfId="0" applyNumberFormat="1" applyFont="1" applyFill="1" applyAlignment="1"/>
    <xf numFmtId="172" fontId="13" fillId="0" borderId="0" xfId="0" applyFont="1" applyFill="1" applyAlignment="1"/>
    <xf numFmtId="0" fontId="68" fillId="0" borderId="0" xfId="322" applyFont="1" applyAlignment="1">
      <alignment vertical="center"/>
    </xf>
    <xf numFmtId="173" fontId="68" fillId="0" borderId="0" xfId="381" applyNumberFormat="1" applyFont="1" applyAlignment="1">
      <alignment vertical="center"/>
    </xf>
    <xf numFmtId="0" fontId="68" fillId="0" borderId="0" xfId="322" applyFont="1" applyAlignment="1">
      <alignment horizontal="right" vertical="center"/>
    </xf>
    <xf numFmtId="3" fontId="13" fillId="0" borderId="0" xfId="0" applyNumberFormat="1" applyFont="1" applyAlignment="1">
      <alignment horizontal="right"/>
    </xf>
    <xf numFmtId="172" fontId="13" fillId="0" borderId="0" xfId="0" applyFont="1" applyAlignment="1"/>
    <xf numFmtId="172" fontId="13" fillId="0" borderId="0" xfId="0" applyFont="1" applyAlignment="1">
      <alignment horizontal="center"/>
    </xf>
    <xf numFmtId="0" fontId="68" fillId="0" borderId="0" xfId="262" quotePrefix="1" applyFont="1" applyAlignment="1">
      <alignment vertical="center"/>
    </xf>
    <xf numFmtId="0" fontId="1" fillId="0" borderId="0" xfId="204" applyFont="1" applyAlignment="1">
      <alignment vertical="center"/>
    </xf>
    <xf numFmtId="37" fontId="10" fillId="0" borderId="4" xfId="204" applyNumberFormat="1" applyBorder="1" applyAlignment="1">
      <alignment vertical="center"/>
    </xf>
    <xf numFmtId="0" fontId="142" fillId="0" borderId="0" xfId="204" applyFont="1" applyAlignment="1">
      <alignment horizontal="left" vertical="center"/>
    </xf>
    <xf numFmtId="0" fontId="10" fillId="0" borderId="0" xfId="204" applyAlignment="1">
      <alignment horizontal="center" vertical="center"/>
    </xf>
    <xf numFmtId="171" fontId="13" fillId="2" borderId="0" xfId="0" applyNumberFormat="1" applyFont="1" applyFill="1" applyProtection="1">
      <protection locked="0"/>
    </xf>
    <xf numFmtId="171" fontId="13" fillId="0" borderId="0" xfId="0" applyNumberFormat="1" applyFont="1" applyProtection="1">
      <protection locked="0"/>
    </xf>
    <xf numFmtId="10" fontId="13" fillId="2" borderId="0" xfId="0" applyNumberFormat="1" applyFont="1" applyFill="1" applyAlignment="1"/>
    <xf numFmtId="172" fontId="13" fillId="0" borderId="0" xfId="0" applyFont="1" applyAlignment="1"/>
    <xf numFmtId="37" fontId="13" fillId="0" borderId="0" xfId="198" applyNumberFormat="1" applyFont="1" applyFill="1" applyAlignment="1"/>
    <xf numFmtId="182" fontId="16" fillId="0" borderId="29" xfId="198" applyNumberFormat="1" applyFont="1" applyBorder="1" applyAlignment="1"/>
    <xf numFmtId="182" fontId="0" fillId="0" borderId="0" xfId="198" applyNumberFormat="1" applyFont="1" applyAlignment="1"/>
    <xf numFmtId="172" fontId="13" fillId="0" borderId="0" xfId="0" applyFont="1" applyAlignment="1"/>
    <xf numFmtId="172" fontId="13" fillId="0" borderId="0" xfId="0" quotePrefix="1" applyFont="1" applyAlignment="1">
      <alignment wrapText="1"/>
    </xf>
    <xf numFmtId="0" fontId="13" fillId="0" borderId="0" xfId="0" applyNumberFormat="1" applyFont="1" applyAlignment="1">
      <alignment horizontal="center"/>
    </xf>
    <xf numFmtId="0" fontId="1" fillId="0" borderId="0" xfId="204" applyFont="1" applyAlignment="1">
      <alignment horizontal="right" vertical="center"/>
    </xf>
    <xf numFmtId="172" fontId="13" fillId="0" borderId="0" xfId="0" applyFont="1" applyAlignment="1"/>
    <xf numFmtId="172" fontId="13" fillId="0" borderId="0" xfId="0" applyFont="1" applyAlignment="1">
      <alignment horizontal="center"/>
    </xf>
    <xf numFmtId="0" fontId="80" fillId="0" borderId="0" xfId="147" applyFont="1" applyAlignment="1">
      <alignment horizontal="center"/>
    </xf>
    <xf numFmtId="172" fontId="13" fillId="0" borderId="4" xfId="0" applyFont="1" applyBorder="1" applyAlignment="1">
      <alignment horizontal="center"/>
    </xf>
    <xf numFmtId="172" fontId="13" fillId="0" borderId="0" xfId="0" applyFont="1" applyAlignment="1"/>
    <xf numFmtId="0" fontId="13" fillId="0" borderId="0" xfId="0" applyNumberFormat="1" applyFont="1" applyAlignment="1">
      <alignment horizontal="center"/>
    </xf>
    <xf numFmtId="44" fontId="80" fillId="0" borderId="0" xfId="199" applyFont="1"/>
    <xf numFmtId="44" fontId="80" fillId="0" borderId="29" xfId="199" applyFont="1" applyBorder="1"/>
    <xf numFmtId="0" fontId="68" fillId="0" borderId="0" xfId="0" applyNumberFormat="1" applyFont="1"/>
    <xf numFmtId="0" fontId="16" fillId="0" borderId="0" xfId="0" applyNumberFormat="1" applyFont="1"/>
    <xf numFmtId="0" fontId="16"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Border="1" applyAlignment="1"/>
    <xf numFmtId="0" fontId="16" fillId="0" borderId="0" xfId="485" applyFont="1" applyBorder="1" applyAlignment="1">
      <alignment horizontal="left"/>
    </xf>
    <xf numFmtId="0" fontId="16" fillId="0" borderId="0" xfId="0" applyNumberFormat="1" applyFont="1" applyFill="1" applyBorder="1" applyAlignment="1">
      <alignment horizontal="center"/>
    </xf>
    <xf numFmtId="42" fontId="13" fillId="6" borderId="0" xfId="1" applyNumberFormat="1" applyFont="1" applyFill="1" applyAlignment="1"/>
    <xf numFmtId="42" fontId="13" fillId="0" borderId="0" xfId="1" applyNumberFormat="1" applyFont="1" applyFill="1" applyAlignment="1"/>
    <xf numFmtId="174" fontId="13" fillId="6" borderId="0" xfId="1" applyNumberFormat="1" applyFont="1" applyFill="1" applyAlignment="1"/>
    <xf numFmtId="174" fontId="13" fillId="0" borderId="0" xfId="1" applyNumberFormat="1" applyFont="1" applyFill="1" applyAlignment="1"/>
    <xf numFmtId="42" fontId="13" fillId="6" borderId="0" xfId="1" applyNumberFormat="1" applyFont="1" applyFill="1"/>
    <xf numFmtId="42" fontId="13" fillId="0" borderId="0" xfId="1" applyNumberFormat="1" applyFont="1"/>
    <xf numFmtId="42" fontId="13" fillId="0" borderId="0" xfId="0" applyNumberFormat="1" applyFont="1"/>
    <xf numFmtId="42" fontId="13" fillId="0" borderId="2" xfId="0" applyNumberFormat="1" applyFont="1" applyFill="1" applyBorder="1" applyAlignment="1">
      <alignment horizontal="right"/>
    </xf>
    <xf numFmtId="0" fontId="13" fillId="0" borderId="0" xfId="485" applyFont="1" applyAlignment="1">
      <alignment horizontal="center"/>
    </xf>
    <xf numFmtId="42" fontId="13" fillId="0" borderId="9" xfId="1" applyNumberFormat="1" applyFont="1" applyFill="1" applyBorder="1" applyAlignment="1"/>
    <xf numFmtId="3" fontId="13" fillId="0" borderId="28" xfId="0" applyNumberFormat="1" applyFont="1" applyFill="1" applyBorder="1"/>
    <xf numFmtId="42" fontId="13" fillId="0" borderId="0" xfId="1" applyNumberFormat="1" applyFont="1" applyFill="1" applyAlignment="1">
      <alignment horizontal="right"/>
    </xf>
    <xf numFmtId="174" fontId="13" fillId="0" borderId="0" xfId="1" applyNumberFormat="1" applyFont="1" applyFill="1" applyAlignment="1">
      <alignment horizontal="right"/>
    </xf>
    <xf numFmtId="42" fontId="13" fillId="0" borderId="0" xfId="0" applyNumberFormat="1" applyFont="1" applyFill="1" applyAlignment="1"/>
    <xf numFmtId="0" fontId="13" fillId="0" borderId="0" xfId="0" applyNumberFormat="1" applyFont="1" applyFill="1" applyAlignment="1">
      <alignment horizontal="right"/>
    </xf>
    <xf numFmtId="174" fontId="13" fillId="0" borderId="0" xfId="1" applyNumberFormat="1" applyFont="1" applyFill="1" applyBorder="1"/>
    <xf numFmtId="177" fontId="13" fillId="0" borderId="0" xfId="1" applyNumberFormat="1" applyFont="1" applyFill="1" applyBorder="1"/>
    <xf numFmtId="174" fontId="13" fillId="0" borderId="9" xfId="1" applyNumberFormat="1" applyFont="1" applyFill="1" applyBorder="1"/>
    <xf numFmtId="173" fontId="13" fillId="0" borderId="2" xfId="199" applyNumberFormat="1" applyFont="1" applyFill="1" applyBorder="1" applyAlignment="1"/>
    <xf numFmtId="173" fontId="13" fillId="0" borderId="2" xfId="0" applyNumberFormat="1" applyFont="1" applyFill="1" applyBorder="1" applyAlignment="1"/>
    <xf numFmtId="42" fontId="13" fillId="0" borderId="9" xfId="0" applyNumberFormat="1" applyFont="1" applyBorder="1"/>
    <xf numFmtId="42" fontId="13" fillId="0" borderId="0" xfId="1" applyNumberFormat="1" applyFont="1" applyFill="1"/>
    <xf numFmtId="1" fontId="13" fillId="0" borderId="0" xfId="0" applyNumberFormat="1" applyFont="1" applyFill="1" applyAlignment="1"/>
    <xf numFmtId="173" fontId="16" fillId="0" borderId="2" xfId="0" applyNumberFormat="1" applyFont="1" applyFill="1" applyBorder="1" applyAlignment="1"/>
    <xf numFmtId="0" fontId="13" fillId="0" borderId="0" xfId="485" applyFont="1" applyFill="1" applyBorder="1" applyAlignment="1">
      <alignment horizontal="center"/>
    </xf>
    <xf numFmtId="0" fontId="13" fillId="0" borderId="0" xfId="0" applyNumberFormat="1" applyFont="1" applyFill="1" applyBorder="1" applyAlignment="1">
      <alignment horizontal="center"/>
    </xf>
    <xf numFmtId="0" fontId="153" fillId="0" borderId="0" xfId="0" applyNumberFormat="1" applyFont="1" applyFill="1" applyBorder="1" applyAlignment="1">
      <alignment horizontal="center"/>
    </xf>
    <xf numFmtId="174" fontId="13" fillId="0" borderId="0" xfId="1" applyNumberFormat="1" applyFont="1" applyFill="1"/>
    <xf numFmtId="184" fontId="13" fillId="0" borderId="0" xfId="199" applyNumberFormat="1" applyFont="1" applyFill="1"/>
    <xf numFmtId="182" fontId="13" fillId="0" borderId="0" xfId="198" applyNumberFormat="1" applyFont="1" applyFill="1" applyAlignment="1"/>
    <xf numFmtId="0" fontId="81" fillId="0" borderId="0" xfId="147" applyFont="1" applyAlignment="1"/>
    <xf numFmtId="0" fontId="81" fillId="0" borderId="0" xfId="147" applyFont="1" applyFill="1" applyAlignment="1"/>
    <xf numFmtId="0" fontId="81" fillId="0" borderId="0" xfId="204" applyFont="1" applyBorder="1" applyAlignment="1">
      <alignment vertical="center"/>
    </xf>
    <xf numFmtId="0" fontId="81" fillId="0" borderId="0" xfId="204" applyFont="1" applyAlignment="1">
      <alignment horizontal="center" vertical="center"/>
    </xf>
    <xf numFmtId="3" fontId="80" fillId="0" borderId="0" xfId="204" applyNumberFormat="1" applyFont="1" applyAlignment="1">
      <alignment horizontal="center" vertical="center"/>
    </xf>
    <xf numFmtId="37" fontId="81" fillId="0" borderId="2" xfId="204" applyNumberFormat="1" applyFont="1" applyBorder="1" applyAlignment="1">
      <alignment horizontal="center" vertical="center"/>
    </xf>
    <xf numFmtId="3" fontId="129" fillId="0" borderId="0" xfId="204" applyNumberFormat="1" applyFont="1" applyAlignment="1">
      <alignment horizontal="center" vertical="center"/>
    </xf>
    <xf numFmtId="0" fontId="143" fillId="0" borderId="4" xfId="204" applyFont="1" applyBorder="1" applyAlignment="1">
      <alignment horizontal="center"/>
    </xf>
    <xf numFmtId="0" fontId="13" fillId="0" borderId="0" xfId="139" applyNumberFormat="1" applyFont="1" applyFill="1" applyAlignment="1">
      <alignment horizontal="right"/>
    </xf>
    <xf numFmtId="0" fontId="13" fillId="0" borderId="0" xfId="0" applyNumberFormat="1" applyFont="1" applyFill="1" applyAlignment="1" applyProtection="1">
      <alignment vertical="top" wrapText="1"/>
      <protection locked="0"/>
    </xf>
    <xf numFmtId="0" fontId="13" fillId="0" borderId="0" xfId="0" applyNumberFormat="1" applyFont="1" applyAlignment="1" applyProtection="1">
      <alignment vertical="top" wrapText="1"/>
      <protection locked="0"/>
    </xf>
    <xf numFmtId="0" fontId="13" fillId="0" borderId="0" xfId="0" applyNumberFormat="1" applyFont="1" applyFill="1" applyAlignment="1">
      <alignment vertical="top" wrapText="1"/>
    </xf>
    <xf numFmtId="0" fontId="16" fillId="0" borderId="47" xfId="0" applyNumberFormat="1" applyFont="1" applyBorder="1" applyAlignment="1">
      <alignment horizontal="center"/>
    </xf>
    <xf numFmtId="0" fontId="16" fillId="0" borderId="48" xfId="0" applyNumberFormat="1" applyFont="1" applyBorder="1" applyAlignment="1">
      <alignment horizontal="center"/>
    </xf>
    <xf numFmtId="0" fontId="16" fillId="0" borderId="49" xfId="0" applyNumberFormat="1" applyFont="1" applyBorder="1" applyAlignment="1">
      <alignment horizontal="center"/>
    </xf>
    <xf numFmtId="0" fontId="13" fillId="0" borderId="8" xfId="0" applyNumberFormat="1" applyFont="1" applyBorder="1" applyAlignment="1">
      <alignment horizontal="center"/>
    </xf>
    <xf numFmtId="0" fontId="13" fillId="0" borderId="9" xfId="0" applyNumberFormat="1" applyFont="1" applyBorder="1" applyAlignment="1">
      <alignment horizontal="center"/>
    </xf>
    <xf numFmtId="0" fontId="13" fillId="0" borderId="10" xfId="0" applyNumberFormat="1" applyFont="1" applyBorder="1" applyAlignment="1">
      <alignment horizontal="center"/>
    </xf>
    <xf numFmtId="3" fontId="13" fillId="0" borderId="0" xfId="0" applyNumberFormat="1" applyFont="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2" fillId="0" borderId="0" xfId="0" applyFont="1" applyFill="1" applyBorder="1" applyAlignment="1">
      <alignment horizontal="left" vertical="top" wrapText="1"/>
    </xf>
    <xf numFmtId="172" fontId="22" fillId="0" borderId="0" xfId="0" applyFont="1" applyFill="1" applyBorder="1" applyAlignment="1">
      <alignment horizontal="left" wrapText="1"/>
    </xf>
    <xf numFmtId="172" fontId="22" fillId="0" borderId="0" xfId="0" applyFont="1" applyFill="1" applyBorder="1" applyAlignment="1">
      <alignment horizontal="left"/>
    </xf>
    <xf numFmtId="172" fontId="0" fillId="0" borderId="0" xfId="0" applyFill="1" applyBorder="1" applyAlignment="1">
      <alignment horizontal="left"/>
    </xf>
    <xf numFmtId="172" fontId="13" fillId="0" borderId="42" xfId="0" applyFont="1" applyBorder="1" applyAlignment="1">
      <alignment horizontal="center"/>
    </xf>
    <xf numFmtId="172" fontId="13" fillId="0" borderId="0" xfId="0" applyFont="1" applyAlignment="1">
      <alignment horizontal="center"/>
    </xf>
    <xf numFmtId="0" fontId="81" fillId="0" borderId="0" xfId="147" applyFont="1" applyAlignment="1">
      <alignment horizontal="center"/>
    </xf>
    <xf numFmtId="172" fontId="16" fillId="0" borderId="0" xfId="0" applyFont="1" applyAlignment="1">
      <alignment horizontal="center"/>
    </xf>
    <xf numFmtId="172" fontId="120" fillId="0" borderId="0" xfId="0" applyFont="1" applyAlignment="1">
      <alignment horizontal="center"/>
    </xf>
    <xf numFmtId="172" fontId="13" fillId="0" borderId="4" xfId="0" applyFont="1" applyBorder="1" applyAlignment="1">
      <alignment horizontal="center"/>
    </xf>
    <xf numFmtId="172" fontId="13" fillId="0" borderId="0" xfId="0" applyFont="1" applyFill="1" applyAlignment="1">
      <alignment horizontal="left" wrapText="1"/>
    </xf>
    <xf numFmtId="172" fontId="13" fillId="0" borderId="0" xfId="0" applyFont="1" applyFill="1" applyAlignment="1">
      <alignment wrapText="1"/>
    </xf>
    <xf numFmtId="0" fontId="13" fillId="0" borderId="0" xfId="139" applyNumberFormat="1" applyFont="1" applyFill="1" applyAlignment="1"/>
    <xf numFmtId="0" fontId="80" fillId="0" borderId="0" xfId="147" applyFont="1" applyAlignment="1">
      <alignment horizontal="center"/>
    </xf>
    <xf numFmtId="172" fontId="13" fillId="0" borderId="0" xfId="0" applyFont="1" applyAlignment="1"/>
    <xf numFmtId="172" fontId="16" fillId="0" borderId="4" xfId="0" applyFont="1" applyBorder="1" applyAlignment="1">
      <alignment horizontal="center"/>
    </xf>
    <xf numFmtId="172" fontId="13" fillId="0" borderId="0" xfId="0" quotePrefix="1" applyFont="1" applyAlignment="1">
      <alignment horizontal="left" wrapText="1"/>
    </xf>
    <xf numFmtId="172" fontId="13" fillId="0" borderId="0" xfId="0" applyFont="1" applyAlignment="1">
      <alignment wrapText="1"/>
    </xf>
    <xf numFmtId="172" fontId="137" fillId="0" borderId="0" xfId="265" quotePrefix="1" applyNumberFormat="1" applyFont="1" applyAlignment="1" applyProtection="1"/>
    <xf numFmtId="172" fontId="13" fillId="0" borderId="0" xfId="0" applyFont="1" applyBorder="1" applyAlignment="1">
      <alignment horizontal="center"/>
    </xf>
    <xf numFmtId="0" fontId="13" fillId="0" borderId="0" xfId="0" applyNumberFormat="1" applyFont="1" applyAlignment="1">
      <alignment horizontal="center"/>
    </xf>
    <xf numFmtId="0" fontId="81" fillId="0" borderId="4" xfId="204" applyFont="1" applyBorder="1" applyAlignment="1">
      <alignment horizontal="center" vertical="center" wrapText="1"/>
    </xf>
    <xf numFmtId="0" fontId="24" fillId="0" borderId="0" xfId="2" applyFont="1" applyAlignment="1">
      <alignment horizontal="center"/>
    </xf>
    <xf numFmtId="0" fontId="26" fillId="0" borderId="0" xfId="2" applyFont="1" applyAlignment="1">
      <alignment horizontal="center"/>
    </xf>
    <xf numFmtId="14" fontId="24" fillId="0" borderId="0" xfId="2" applyNumberFormat="1" applyFont="1" applyAlignment="1">
      <alignment horizontal="center"/>
    </xf>
    <xf numFmtId="0" fontId="27" fillId="0" borderId="4" xfId="2" applyFont="1" applyBorder="1" applyAlignment="1">
      <alignment horizontal="center"/>
    </xf>
    <xf numFmtId="0" fontId="27" fillId="0" borderId="4" xfId="2" applyFont="1" applyFill="1" applyBorder="1" applyAlignment="1">
      <alignment horizontal="center"/>
    </xf>
    <xf numFmtId="0" fontId="65" fillId="0" borderId="4" xfId="2" applyFont="1" applyBorder="1" applyAlignment="1">
      <alignment horizontal="center"/>
    </xf>
    <xf numFmtId="0" fontId="64" fillId="0" borderId="0" xfId="2" applyFont="1" applyAlignment="1">
      <alignment horizontal="center"/>
    </xf>
    <xf numFmtId="0" fontId="62" fillId="0" borderId="0" xfId="2" applyFont="1" applyAlignment="1">
      <alignment horizontal="center"/>
    </xf>
    <xf numFmtId="14" fontId="64" fillId="0" borderId="0" xfId="2" applyNumberFormat="1" applyFont="1" applyAlignment="1">
      <alignment horizontal="center"/>
    </xf>
    <xf numFmtId="0" fontId="87" fillId="0" borderId="0" xfId="2" applyFont="1" applyAlignment="1">
      <alignment horizontal="center"/>
    </xf>
    <xf numFmtId="14" fontId="87" fillId="0" borderId="0" xfId="2" applyNumberFormat="1" applyFont="1" applyAlignment="1">
      <alignment horizontal="center"/>
    </xf>
    <xf numFmtId="0" fontId="23" fillId="0" borderId="8" xfId="2" applyFill="1" applyBorder="1" applyAlignment="1">
      <alignment horizontal="left"/>
    </xf>
    <xf numFmtId="0" fontId="23" fillId="0" borderId="9" xfId="2" applyFill="1" applyBorder="1" applyAlignment="1">
      <alignment horizontal="left"/>
    </xf>
    <xf numFmtId="0" fontId="28" fillId="0" borderId="4" xfId="2" applyFont="1" applyBorder="1" applyAlignment="1">
      <alignment horizontal="center"/>
    </xf>
    <xf numFmtId="0" fontId="81" fillId="0" borderId="0" xfId="204" applyFont="1" applyAlignment="1">
      <alignment horizontal="center" vertical="center"/>
    </xf>
    <xf numFmtId="0" fontId="81" fillId="0" borderId="4" xfId="204" applyFont="1" applyBorder="1" applyAlignment="1">
      <alignment horizontal="center" vertical="center"/>
    </xf>
    <xf numFmtId="0" fontId="72" fillId="0" borderId="0" xfId="204" applyFont="1" applyAlignment="1">
      <alignment horizontal="center" vertical="center"/>
    </xf>
    <xf numFmtId="0" fontId="83" fillId="0" borderId="0" xfId="204" applyFont="1" applyAlignment="1">
      <alignment horizontal="center"/>
    </xf>
    <xf numFmtId="0" fontId="80" fillId="0" borderId="0" xfId="211" applyFont="1" applyAlignment="1">
      <alignment horizontal="center"/>
    </xf>
    <xf numFmtId="0" fontId="81" fillId="0" borderId="0" xfId="211" applyFont="1" applyAlignment="1">
      <alignment horizontal="center"/>
    </xf>
    <xf numFmtId="14" fontId="81" fillId="0" borderId="0" xfId="211" applyNumberFormat="1" applyFont="1" applyAlignment="1">
      <alignment horizontal="center"/>
    </xf>
    <xf numFmtId="0" fontId="80" fillId="0" borderId="0" xfId="204" applyFont="1" applyAlignment="1">
      <alignment horizontal="center"/>
    </xf>
    <xf numFmtId="0" fontId="81" fillId="0" borderId="0" xfId="204" applyFont="1" applyAlignment="1">
      <alignment horizontal="center"/>
    </xf>
    <xf numFmtId="0" fontId="80" fillId="0" borderId="4" xfId="204" applyFont="1" applyBorder="1" applyAlignment="1">
      <alignment horizontal="center"/>
    </xf>
    <xf numFmtId="0" fontId="80" fillId="0" borderId="0" xfId="204" quotePrefix="1" applyFont="1" applyAlignment="1">
      <alignment horizontal="left" wrapText="1"/>
    </xf>
  </cellXfs>
  <cellStyles count="486">
    <cellStyle name="20% - Accent1" xfId="232" builtinId="30" customBuiltin="1"/>
    <cellStyle name="20% - Accent1 2" xfId="334"/>
    <cellStyle name="20% - Accent1 2 2" xfId="406"/>
    <cellStyle name="20% - Accent1 2 2 2" xfId="468"/>
    <cellStyle name="20% - Accent1 2 3" xfId="437"/>
    <cellStyle name="20% - Accent1 3" xfId="387"/>
    <cellStyle name="20% - Accent1 3 2" xfId="450"/>
    <cellStyle name="20% - Accent1 4" xfId="419"/>
    <cellStyle name="20% - Accent1 5" xfId="308"/>
    <cellStyle name="20% - Accent2" xfId="236" builtinId="34" customBuiltin="1"/>
    <cellStyle name="20% - Accent2 2" xfId="336"/>
    <cellStyle name="20% - Accent2 2 2" xfId="408"/>
    <cellStyle name="20% - Accent2 2 2 2" xfId="470"/>
    <cellStyle name="20% - Accent2 2 3" xfId="439"/>
    <cellStyle name="20% - Accent2 3" xfId="389"/>
    <cellStyle name="20% - Accent2 3 2" xfId="452"/>
    <cellStyle name="20% - Accent2 4" xfId="421"/>
    <cellStyle name="20% - Accent2 5" xfId="310"/>
    <cellStyle name="20% - Accent3" xfId="240" builtinId="38" customBuiltin="1"/>
    <cellStyle name="20% - Accent3 2" xfId="338"/>
    <cellStyle name="20% - Accent3 2 2" xfId="410"/>
    <cellStyle name="20% - Accent3 2 2 2" xfId="472"/>
    <cellStyle name="20% - Accent3 2 3" xfId="441"/>
    <cellStyle name="20% - Accent3 3" xfId="391"/>
    <cellStyle name="20% - Accent3 3 2" xfId="454"/>
    <cellStyle name="20% - Accent3 4" xfId="423"/>
    <cellStyle name="20% - Accent3 5" xfId="312"/>
    <cellStyle name="20% - Accent4" xfId="244" builtinId="42" customBuiltin="1"/>
    <cellStyle name="20% - Accent4 2" xfId="340"/>
    <cellStyle name="20% - Accent4 2 2" xfId="412"/>
    <cellStyle name="20% - Accent4 2 2 2" xfId="474"/>
    <cellStyle name="20% - Accent4 2 3" xfId="443"/>
    <cellStyle name="20% - Accent4 3" xfId="393"/>
    <cellStyle name="20% - Accent4 3 2" xfId="456"/>
    <cellStyle name="20% - Accent4 4" xfId="425"/>
    <cellStyle name="20% - Accent4 5" xfId="314"/>
    <cellStyle name="20% - Accent5" xfId="248" builtinId="46" customBuiltin="1"/>
    <cellStyle name="20% - Accent5 2" xfId="342"/>
    <cellStyle name="20% - Accent5 2 2" xfId="414"/>
    <cellStyle name="20% - Accent5 2 2 2" xfId="476"/>
    <cellStyle name="20% - Accent5 2 3" xfId="445"/>
    <cellStyle name="20% - Accent5 3" xfId="395"/>
    <cellStyle name="20% - Accent5 3 2" xfId="458"/>
    <cellStyle name="20% - Accent5 4" xfId="427"/>
    <cellStyle name="20% - Accent5 5" xfId="316"/>
    <cellStyle name="20% - Accent6" xfId="252" builtinId="50" customBuiltin="1"/>
    <cellStyle name="20% - Accent6 2" xfId="344"/>
    <cellStyle name="20% - Accent6 2 2" xfId="416"/>
    <cellStyle name="20% - Accent6 2 2 2" xfId="478"/>
    <cellStyle name="20% - Accent6 2 3" xfId="447"/>
    <cellStyle name="20% - Accent6 3" xfId="397"/>
    <cellStyle name="20% - Accent6 3 2" xfId="460"/>
    <cellStyle name="20% - Accent6 4" xfId="429"/>
    <cellStyle name="20% - Accent6 5" xfId="318"/>
    <cellStyle name="40% - Accent1" xfId="233" builtinId="31" customBuiltin="1"/>
    <cellStyle name="40% - Accent1 2" xfId="335"/>
    <cellStyle name="40% - Accent1 2 2" xfId="407"/>
    <cellStyle name="40% - Accent1 2 2 2" xfId="469"/>
    <cellStyle name="40% - Accent1 2 3" xfId="438"/>
    <cellStyle name="40% - Accent1 3" xfId="388"/>
    <cellStyle name="40% - Accent1 3 2" xfId="451"/>
    <cellStyle name="40% - Accent1 4" xfId="420"/>
    <cellStyle name="40% - Accent1 5" xfId="309"/>
    <cellStyle name="40% - Accent2" xfId="237" builtinId="35" customBuiltin="1"/>
    <cellStyle name="40% - Accent2 2" xfId="337"/>
    <cellStyle name="40% - Accent2 2 2" xfId="409"/>
    <cellStyle name="40% - Accent2 2 2 2" xfId="471"/>
    <cellStyle name="40% - Accent2 2 3" xfId="440"/>
    <cellStyle name="40% - Accent2 3" xfId="390"/>
    <cellStyle name="40% - Accent2 3 2" xfId="453"/>
    <cellStyle name="40% - Accent2 4" xfId="422"/>
    <cellStyle name="40% - Accent2 5" xfId="311"/>
    <cellStyle name="40% - Accent3" xfId="241" builtinId="39" customBuiltin="1"/>
    <cellStyle name="40% - Accent3 2" xfId="339"/>
    <cellStyle name="40% - Accent3 2 2" xfId="411"/>
    <cellStyle name="40% - Accent3 2 2 2" xfId="473"/>
    <cellStyle name="40% - Accent3 2 3" xfId="442"/>
    <cellStyle name="40% - Accent3 3" xfId="392"/>
    <cellStyle name="40% - Accent3 3 2" xfId="455"/>
    <cellStyle name="40% - Accent3 4" xfId="424"/>
    <cellStyle name="40% - Accent3 5" xfId="313"/>
    <cellStyle name="40% - Accent4" xfId="245" builtinId="43" customBuiltin="1"/>
    <cellStyle name="40% - Accent4 2" xfId="341"/>
    <cellStyle name="40% - Accent4 2 2" xfId="413"/>
    <cellStyle name="40% - Accent4 2 2 2" xfId="475"/>
    <cellStyle name="40% - Accent4 2 3" xfId="444"/>
    <cellStyle name="40% - Accent4 3" xfId="394"/>
    <cellStyle name="40% - Accent4 3 2" xfId="457"/>
    <cellStyle name="40% - Accent4 4" xfId="426"/>
    <cellStyle name="40% - Accent4 5" xfId="315"/>
    <cellStyle name="40% - Accent5" xfId="249" builtinId="47" customBuiltin="1"/>
    <cellStyle name="40% - Accent5 2" xfId="343"/>
    <cellStyle name="40% - Accent5 2 2" xfId="415"/>
    <cellStyle name="40% - Accent5 2 2 2" xfId="477"/>
    <cellStyle name="40% - Accent5 2 3" xfId="446"/>
    <cellStyle name="40% - Accent5 3" xfId="396"/>
    <cellStyle name="40% - Accent5 3 2" xfId="459"/>
    <cellStyle name="40% - Accent5 4" xfId="428"/>
    <cellStyle name="40% - Accent5 5" xfId="317"/>
    <cellStyle name="40% - Accent6" xfId="253" builtinId="51" customBuiltin="1"/>
    <cellStyle name="40% - Accent6 2" xfId="345"/>
    <cellStyle name="40% - Accent6 2 2" xfId="417"/>
    <cellStyle name="40% - Accent6 2 2 2" xfId="479"/>
    <cellStyle name="40% - Accent6 2 3" xfId="448"/>
    <cellStyle name="40% - Accent6 3" xfId="398"/>
    <cellStyle name="40% - Accent6 3 2" xfId="461"/>
    <cellStyle name="40% - Accent6 4" xfId="430"/>
    <cellStyle name="40% - Accent6 5" xfId="319"/>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3" xfId="433"/>
    <cellStyle name="Comma 91" xfId="333"/>
    <cellStyle name="Comma 91 2" xfId="405"/>
    <cellStyle name="Comma 91 2 2" xfId="467"/>
    <cellStyle name="Comma 91 3" xfId="436"/>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3" xfId="418"/>
    <cellStyle name="Normal 12 4" xfId="307"/>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3" xfId="432"/>
    <cellStyle name="Normal 19" xfId="331"/>
    <cellStyle name="Normal 19 2" xfId="403"/>
    <cellStyle name="Normal 19 2 2" xfId="465"/>
    <cellStyle name="Normal 19 3" xfId="434"/>
    <cellStyle name="Normal 2" xfId="2"/>
    <cellStyle name="Normal 2 2" xfId="6"/>
    <cellStyle name="Normal 2 2 2" xfId="326"/>
    <cellStyle name="Normal 20" xfId="480"/>
    <cellStyle name="Normal 21" xfId="481"/>
    <cellStyle name="Normal 22" xfId="482"/>
    <cellStyle name="Normal 23" xfId="483"/>
    <cellStyle name="Normal 24" xfId="484"/>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0112 No Link Exp" xfId="485"/>
    <cellStyle name="Normal_Debt Service" xfId="208"/>
    <cellStyle name="Normal_GRE_Rate_Zones_Allocation_11042004" xfId="263"/>
    <cellStyle name="Note 2" xfId="257"/>
    <cellStyle name="Note 2 2" xfId="399"/>
    <cellStyle name="Note 2 2 2" xfId="462"/>
    <cellStyle name="Note 2 3" xfId="431"/>
    <cellStyle name="Note 2 4" xfId="320"/>
    <cellStyle name="Note 3" xfId="332"/>
    <cellStyle name="Note 3 2" xfId="404"/>
    <cellStyle name="Note 3 2 2" xfId="466"/>
    <cellStyle name="Note 3 3" xfId="435"/>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8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zoomScaleNormal="100" workbookViewId="0">
      <selection activeCell="E2" sqref="E2"/>
    </sheetView>
  </sheetViews>
  <sheetFormatPr defaultColWidth="8.88671875" defaultRowHeight="15"/>
  <cols>
    <col min="1" max="1" width="8.88671875" style="319"/>
    <col min="2" max="2" width="40.77734375" style="319" customWidth="1"/>
    <col min="3" max="16384" width="8.88671875" style="319"/>
  </cols>
  <sheetData>
    <row r="3" spans="1:8" ht="18.75">
      <c r="B3" s="317" t="s">
        <v>638</v>
      </c>
      <c r="C3" s="318"/>
    </row>
    <row r="4" spans="1:8" ht="18.75">
      <c r="B4" s="317" t="s">
        <v>469</v>
      </c>
      <c r="C4" s="318"/>
    </row>
    <row r="5" spans="1:8" ht="18.75">
      <c r="B5" s="317" t="str">
        <f>IF('Att O_RPU'!$I$19&gt;0.5,CONCATENATE("FLTY Forecast for 12 Months Ended December 31, ",'Att O_RPU'!E318),CONCATENATE("True-up Actual for 12 Months Ended December 31, ",'Att O_RPU'!E318))</f>
        <v>True-up Actual for 12 Months Ended December 31, 2015</v>
      </c>
      <c r="C5" s="528"/>
    </row>
    <row r="10" spans="1:8">
      <c r="B10" s="938" t="s">
        <v>961</v>
      </c>
      <c r="C10" s="938"/>
      <c r="D10" s="938"/>
      <c r="E10" s="938"/>
    </row>
    <row r="11" spans="1:8">
      <c r="A11" s="843" t="s">
        <v>790</v>
      </c>
      <c r="B11" s="745" t="s">
        <v>962</v>
      </c>
      <c r="C11" s="745"/>
      <c r="D11" s="745"/>
      <c r="E11" s="745"/>
      <c r="H11" s="859"/>
    </row>
    <row r="13" spans="1:8">
      <c r="A13" s="843" t="s">
        <v>790</v>
      </c>
      <c r="B13" s="745" t="s">
        <v>963</v>
      </c>
      <c r="C13" s="745"/>
      <c r="D13" s="745"/>
      <c r="E13" s="745"/>
    </row>
    <row r="14" spans="1:8">
      <c r="B14" s="745" t="s">
        <v>1016</v>
      </c>
      <c r="C14" s="745"/>
      <c r="D14" s="745"/>
      <c r="E14" s="745"/>
    </row>
    <row r="16" spans="1:8">
      <c r="A16" s="843" t="s">
        <v>790</v>
      </c>
      <c r="B16" s="745" t="s">
        <v>964</v>
      </c>
      <c r="C16" s="745"/>
      <c r="D16" s="745"/>
      <c r="E16" s="745"/>
    </row>
    <row r="17" spans="1:5">
      <c r="B17" s="745" t="s">
        <v>965</v>
      </c>
      <c r="C17" s="745"/>
      <c r="D17" s="745"/>
      <c r="E17" s="745"/>
    </row>
    <row r="19" spans="1:5">
      <c r="A19" s="843" t="s">
        <v>790</v>
      </c>
      <c r="B19" s="745" t="s">
        <v>966</v>
      </c>
      <c r="C19" s="745"/>
      <c r="D19" s="745"/>
      <c r="E19" s="745"/>
    </row>
    <row r="20" spans="1:5">
      <c r="B20" s="745" t="s">
        <v>967</v>
      </c>
      <c r="C20" s="745"/>
      <c r="D20" s="745"/>
      <c r="E20" s="745"/>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9"/>
  <sheetViews>
    <sheetView topLeftCell="A16" zoomScaleNormal="100" workbookViewId="0">
      <selection sqref="A1:K1"/>
    </sheetView>
  </sheetViews>
  <sheetFormatPr defaultColWidth="8.88671875" defaultRowHeight="12.75"/>
  <cols>
    <col min="1" max="1" width="5.21875" style="276" customWidth="1"/>
    <col min="2" max="2" width="24.77734375" style="276" customWidth="1"/>
    <col min="3" max="7" width="12.21875" style="276" customWidth="1"/>
    <col min="8" max="8" width="0.77734375" style="276" customWidth="1"/>
    <col min="9" max="9" width="12.77734375" style="276" customWidth="1"/>
    <col min="10" max="10" width="0.77734375" style="276" customWidth="1"/>
    <col min="11" max="11" width="13.44140625" style="276" customWidth="1"/>
    <col min="12" max="12" width="0.77734375" style="276" customWidth="1"/>
    <col min="13" max="13" width="11.6640625" style="276" bestFit="1" customWidth="1"/>
    <col min="14" max="14" width="10.33203125" style="276" bestFit="1" customWidth="1"/>
    <col min="15" max="16" width="11.5546875" style="276" bestFit="1" customWidth="1"/>
    <col min="17" max="17" width="10.77734375" style="276" bestFit="1" customWidth="1"/>
    <col min="18" max="16384" width="8.88671875" style="276"/>
  </cols>
  <sheetData>
    <row r="1" spans="1:12" ht="15.75">
      <c r="A1" s="981" t="str">
        <f>Coversheet!B3</f>
        <v>Rochester Public Utilities</v>
      </c>
      <c r="B1" s="981"/>
      <c r="C1" s="981"/>
      <c r="D1" s="981"/>
      <c r="E1" s="981"/>
      <c r="F1" s="981"/>
      <c r="G1" s="981"/>
      <c r="H1" s="981"/>
      <c r="I1" s="981"/>
      <c r="J1" s="981"/>
      <c r="K1" s="981"/>
    </row>
    <row r="2" spans="1:12" ht="15.75">
      <c r="A2" s="982" t="s">
        <v>280</v>
      </c>
      <c r="B2" s="982"/>
      <c r="C2" s="982"/>
      <c r="D2" s="982"/>
      <c r="E2" s="982"/>
      <c r="F2" s="982"/>
      <c r="G2" s="982"/>
      <c r="H2" s="982"/>
      <c r="I2" s="982"/>
      <c r="J2" s="982"/>
      <c r="K2" s="982"/>
    </row>
    <row r="3" spans="1:12" ht="15.75">
      <c r="A3" s="982" t="s">
        <v>395</v>
      </c>
      <c r="B3" s="982"/>
      <c r="C3" s="982"/>
      <c r="D3" s="982"/>
      <c r="E3" s="982"/>
      <c r="F3" s="982"/>
      <c r="G3" s="982"/>
      <c r="H3" s="982"/>
      <c r="I3" s="982"/>
      <c r="J3" s="982"/>
      <c r="K3" s="982"/>
    </row>
    <row r="4" spans="1:12" ht="15.75">
      <c r="A4" s="983" t="str">
        <f>'Income Sched 3'!A4:C4</f>
        <v>True-up Actual for 12 Months Ended December 31, 2015</v>
      </c>
      <c r="B4" s="983"/>
      <c r="C4" s="983"/>
      <c r="D4" s="983"/>
      <c r="E4" s="983"/>
      <c r="F4" s="983"/>
      <c r="G4" s="983"/>
      <c r="H4" s="983"/>
      <c r="I4" s="983"/>
      <c r="J4" s="983"/>
      <c r="K4" s="983"/>
    </row>
    <row r="5" spans="1:12">
      <c r="A5" s="277"/>
      <c r="B5" s="277"/>
      <c r="C5" s="277"/>
    </row>
    <row r="6" spans="1:12" ht="15">
      <c r="A6" s="980" t="s">
        <v>288</v>
      </c>
      <c r="B6" s="980"/>
      <c r="C6" s="980"/>
      <c r="D6" s="980"/>
      <c r="E6" s="980"/>
      <c r="F6" s="980"/>
      <c r="G6" s="980"/>
    </row>
    <row r="7" spans="1:12">
      <c r="A7" s="278" t="s">
        <v>4</v>
      </c>
      <c r="B7" s="279"/>
      <c r="C7" s="279" t="s">
        <v>396</v>
      </c>
      <c r="D7" s="279"/>
      <c r="E7" s="279"/>
      <c r="F7" s="279"/>
      <c r="G7" s="279" t="s">
        <v>397</v>
      </c>
      <c r="I7" s="278" t="s">
        <v>398</v>
      </c>
      <c r="K7" s="278" t="s">
        <v>552</v>
      </c>
    </row>
    <row r="8" spans="1:12">
      <c r="A8" s="280" t="s">
        <v>6</v>
      </c>
      <c r="B8" s="281"/>
      <c r="C8" s="281" t="s">
        <v>399</v>
      </c>
      <c r="D8" s="281" t="s">
        <v>400</v>
      </c>
      <c r="E8" s="281" t="s">
        <v>401</v>
      </c>
      <c r="F8" s="281" t="s">
        <v>402</v>
      </c>
      <c r="G8" s="281" t="s">
        <v>399</v>
      </c>
      <c r="I8" s="282" t="s">
        <v>403</v>
      </c>
      <c r="K8" s="282" t="s">
        <v>404</v>
      </c>
    </row>
    <row r="9" spans="1:12" ht="20.100000000000001" customHeight="1">
      <c r="A9" s="283">
        <v>1</v>
      </c>
      <c r="B9" s="284" t="s">
        <v>405</v>
      </c>
      <c r="C9" s="568">
        <v>0</v>
      </c>
      <c r="D9" s="285">
        <v>0</v>
      </c>
      <c r="E9" s="285">
        <v>0</v>
      </c>
      <c r="F9" s="285">
        <v>0</v>
      </c>
      <c r="G9" s="286">
        <f>+C9+D9-E9+F9</f>
        <v>0</v>
      </c>
      <c r="I9" s="572">
        <v>0</v>
      </c>
      <c r="K9" s="572">
        <v>0</v>
      </c>
    </row>
    <row r="10" spans="1:12" ht="12.75" customHeight="1">
      <c r="A10" s="283"/>
      <c r="B10" s="284"/>
      <c r="C10" s="569"/>
      <c r="D10" s="287"/>
      <c r="E10" s="287"/>
      <c r="F10" s="287"/>
      <c r="G10" s="286"/>
      <c r="I10" s="573"/>
      <c r="K10" s="573"/>
    </row>
    <row r="11" spans="1:12" ht="20.100000000000001" customHeight="1">
      <c r="A11" s="283">
        <v>2</v>
      </c>
      <c r="B11" s="284" t="s">
        <v>406</v>
      </c>
      <c r="C11" s="570">
        <v>71723316.710000008</v>
      </c>
      <c r="D11" s="570">
        <v>35912.020000000004</v>
      </c>
      <c r="E11" s="570">
        <v>0</v>
      </c>
      <c r="F11" s="570">
        <v>114117.59</v>
      </c>
      <c r="G11" s="288">
        <f>+C11+D11-E11+F11</f>
        <v>71873346.320000008</v>
      </c>
      <c r="I11" s="598">
        <v>67629490.209999993</v>
      </c>
      <c r="J11" s="599"/>
      <c r="K11" s="598">
        <v>1687135.5099999905</v>
      </c>
    </row>
    <row r="12" spans="1:12" ht="20.100000000000001" customHeight="1">
      <c r="A12" s="283">
        <v>3</v>
      </c>
      <c r="B12" s="284" t="s">
        <v>407</v>
      </c>
      <c r="C12" s="570">
        <v>0</v>
      </c>
      <c r="D12" s="570">
        <v>0</v>
      </c>
      <c r="E12" s="570">
        <v>0</v>
      </c>
      <c r="F12" s="570">
        <v>0</v>
      </c>
      <c r="G12" s="288">
        <f>+C12+D12-E12+F12</f>
        <v>0</v>
      </c>
      <c r="H12" s="290"/>
      <c r="I12" s="598">
        <v>0</v>
      </c>
      <c r="J12" s="600"/>
      <c r="K12" s="598">
        <v>0</v>
      </c>
      <c r="L12" s="290"/>
    </row>
    <row r="13" spans="1:12" ht="20.100000000000001" customHeight="1">
      <c r="A13" s="283">
        <v>4</v>
      </c>
      <c r="B13" s="284" t="s">
        <v>408</v>
      </c>
      <c r="C13" s="570">
        <v>3632008.09</v>
      </c>
      <c r="D13" s="570">
        <v>0</v>
      </c>
      <c r="E13" s="570">
        <v>0</v>
      </c>
      <c r="F13" s="570">
        <v>0</v>
      </c>
      <c r="G13" s="288">
        <f>+C13+D13-E13+F13</f>
        <v>3632008.09</v>
      </c>
      <c r="H13" s="290"/>
      <c r="I13" s="598">
        <v>2655782.4700000002</v>
      </c>
      <c r="J13" s="600"/>
      <c r="K13" s="598">
        <v>29342.630000000408</v>
      </c>
      <c r="L13" s="290"/>
    </row>
    <row r="14" spans="1:12" ht="20.100000000000001" customHeight="1" thickBot="1">
      <c r="A14" s="283">
        <v>5</v>
      </c>
      <c r="B14" s="284" t="s">
        <v>409</v>
      </c>
      <c r="C14" s="570">
        <v>33773758.869999997</v>
      </c>
      <c r="D14" s="571">
        <v>0</v>
      </c>
      <c r="E14" s="571"/>
      <c r="F14" s="571"/>
      <c r="G14" s="288">
        <f>+C14+D14-E14+F14</f>
        <v>33773758.869999997</v>
      </c>
      <c r="H14" s="290"/>
      <c r="I14" s="601">
        <v>16066849.029999999</v>
      </c>
      <c r="J14" s="600"/>
      <c r="K14" s="601">
        <v>994001.48</v>
      </c>
      <c r="L14" s="290"/>
    </row>
    <row r="15" spans="1:12" ht="20.100000000000001" customHeight="1" thickBot="1">
      <c r="A15" s="283">
        <v>6</v>
      </c>
      <c r="B15" s="294" t="s">
        <v>410</v>
      </c>
      <c r="C15" s="295">
        <f>SUM(C11:C14)</f>
        <v>109129083.67000002</v>
      </c>
      <c r="D15" s="296">
        <f>SUM(D11:D14)</f>
        <v>35912.020000000004</v>
      </c>
      <c r="E15" s="296">
        <f>SUM(E11:E14)</f>
        <v>0</v>
      </c>
      <c r="F15" s="296">
        <f>SUM(F11:F14)</f>
        <v>114117.59</v>
      </c>
      <c r="G15" s="297">
        <f>+C15+D15-E15+F15</f>
        <v>109279113.28000002</v>
      </c>
      <c r="H15" s="290"/>
      <c r="I15" s="298">
        <f>SUM(I11:I14)</f>
        <v>86352121.709999993</v>
      </c>
      <c r="J15" s="290"/>
      <c r="K15" s="295">
        <f>SUM(K11:K14)</f>
        <v>2710479.6199999908</v>
      </c>
      <c r="L15" s="290"/>
    </row>
    <row r="16" spans="1:12" ht="12" customHeight="1">
      <c r="A16" s="283"/>
      <c r="B16" s="299"/>
      <c r="C16" s="300"/>
      <c r="D16" s="300"/>
      <c r="E16" s="300"/>
      <c r="F16" s="300"/>
      <c r="G16" s="300"/>
      <c r="H16" s="290"/>
      <c r="I16" s="301"/>
      <c r="J16" s="290"/>
      <c r="K16" s="315"/>
      <c r="L16" s="290"/>
    </row>
    <row r="17" spans="1:17" ht="20.100000000000001" customHeight="1">
      <c r="A17" s="283">
        <v>7</v>
      </c>
      <c r="B17" s="284" t="s">
        <v>411</v>
      </c>
      <c r="C17" s="570">
        <v>28357026.189999998</v>
      </c>
      <c r="D17" s="570">
        <v>1591763.78</v>
      </c>
      <c r="E17" s="570">
        <v>0</v>
      </c>
      <c r="F17" s="570">
        <v>9516938.9900000002</v>
      </c>
      <c r="G17" s="288">
        <f t="shared" ref="G17:G19" si="0">+C17+D17-E17+F17</f>
        <v>39465728.960000001</v>
      </c>
      <c r="H17" s="290"/>
      <c r="I17" s="291">
        <f>ROUND(Plant!J36,0)</f>
        <v>12243023</v>
      </c>
      <c r="J17" s="290"/>
      <c r="K17" s="598">
        <v>813009.13000000024</v>
      </c>
      <c r="L17" s="290"/>
    </row>
    <row r="18" spans="1:17" ht="20.100000000000001" customHeight="1">
      <c r="A18" s="283">
        <v>8</v>
      </c>
      <c r="B18" s="284" t="s">
        <v>412</v>
      </c>
      <c r="C18" s="570">
        <v>134422939.91</v>
      </c>
      <c r="D18" s="570">
        <v>3563579.4300000011</v>
      </c>
      <c r="E18" s="570">
        <v>1030471.21</v>
      </c>
      <c r="F18" s="570">
        <v>1884717.5100000002</v>
      </c>
      <c r="G18" s="288">
        <f t="shared" si="0"/>
        <v>138840765.63999999</v>
      </c>
      <c r="H18" s="290">
        <v>0</v>
      </c>
      <c r="I18" s="291">
        <f>ROUND(Plant!K36,0)</f>
        <v>64392857</v>
      </c>
      <c r="J18" s="290">
        <v>0</v>
      </c>
      <c r="K18" s="598">
        <v>3911352.3600000003</v>
      </c>
      <c r="L18" s="290"/>
      <c r="O18" s="275"/>
      <c r="P18" s="275"/>
      <c r="Q18" s="275"/>
    </row>
    <row r="19" spans="1:17" ht="20.100000000000001" customHeight="1" thickBot="1">
      <c r="A19" s="283">
        <v>9</v>
      </c>
      <c r="B19" s="284" t="s">
        <v>413</v>
      </c>
      <c r="C19" s="570">
        <v>41226588.620000005</v>
      </c>
      <c r="D19" s="570">
        <v>2124240.13</v>
      </c>
      <c r="E19" s="570">
        <v>201319.90999999997</v>
      </c>
      <c r="F19" s="570">
        <v>2281917.42</v>
      </c>
      <c r="G19" s="288">
        <f t="shared" si="0"/>
        <v>45431426.260000013</v>
      </c>
      <c r="H19" s="290"/>
      <c r="I19" s="293">
        <f>ROUND(Plant!L36,0)</f>
        <v>27352754</v>
      </c>
      <c r="J19" s="290"/>
      <c r="K19" s="598">
        <v>2457233.7300000004</v>
      </c>
      <c r="L19" s="290"/>
    </row>
    <row r="20" spans="1:17" ht="20.100000000000001" customHeight="1" thickBot="1">
      <c r="A20" s="283">
        <v>10</v>
      </c>
      <c r="B20" s="294" t="s">
        <v>414</v>
      </c>
      <c r="C20" s="295">
        <f>SUM(C15:C19)+C9</f>
        <v>313135638.38999999</v>
      </c>
      <c r="D20" s="295">
        <f>SUM(D15:D19)+D9</f>
        <v>7315495.3600000013</v>
      </c>
      <c r="E20" s="295">
        <f>SUM(E15:E19)+E9</f>
        <v>1231791.1199999999</v>
      </c>
      <c r="F20" s="295">
        <f>SUM(F15:F19)+F9</f>
        <v>13797691.51</v>
      </c>
      <c r="G20" s="297">
        <f>+C20+D20-E20+F20</f>
        <v>333017034.13999999</v>
      </c>
      <c r="H20" s="290"/>
      <c r="I20" s="295">
        <f>SUM(I15:I19)+I9</f>
        <v>190340755.70999998</v>
      </c>
      <c r="J20" s="290"/>
      <c r="K20" s="295">
        <f>SUM(K15:K19)+K9</f>
        <v>9892074.8399999924</v>
      </c>
      <c r="L20" s="290"/>
      <c r="N20" s="302"/>
    </row>
    <row r="21" spans="1:17" ht="11.25" customHeight="1">
      <c r="A21" s="283"/>
      <c r="B21" s="299"/>
      <c r="C21" s="300"/>
      <c r="D21" s="300"/>
      <c r="E21" s="300"/>
      <c r="F21" s="300"/>
      <c r="G21" s="300"/>
      <c r="H21" s="290"/>
      <c r="I21" s="303"/>
      <c r="J21" s="290"/>
      <c r="K21" s="316"/>
      <c r="L21" s="290"/>
    </row>
    <row r="22" spans="1:17" ht="20.100000000000001" customHeight="1">
      <c r="A22" s="283">
        <v>11</v>
      </c>
      <c r="B22" s="284" t="s">
        <v>415</v>
      </c>
      <c r="C22" s="570">
        <v>0</v>
      </c>
      <c r="D22" s="570">
        <v>0</v>
      </c>
      <c r="E22" s="570">
        <v>0</v>
      </c>
      <c r="F22" s="570">
        <v>0</v>
      </c>
      <c r="G22" s="289">
        <f>+C22+D22+E22+F22</f>
        <v>0</v>
      </c>
      <c r="H22" s="290"/>
      <c r="I22" s="573">
        <v>0</v>
      </c>
      <c r="J22" s="290"/>
      <c r="K22" s="602">
        <v>0</v>
      </c>
      <c r="L22" s="290"/>
    </row>
    <row r="23" spans="1:17" ht="20.100000000000001" customHeight="1">
      <c r="A23" s="283">
        <v>12</v>
      </c>
      <c r="B23" s="284" t="s">
        <v>416</v>
      </c>
      <c r="C23" s="570">
        <v>0</v>
      </c>
      <c r="D23" s="570">
        <v>0</v>
      </c>
      <c r="E23" s="570">
        <v>0</v>
      </c>
      <c r="F23" s="570">
        <v>0</v>
      </c>
      <c r="G23" s="289">
        <f>+C23+D23+E23+F23</f>
        <v>0</v>
      </c>
      <c r="H23" s="290"/>
      <c r="I23" s="573">
        <v>0</v>
      </c>
      <c r="J23" s="290"/>
      <c r="K23" s="602">
        <v>0</v>
      </c>
      <c r="L23" s="290"/>
    </row>
    <row r="24" spans="1:17" ht="20.100000000000001" customHeight="1" thickBot="1">
      <c r="A24" s="283">
        <v>13</v>
      </c>
      <c r="B24" s="284" t="s">
        <v>417</v>
      </c>
      <c r="C24" s="571">
        <v>0</v>
      </c>
      <c r="D24" s="571">
        <v>0</v>
      </c>
      <c r="E24" s="571">
        <v>0</v>
      </c>
      <c r="F24" s="571">
        <v>0</v>
      </c>
      <c r="G24" s="292">
        <f>+C24+D24+E24+F24</f>
        <v>0</v>
      </c>
      <c r="H24" s="290"/>
      <c r="I24" s="574">
        <v>0</v>
      </c>
      <c r="J24" s="290"/>
      <c r="K24" s="603">
        <v>0</v>
      </c>
      <c r="L24" s="290"/>
    </row>
    <row r="25" spans="1:17" ht="20.100000000000001" customHeight="1" thickBot="1">
      <c r="A25" s="283">
        <v>14</v>
      </c>
      <c r="B25" s="294" t="s">
        <v>290</v>
      </c>
      <c r="C25" s="295">
        <f>SUM(C20:C24)</f>
        <v>313135638.38999999</v>
      </c>
      <c r="D25" s="296">
        <f>SUM(D20:D24)</f>
        <v>7315495.3600000013</v>
      </c>
      <c r="E25" s="296">
        <f>SUM(E20:E24)</f>
        <v>1231791.1199999999</v>
      </c>
      <c r="F25" s="296">
        <f>SUM(F20:F24)</f>
        <v>13797691.51</v>
      </c>
      <c r="G25" s="297">
        <f>+C25+D25-E25+F25</f>
        <v>333017034.13999999</v>
      </c>
      <c r="H25" s="290"/>
      <c r="I25" s="298">
        <f>SUM(I20:I24)</f>
        <v>190340755.70999998</v>
      </c>
      <c r="J25" s="290"/>
      <c r="K25" s="295">
        <f>SUM(K20:K24)</f>
        <v>9892074.8399999924</v>
      </c>
      <c r="L25" s="290"/>
    </row>
    <row r="26" spans="1:17" ht="11.25" customHeight="1" thickBot="1">
      <c r="A26" s="283"/>
      <c r="B26" s="299"/>
      <c r="C26" s="304"/>
      <c r="D26" s="304"/>
      <c r="E26" s="304"/>
      <c r="F26" s="304"/>
      <c r="G26" s="304"/>
      <c r="H26" s="290"/>
      <c r="I26" s="303"/>
      <c r="J26" s="290"/>
      <c r="K26" s="316"/>
      <c r="L26" s="290"/>
    </row>
    <row r="27" spans="1:17" ht="20.100000000000001" customHeight="1" thickBot="1">
      <c r="A27" s="283">
        <v>15</v>
      </c>
      <c r="B27" s="284" t="s">
        <v>418</v>
      </c>
      <c r="C27" s="570">
        <v>32364446.969999999</v>
      </c>
      <c r="D27" s="571">
        <v>14811501.050000001</v>
      </c>
      <c r="E27" s="571">
        <v>0</v>
      </c>
      <c r="F27" s="570">
        <v>-13797691.51</v>
      </c>
      <c r="G27" s="297">
        <f>+C27+D27-E27+F27</f>
        <v>33378256.509999998</v>
      </c>
      <c r="H27" s="290"/>
      <c r="I27" s="293"/>
      <c r="J27" s="290"/>
      <c r="K27" s="314"/>
      <c r="L27" s="290"/>
    </row>
    <row r="28" spans="1:17" ht="20.100000000000001" customHeight="1" thickBot="1">
      <c r="A28" s="283">
        <v>16</v>
      </c>
      <c r="B28" s="294" t="s">
        <v>419</v>
      </c>
      <c r="C28" s="295">
        <f>SUM(C25:C27)</f>
        <v>345500085.36000001</v>
      </c>
      <c r="D28" s="296">
        <f>SUM(D25:D27)</f>
        <v>22126996.410000004</v>
      </c>
      <c r="E28" s="296">
        <f>SUM(E25:E27)</f>
        <v>1231791.1199999999</v>
      </c>
      <c r="F28" s="296">
        <f>SUM(F25:F27)</f>
        <v>0</v>
      </c>
      <c r="G28" s="297">
        <f>+C28+D28-E28+F28</f>
        <v>366395290.65000004</v>
      </c>
      <c r="H28" s="290"/>
      <c r="I28" s="298">
        <f>SUM(I25:I27)</f>
        <v>190340755.70999998</v>
      </c>
      <c r="J28" s="290"/>
      <c r="K28" s="295">
        <f>SUM(K25:K27)</f>
        <v>9892074.8399999924</v>
      </c>
      <c r="L28" s="290"/>
      <c r="N28" s="302"/>
    </row>
    <row r="29" spans="1:17" ht="20.100000000000001" customHeight="1">
      <c r="G29" s="305" t="s">
        <v>2</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2015 Work Papers&amp;R&amp;"Arial MT,Bold"Exhibit RPU-8
Page 3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sqref="A1:F1"/>
    </sheetView>
  </sheetViews>
  <sheetFormatPr defaultColWidth="8.88671875" defaultRowHeight="12.75"/>
  <cols>
    <col min="1" max="1" width="4.109375" style="141" bestFit="1" customWidth="1"/>
    <col min="2" max="2" width="38.6640625" style="141" customWidth="1"/>
    <col min="3" max="3" width="9.44140625" style="141" customWidth="1"/>
    <col min="4" max="16384" width="8.88671875" style="141"/>
  </cols>
  <sheetData>
    <row r="1" spans="1:4" ht="15.75">
      <c r="A1" s="984" t="str">
        <f>Coversheet!B3</f>
        <v>Rochester Public Utilities</v>
      </c>
      <c r="B1" s="984"/>
      <c r="C1" s="984"/>
      <c r="D1" s="984"/>
    </row>
    <row r="2" spans="1:4" ht="15">
      <c r="A2" s="976" t="s">
        <v>280</v>
      </c>
      <c r="B2" s="976"/>
      <c r="C2" s="976"/>
      <c r="D2" s="976"/>
    </row>
    <row r="3" spans="1:4" ht="15">
      <c r="A3" s="976" t="s">
        <v>451</v>
      </c>
      <c r="B3" s="976"/>
      <c r="C3" s="976"/>
      <c r="D3" s="976"/>
    </row>
    <row r="4" spans="1:4" ht="15.75">
      <c r="A4" s="985" t="str">
        <f>'Balance sheet Sched 2'!A4:F4</f>
        <v>True-up Actual for 12 Months Ended December 31, 2015</v>
      </c>
      <c r="B4" s="985"/>
      <c r="C4" s="985"/>
      <c r="D4" s="985"/>
    </row>
    <row r="5" spans="1:4">
      <c r="A5" s="358"/>
      <c r="B5" s="358"/>
      <c r="C5" s="358"/>
    </row>
    <row r="6" spans="1:4" ht="15.75">
      <c r="A6" s="663" t="s">
        <v>452</v>
      </c>
      <c r="B6" s="664"/>
      <c r="C6" s="664"/>
    </row>
    <row r="7" spans="1:4" ht="15.75">
      <c r="A7" s="665" t="s">
        <v>286</v>
      </c>
      <c r="B7" s="664"/>
      <c r="C7" s="664"/>
    </row>
    <row r="8" spans="1:4" ht="15.75">
      <c r="A8" s="663">
        <v>1</v>
      </c>
      <c r="B8" s="664" t="s">
        <v>453</v>
      </c>
      <c r="C8" s="782">
        <f>ROUND('Taxes other than inc tax'!D11,0)</f>
        <v>8383748</v>
      </c>
    </row>
    <row r="9" spans="1:4" ht="15.75">
      <c r="A9" s="664"/>
      <c r="B9" s="664"/>
      <c r="C9" s="664"/>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2015 Work Papers&amp;R&amp;"Arial MT,Bold"Exhibit RPU-8
Page 4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zoomScaleNormal="100" workbookViewId="0">
      <selection sqref="A1:F1"/>
    </sheetView>
  </sheetViews>
  <sheetFormatPr defaultColWidth="8.88671875" defaultRowHeight="12.75"/>
  <cols>
    <col min="1" max="1" width="5.21875" style="141" customWidth="1"/>
    <col min="2" max="2" width="24.5546875" style="141" customWidth="1"/>
    <col min="3" max="3" width="12.21875" style="141" customWidth="1"/>
    <col min="4" max="4" width="13.109375" style="141" bestFit="1" customWidth="1"/>
    <col min="5" max="5" width="12.21875" style="141" customWidth="1"/>
    <col min="6" max="6" width="13.109375" style="140" bestFit="1" customWidth="1"/>
    <col min="7" max="7" width="8.88671875" style="141"/>
    <col min="8" max="8" width="12.44140625" style="141" bestFit="1" customWidth="1"/>
    <col min="9" max="9" width="15.6640625" style="141" bestFit="1" customWidth="1"/>
    <col min="10" max="16384" width="8.88671875" style="141"/>
  </cols>
  <sheetData>
    <row r="1" spans="1:8" s="140" customFormat="1" ht="15.75">
      <c r="A1" s="975" t="str">
        <f>Coversheet!B3</f>
        <v>Rochester Public Utilities</v>
      </c>
      <c r="B1" s="975"/>
      <c r="C1" s="975"/>
      <c r="D1" s="975"/>
      <c r="E1" s="975"/>
      <c r="F1" s="975"/>
      <c r="G1" s="221"/>
    </row>
    <row r="2" spans="1:8" s="140" customFormat="1" ht="15">
      <c r="A2" s="976" t="s">
        <v>280</v>
      </c>
      <c r="B2" s="976"/>
      <c r="C2" s="976"/>
      <c r="D2" s="976"/>
      <c r="E2" s="976"/>
      <c r="F2" s="976"/>
      <c r="G2" s="221"/>
      <c r="H2" s="222"/>
    </row>
    <row r="3" spans="1:8" s="140" customFormat="1" ht="15">
      <c r="A3" s="976" t="s">
        <v>420</v>
      </c>
      <c r="B3" s="976"/>
      <c r="C3" s="976"/>
      <c r="D3" s="976"/>
      <c r="E3" s="976"/>
      <c r="F3" s="976"/>
      <c r="G3" s="221"/>
    </row>
    <row r="4" spans="1:8" s="140" customFormat="1" ht="15.75">
      <c r="A4" s="977" t="str">
        <f>'Plant Sched 4'!A4:G4</f>
        <v>True-up Actual for 12 Months Ended December 31, 2015</v>
      </c>
      <c r="B4" s="977"/>
      <c r="C4" s="977"/>
      <c r="D4" s="977"/>
      <c r="E4" s="977"/>
      <c r="F4" s="977"/>
      <c r="G4" s="223"/>
    </row>
    <row r="5" spans="1:8" s="140" customFormat="1"/>
    <row r="6" spans="1:8">
      <c r="A6" s="988" t="s">
        <v>421</v>
      </c>
      <c r="B6" s="988"/>
      <c r="C6" s="988"/>
      <c r="D6" s="988"/>
      <c r="E6" s="988"/>
      <c r="F6" s="988"/>
    </row>
    <row r="7" spans="1:8">
      <c r="A7" s="142" t="s">
        <v>4</v>
      </c>
      <c r="B7" s="144"/>
      <c r="C7" s="144"/>
      <c r="D7" s="144"/>
      <c r="E7" s="144"/>
      <c r="F7" s="240"/>
    </row>
    <row r="8" spans="1:8">
      <c r="A8" s="145" t="s">
        <v>286</v>
      </c>
      <c r="B8" s="146"/>
      <c r="C8" s="144" t="s">
        <v>422</v>
      </c>
      <c r="D8" s="146" t="s">
        <v>423</v>
      </c>
      <c r="E8" s="146" t="s">
        <v>424</v>
      </c>
      <c r="F8" s="238" t="s">
        <v>9</v>
      </c>
    </row>
    <row r="9" spans="1:8">
      <c r="A9" s="148">
        <v>1</v>
      </c>
      <c r="B9" s="197" t="s">
        <v>425</v>
      </c>
      <c r="C9" s="224"/>
      <c r="D9" s="225"/>
      <c r="E9" s="225"/>
      <c r="F9" s="241"/>
    </row>
    <row r="10" spans="1:8">
      <c r="A10" s="145"/>
      <c r="B10" s="226" t="s">
        <v>426</v>
      </c>
      <c r="C10" s="576">
        <v>0</v>
      </c>
      <c r="D10" s="577">
        <v>253535.22</v>
      </c>
      <c r="E10" s="577">
        <v>328849.67</v>
      </c>
      <c r="F10" s="242">
        <f>SUM(C10:E10)</f>
        <v>582384.89</v>
      </c>
    </row>
    <row r="11" spans="1:8">
      <c r="A11" s="145">
        <v>2</v>
      </c>
      <c r="B11" s="226" t="s">
        <v>427</v>
      </c>
      <c r="C11" s="578">
        <v>0</v>
      </c>
      <c r="D11" s="579">
        <v>0</v>
      </c>
      <c r="E11" s="579">
        <v>0</v>
      </c>
      <c r="F11" s="243">
        <f>SUM(C11:E11)</f>
        <v>0</v>
      </c>
    </row>
    <row r="12" spans="1:8">
      <c r="A12" s="148">
        <v>3</v>
      </c>
      <c r="B12" s="197" t="s">
        <v>428</v>
      </c>
      <c r="C12" s="580"/>
      <c r="D12" s="581"/>
      <c r="E12" s="581"/>
      <c r="F12" s="244"/>
    </row>
    <row r="13" spans="1:8">
      <c r="A13" s="145"/>
      <c r="B13" s="227" t="s">
        <v>429</v>
      </c>
      <c r="C13" s="578">
        <v>0</v>
      </c>
      <c r="D13" s="579">
        <v>18655.38</v>
      </c>
      <c r="E13" s="579">
        <v>105242.44</v>
      </c>
      <c r="F13" s="259">
        <f>SUM(C13:E13)</f>
        <v>123897.82</v>
      </c>
    </row>
    <row r="14" spans="1:8">
      <c r="A14" s="155">
        <v>4</v>
      </c>
      <c r="B14" s="199" t="s">
        <v>430</v>
      </c>
      <c r="C14" s="580"/>
      <c r="D14" s="581"/>
      <c r="E14" s="581"/>
      <c r="F14" s="260"/>
    </row>
    <row r="15" spans="1:8">
      <c r="A15" s="145"/>
      <c r="B15" s="227" t="s">
        <v>431</v>
      </c>
      <c r="C15" s="578">
        <v>1362950.92</v>
      </c>
      <c r="D15" s="579">
        <f>1504210.39-C15</f>
        <v>141259.46999999997</v>
      </c>
      <c r="E15" s="579">
        <v>360909.04</v>
      </c>
      <c r="F15" s="259">
        <f>SUM(C15:E15)</f>
        <v>1865119.43</v>
      </c>
    </row>
    <row r="16" spans="1:8">
      <c r="A16" s="163">
        <v>5</v>
      </c>
      <c r="B16" s="228" t="s">
        <v>432</v>
      </c>
      <c r="C16" s="582">
        <v>0</v>
      </c>
      <c r="D16" s="583">
        <v>79129355.269999996</v>
      </c>
      <c r="E16" s="583">
        <v>0</v>
      </c>
      <c r="F16" s="261">
        <f>+C16+D16+E16</f>
        <v>79129355.269999996</v>
      </c>
    </row>
    <row r="17" spans="1:9">
      <c r="A17" s="148">
        <v>6</v>
      </c>
      <c r="B17" s="199" t="s">
        <v>433</v>
      </c>
      <c r="C17" s="580"/>
      <c r="D17" s="581"/>
      <c r="E17" s="581"/>
      <c r="F17" s="260"/>
    </row>
    <row r="18" spans="1:9" ht="13.5" thickBot="1">
      <c r="A18" s="145"/>
      <c r="B18" s="227" t="s">
        <v>434</v>
      </c>
      <c r="C18" s="580">
        <v>0</v>
      </c>
      <c r="D18" s="584">
        <v>0</v>
      </c>
      <c r="E18" s="581">
        <v>0</v>
      </c>
      <c r="F18" s="260">
        <f>SUM(C18:E18)</f>
        <v>0</v>
      </c>
    </row>
    <row r="19" spans="1:9" ht="13.5" thickBot="1">
      <c r="A19" s="161">
        <v>7</v>
      </c>
      <c r="B19" s="228" t="s">
        <v>435</v>
      </c>
      <c r="C19" s="229">
        <f>SUM(C10:C18)</f>
        <v>1362950.92</v>
      </c>
      <c r="D19" s="230">
        <f>SUM(D10:D18)</f>
        <v>79542805.339999989</v>
      </c>
      <c r="E19" s="230">
        <f>SUM(E10:E18)</f>
        <v>795001.14999999991</v>
      </c>
      <c r="F19" s="262">
        <f>SUM(C19:E19)</f>
        <v>81700757.409999996</v>
      </c>
    </row>
    <row r="20" spans="1:9">
      <c r="A20" s="148">
        <v>8</v>
      </c>
      <c r="B20" s="211" t="s">
        <v>436</v>
      </c>
      <c r="C20" s="231"/>
      <c r="D20" s="231"/>
      <c r="E20" s="231"/>
      <c r="F20" s="263"/>
    </row>
    <row r="21" spans="1:9">
      <c r="A21" s="145"/>
      <c r="B21" s="264" t="s">
        <v>437</v>
      </c>
      <c r="C21" s="232" t="s">
        <v>438</v>
      </c>
      <c r="D21" s="209">
        <f>'Transmission O&amp;M'!C23</f>
        <v>8134993.4100000001</v>
      </c>
      <c r="E21" s="209">
        <f>'Transmission O&amp;M'!C35</f>
        <v>119759.93999999999</v>
      </c>
      <c r="F21" s="265">
        <f>SUM(D21:E21)</f>
        <v>8254753.3500000006</v>
      </c>
    </row>
    <row r="22" spans="1:9">
      <c r="A22" s="148">
        <v>9</v>
      </c>
      <c r="B22" s="211" t="s">
        <v>439</v>
      </c>
      <c r="C22" s="233"/>
      <c r="D22" s="581"/>
      <c r="E22" s="581"/>
      <c r="F22" s="266"/>
    </row>
    <row r="23" spans="1:9">
      <c r="A23" s="145"/>
      <c r="B23" s="264" t="s">
        <v>440</v>
      </c>
      <c r="C23" s="232" t="s">
        <v>438</v>
      </c>
      <c r="D23" s="579">
        <v>2149784.91</v>
      </c>
      <c r="E23" s="579">
        <v>3516452.33</v>
      </c>
      <c r="F23" s="265">
        <f>+D23+E23</f>
        <v>5666237.2400000002</v>
      </c>
    </row>
    <row r="24" spans="1:9">
      <c r="A24" s="148">
        <v>10</v>
      </c>
      <c r="B24" s="211" t="s">
        <v>441</v>
      </c>
      <c r="C24" s="233"/>
      <c r="D24" s="581"/>
      <c r="E24" s="581"/>
      <c r="F24" s="266"/>
      <c r="I24" s="274"/>
    </row>
    <row r="25" spans="1:9">
      <c r="A25" s="145"/>
      <c r="B25" s="264" t="s">
        <v>442</v>
      </c>
      <c r="C25" s="232" t="s">
        <v>438</v>
      </c>
      <c r="D25" s="209">
        <f>'Admin &amp; General'!C14</f>
        <v>1706017.1199999999</v>
      </c>
      <c r="E25" s="579">
        <v>0</v>
      </c>
      <c r="F25" s="265">
        <f>+D25+E25</f>
        <v>1706017.1199999999</v>
      </c>
      <c r="I25" s="274"/>
    </row>
    <row r="26" spans="1:9">
      <c r="A26" s="148">
        <v>11</v>
      </c>
      <c r="B26" s="211" t="s">
        <v>443</v>
      </c>
      <c r="C26" s="233"/>
      <c r="D26" s="212"/>
      <c r="E26" s="581"/>
      <c r="F26" s="266"/>
      <c r="I26" s="274"/>
    </row>
    <row r="27" spans="1:9">
      <c r="A27" s="145"/>
      <c r="B27" s="264" t="s">
        <v>444</v>
      </c>
      <c r="C27" s="232" t="s">
        <v>438</v>
      </c>
      <c r="D27" s="209">
        <f>'Admin &amp; General'!C21</f>
        <v>1001569.3099999999</v>
      </c>
      <c r="E27" s="579">
        <v>0</v>
      </c>
      <c r="F27" s="265">
        <f>+D27+E27</f>
        <v>1001569.3099999999</v>
      </c>
      <c r="I27" s="273"/>
    </row>
    <row r="28" spans="1:9">
      <c r="A28" s="161">
        <v>12</v>
      </c>
      <c r="B28" s="210" t="s">
        <v>445</v>
      </c>
      <c r="C28" s="234" t="s">
        <v>438</v>
      </c>
      <c r="D28" s="209">
        <f>'Admin &amp; General'!C28</f>
        <v>403415.85</v>
      </c>
      <c r="E28" s="579">
        <v>0</v>
      </c>
      <c r="F28" s="265">
        <f>+D28+E28</f>
        <v>403415.85</v>
      </c>
      <c r="I28" s="273"/>
    </row>
    <row r="29" spans="1:9">
      <c r="A29" s="161">
        <v>13</v>
      </c>
      <c r="B29" s="210" t="s">
        <v>446</v>
      </c>
      <c r="C29" s="234" t="s">
        <v>438</v>
      </c>
      <c r="D29" s="209">
        <f>SUM('Admin &amp; General'!C30:C43)</f>
        <v>11149234.970000001</v>
      </c>
      <c r="E29" s="209">
        <f>'Admin &amp; General'!C44</f>
        <v>2087431.45</v>
      </c>
      <c r="F29" s="265">
        <f>+D29+E29</f>
        <v>13236666.42</v>
      </c>
      <c r="I29" s="273"/>
    </row>
    <row r="30" spans="1:9" ht="13.5" thickBot="1">
      <c r="A30" s="148">
        <v>14</v>
      </c>
      <c r="B30" s="211" t="s">
        <v>447</v>
      </c>
      <c r="C30" s="235"/>
      <c r="D30" s="231"/>
      <c r="E30" s="231"/>
      <c r="F30" s="263"/>
      <c r="I30" s="273"/>
    </row>
    <row r="31" spans="1:9" ht="13.5" thickBot="1">
      <c r="A31" s="145"/>
      <c r="B31" s="227" t="s">
        <v>448</v>
      </c>
      <c r="C31" s="229">
        <f>SUM(C19:C29)</f>
        <v>1362950.92</v>
      </c>
      <c r="D31" s="230">
        <f>SUM(D19:D29)</f>
        <v>104087820.90999998</v>
      </c>
      <c r="E31" s="230">
        <f>SUM(E19:E29)</f>
        <v>6518644.8700000001</v>
      </c>
      <c r="F31" s="262">
        <f>SUM(F19:F30)</f>
        <v>111969416.69999999</v>
      </c>
      <c r="I31" s="273"/>
    </row>
    <row r="32" spans="1:9">
      <c r="B32" s="188"/>
      <c r="C32" s="236"/>
      <c r="D32" s="236"/>
      <c r="E32" s="236"/>
      <c r="F32" s="267"/>
      <c r="I32" s="273"/>
    </row>
    <row r="33" spans="2:9">
      <c r="B33" s="986" t="s">
        <v>449</v>
      </c>
      <c r="C33" s="987"/>
      <c r="D33" s="270">
        <v>180</v>
      </c>
      <c r="E33" s="236"/>
      <c r="F33" s="267"/>
      <c r="I33" s="273"/>
    </row>
    <row r="34" spans="2:9">
      <c r="B34" s="268" t="s">
        <v>450</v>
      </c>
      <c r="C34" s="269"/>
      <c r="D34" s="271"/>
      <c r="E34" s="307"/>
      <c r="F34" s="272"/>
      <c r="I34" s="273"/>
    </row>
    <row r="35" spans="2:9">
      <c r="B35" s="188"/>
      <c r="C35" s="236"/>
      <c r="D35" s="236"/>
      <c r="E35" s="236"/>
      <c r="F35" s="267"/>
      <c r="I35" s="273"/>
    </row>
    <row r="36" spans="2:9" ht="15">
      <c r="B36" s="362" t="s">
        <v>660</v>
      </c>
      <c r="C36" s="362"/>
      <c r="D36" s="362"/>
      <c r="E36" s="362"/>
      <c r="F36" s="362"/>
      <c r="I36" s="273"/>
    </row>
    <row r="37" spans="2:9" ht="15">
      <c r="B37" s="362"/>
      <c r="C37" s="362"/>
      <c r="D37" s="362"/>
      <c r="E37" s="362"/>
      <c r="F37" s="362"/>
      <c r="I37" s="273"/>
    </row>
    <row r="38" spans="2:9" ht="15">
      <c r="B38" s="363" t="s">
        <v>655</v>
      </c>
      <c r="C38" s="364" t="s">
        <v>438</v>
      </c>
      <c r="D38" s="585">
        <v>218619.9</v>
      </c>
      <c r="E38" s="586">
        <v>0</v>
      </c>
      <c r="F38" s="365">
        <f>+D38+E38</f>
        <v>218619.9</v>
      </c>
      <c r="I38" s="273"/>
    </row>
    <row r="39" spans="2:9" ht="15">
      <c r="B39" s="366" t="s">
        <v>661</v>
      </c>
      <c r="C39" s="366"/>
      <c r="D39" s="366"/>
      <c r="E39" s="366"/>
      <c r="F39" s="367"/>
      <c r="I39" s="273"/>
    </row>
    <row r="40" spans="2:9" ht="15">
      <c r="B40" s="362"/>
      <c r="C40" s="362"/>
      <c r="D40" s="362"/>
      <c r="E40" s="362"/>
      <c r="F40" s="362"/>
      <c r="I40" s="273"/>
    </row>
    <row r="41" spans="2:9" ht="15">
      <c r="B41" s="368" t="s">
        <v>447</v>
      </c>
      <c r="C41" s="362"/>
      <c r="D41" s="362"/>
      <c r="E41" s="362"/>
      <c r="F41" s="362"/>
      <c r="I41" s="273"/>
    </row>
    <row r="42" spans="2:9" ht="15">
      <c r="B42" s="369" t="s">
        <v>448</v>
      </c>
      <c r="C42" s="362"/>
      <c r="D42" s="370">
        <f>C19+D31+D38</f>
        <v>105669391.72999999</v>
      </c>
      <c r="E42" s="370">
        <f>E38+E31</f>
        <v>6518644.8700000001</v>
      </c>
      <c r="F42" s="370">
        <f>F38+F31</f>
        <v>112188036.59999999</v>
      </c>
      <c r="I42" s="273"/>
    </row>
    <row r="43" spans="2:9" ht="15">
      <c r="B43" s="362"/>
      <c r="C43" s="362"/>
      <c r="D43" s="371"/>
      <c r="E43" s="371"/>
      <c r="F43" s="362"/>
    </row>
    <row r="44" spans="2:9">
      <c r="D44" s="860">
        <f>D42-'Income Sched 3'!C10</f>
        <v>0</v>
      </c>
      <c r="E44" s="860">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2015 Work Papers&amp;R&amp;"Arial MT,Bold"Exhibit RPU-8
Page 5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26"/>
  <sheetViews>
    <sheetView showGridLines="0" zoomScaleNormal="100" workbookViewId="0"/>
  </sheetViews>
  <sheetFormatPr defaultColWidth="8.88671875" defaultRowHeight="15"/>
  <cols>
    <col min="1" max="1" width="1.77734375" style="320" customWidth="1"/>
    <col min="2" max="2" width="5.6640625" style="320" customWidth="1"/>
    <col min="3" max="3" width="1.21875" style="320" customWidth="1"/>
    <col min="4" max="4" width="10.77734375" style="320" customWidth="1"/>
    <col min="5" max="5" width="1.88671875" style="320" customWidth="1"/>
    <col min="6" max="6" width="8.6640625" style="320" customWidth="1"/>
    <col min="7" max="8" width="1.21875" style="320" customWidth="1"/>
    <col min="9" max="9" width="14.5546875" style="320" customWidth="1"/>
    <col min="10" max="10" width="1.109375" style="320" customWidth="1"/>
    <col min="11" max="11" width="13.21875" style="320" customWidth="1"/>
    <col min="12" max="12" width="1.44140625" style="320" customWidth="1"/>
    <col min="13" max="13" width="9.44140625" style="320" customWidth="1"/>
    <col min="14" max="16384" width="8.88671875" style="320"/>
  </cols>
  <sheetData>
    <row r="1" spans="2:15" ht="7.5" customHeight="1"/>
    <row r="2" spans="2:15" ht="5.25" customHeight="1"/>
    <row r="3" spans="2:15" ht="15.75">
      <c r="B3" s="989" t="str">
        <f>Coversheet!B3</f>
        <v>Rochester Public Utilities</v>
      </c>
      <c r="C3" s="989"/>
      <c r="D3" s="989"/>
      <c r="E3" s="989"/>
      <c r="F3" s="989"/>
      <c r="G3" s="989"/>
      <c r="H3" s="989"/>
      <c r="I3" s="989"/>
      <c r="J3" s="989"/>
      <c r="K3" s="989"/>
      <c r="L3" s="989"/>
      <c r="M3" s="989"/>
    </row>
    <row r="4" spans="2:15" ht="15.75">
      <c r="B4" s="989" t="s">
        <v>893</v>
      </c>
      <c r="C4" s="989"/>
      <c r="D4" s="989"/>
      <c r="E4" s="989"/>
      <c r="F4" s="989"/>
      <c r="G4" s="989"/>
      <c r="H4" s="989"/>
      <c r="I4" s="989"/>
      <c r="J4" s="989"/>
      <c r="K4" s="989"/>
      <c r="L4" s="989"/>
      <c r="M4" s="989"/>
    </row>
    <row r="5" spans="2:15"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c r="G5" s="989"/>
      <c r="H5" s="989"/>
      <c r="I5" s="989"/>
      <c r="J5" s="989"/>
      <c r="K5" s="989"/>
      <c r="L5" s="989"/>
      <c r="M5" s="989"/>
    </row>
    <row r="6" spans="2:15" ht="15.75">
      <c r="B6" s="700"/>
      <c r="C6" s="700"/>
      <c r="D6" s="700"/>
      <c r="E6" s="700"/>
      <c r="F6" s="700"/>
      <c r="G6" s="700"/>
      <c r="H6" s="700"/>
      <c r="I6" s="934"/>
      <c r="J6" s="934"/>
    </row>
    <row r="7" spans="2:15" ht="15.75">
      <c r="B7" s="321"/>
      <c r="C7" s="321"/>
      <c r="D7" s="321"/>
      <c r="E7" s="321"/>
      <c r="F7" s="321"/>
      <c r="G7" s="990" t="s">
        <v>1088</v>
      </c>
      <c r="H7" s="990"/>
      <c r="I7" s="990"/>
      <c r="J7" s="990"/>
      <c r="K7" s="990"/>
      <c r="L7" s="990"/>
      <c r="M7" s="990"/>
    </row>
    <row r="8" spans="2:15" s="324" customFormat="1" ht="63">
      <c r="B8" s="666" t="s">
        <v>470</v>
      </c>
      <c r="C8" s="706"/>
      <c r="D8" s="666" t="s">
        <v>471</v>
      </c>
      <c r="E8" s="706"/>
      <c r="F8" s="666" t="s">
        <v>472</v>
      </c>
      <c r="G8" s="706"/>
      <c r="H8" s="706"/>
      <c r="I8" s="666" t="s">
        <v>1085</v>
      </c>
      <c r="J8" s="706"/>
      <c r="K8" s="666" t="s">
        <v>1086</v>
      </c>
      <c r="M8" s="666" t="s">
        <v>1089</v>
      </c>
      <c r="N8" s="933"/>
      <c r="O8" s="933"/>
    </row>
    <row r="9" spans="2:15" s="324" customFormat="1" ht="15.75">
      <c r="B9" s="706"/>
      <c r="C9" s="706"/>
      <c r="D9" s="708"/>
      <c r="E9" s="706"/>
      <c r="F9" s="708"/>
      <c r="G9" s="706"/>
      <c r="H9" s="706"/>
      <c r="I9" s="708" t="s">
        <v>1087</v>
      </c>
      <c r="J9" s="706"/>
      <c r="K9" s="708" t="s">
        <v>832</v>
      </c>
      <c r="M9" s="708" t="s">
        <v>833</v>
      </c>
      <c r="N9" s="320"/>
      <c r="O9" s="359"/>
    </row>
    <row r="10" spans="2:15" ht="14.65" customHeight="1">
      <c r="B10" s="639">
        <v>1</v>
      </c>
      <c r="C10" s="705"/>
      <c r="D10" s="639" t="s">
        <v>457</v>
      </c>
      <c r="E10" s="639"/>
      <c r="F10" s="649">
        <f>'Att O_RPU'!E318</f>
        <v>2015</v>
      </c>
      <c r="G10" s="649"/>
      <c r="H10" s="704"/>
      <c r="I10" s="779">
        <v>178591</v>
      </c>
      <c r="J10" s="935"/>
      <c r="K10" s="779">
        <v>0</v>
      </c>
      <c r="M10" s="704">
        <f t="shared" ref="M10:M21" si="0">SUM(I10:K10)</f>
        <v>178591</v>
      </c>
      <c r="O10" s="360"/>
    </row>
    <row r="11" spans="2:15" ht="15.75">
      <c r="B11" s="639">
        <v>2</v>
      </c>
      <c r="C11" s="705"/>
      <c r="D11" s="639" t="s">
        <v>458</v>
      </c>
      <c r="E11" s="639"/>
      <c r="F11" s="639">
        <f>F10</f>
        <v>2015</v>
      </c>
      <c r="G11" s="639"/>
      <c r="H11" s="704"/>
      <c r="I11" s="779">
        <v>169744</v>
      </c>
      <c r="J11" s="935"/>
      <c r="K11" s="779">
        <v>0</v>
      </c>
      <c r="M11" s="704">
        <f t="shared" si="0"/>
        <v>169744</v>
      </c>
      <c r="O11" s="360"/>
    </row>
    <row r="12" spans="2:15" ht="15.75">
      <c r="B12" s="639">
        <v>3</v>
      </c>
      <c r="C12" s="639"/>
      <c r="D12" s="639" t="s">
        <v>459</v>
      </c>
      <c r="E12" s="639"/>
      <c r="F12" s="639">
        <f>F11</f>
        <v>2015</v>
      </c>
      <c r="G12" s="639"/>
      <c r="H12" s="704"/>
      <c r="I12" s="779">
        <v>165699</v>
      </c>
      <c r="J12" s="935"/>
      <c r="K12" s="779">
        <v>0</v>
      </c>
      <c r="M12" s="704">
        <f t="shared" si="0"/>
        <v>165699</v>
      </c>
      <c r="O12" s="360"/>
    </row>
    <row r="13" spans="2:15" ht="15.75">
      <c r="B13" s="639">
        <v>4</v>
      </c>
      <c r="C13" s="639"/>
      <c r="D13" s="639" t="s">
        <v>460</v>
      </c>
      <c r="E13" s="639"/>
      <c r="F13" s="639">
        <f t="shared" ref="F13:F21" si="1">F12</f>
        <v>2015</v>
      </c>
      <c r="G13" s="639"/>
      <c r="H13" s="704"/>
      <c r="I13" s="779">
        <v>154890</v>
      </c>
      <c r="J13" s="935"/>
      <c r="K13" s="779">
        <v>0</v>
      </c>
      <c r="M13" s="704">
        <f t="shared" si="0"/>
        <v>154890</v>
      </c>
      <c r="O13" s="360"/>
    </row>
    <row r="14" spans="2:15" ht="15.75">
      <c r="B14" s="639">
        <v>5</v>
      </c>
      <c r="C14" s="639"/>
      <c r="D14" s="639" t="s">
        <v>461</v>
      </c>
      <c r="E14" s="639"/>
      <c r="F14" s="639">
        <f t="shared" si="1"/>
        <v>2015</v>
      </c>
      <c r="G14" s="639"/>
      <c r="H14" s="704"/>
      <c r="I14" s="779">
        <v>176020</v>
      </c>
      <c r="J14" s="935"/>
      <c r="K14" s="779">
        <v>0</v>
      </c>
      <c r="M14" s="704">
        <f t="shared" si="0"/>
        <v>176020</v>
      </c>
      <c r="O14" s="360"/>
    </row>
    <row r="15" spans="2:15" ht="15.75">
      <c r="B15" s="639">
        <v>6</v>
      </c>
      <c r="C15" s="639"/>
      <c r="D15" s="639" t="s">
        <v>462</v>
      </c>
      <c r="E15" s="639"/>
      <c r="F15" s="639">
        <f t="shared" si="1"/>
        <v>2015</v>
      </c>
      <c r="G15" s="639"/>
      <c r="H15" s="704"/>
      <c r="I15" s="779">
        <v>216000</v>
      </c>
      <c r="J15" s="935"/>
      <c r="K15" s="779">
        <v>1625</v>
      </c>
      <c r="M15" s="704">
        <f t="shared" si="0"/>
        <v>217625</v>
      </c>
      <c r="O15" s="360"/>
    </row>
    <row r="16" spans="2:15" ht="15.75">
      <c r="B16" s="639">
        <v>7</v>
      </c>
      <c r="C16" s="639"/>
      <c r="D16" s="639" t="s">
        <v>463</v>
      </c>
      <c r="E16" s="639"/>
      <c r="F16" s="639">
        <f t="shared" si="1"/>
        <v>2015</v>
      </c>
      <c r="G16" s="639"/>
      <c r="H16" s="704"/>
      <c r="I16" s="779">
        <v>216000</v>
      </c>
      <c r="J16" s="935"/>
      <c r="K16" s="779">
        <v>31589</v>
      </c>
      <c r="M16" s="704">
        <f t="shared" si="0"/>
        <v>247589</v>
      </c>
      <c r="O16" s="360"/>
    </row>
    <row r="17" spans="2:18" ht="15.75">
      <c r="B17" s="639">
        <v>8</v>
      </c>
      <c r="C17" s="639"/>
      <c r="D17" s="639" t="s">
        <v>464</v>
      </c>
      <c r="E17" s="639"/>
      <c r="F17" s="639">
        <f t="shared" si="1"/>
        <v>2015</v>
      </c>
      <c r="G17" s="639"/>
      <c r="H17" s="704"/>
      <c r="I17" s="779">
        <v>216000</v>
      </c>
      <c r="J17" s="935"/>
      <c r="K17" s="779">
        <v>41349</v>
      </c>
      <c r="M17" s="704">
        <f t="shared" si="0"/>
        <v>257349</v>
      </c>
      <c r="O17" s="360"/>
    </row>
    <row r="18" spans="2:18" ht="15.75">
      <c r="B18" s="639">
        <v>9</v>
      </c>
      <c r="C18" s="639"/>
      <c r="D18" s="639" t="s">
        <v>465</v>
      </c>
      <c r="E18" s="639"/>
      <c r="F18" s="639">
        <f t="shared" si="1"/>
        <v>2015</v>
      </c>
      <c r="G18" s="639"/>
      <c r="H18" s="704"/>
      <c r="I18" s="779">
        <v>216000</v>
      </c>
      <c r="J18" s="935"/>
      <c r="K18" s="779">
        <v>43439</v>
      </c>
      <c r="M18" s="704">
        <f t="shared" si="0"/>
        <v>259439</v>
      </c>
      <c r="O18" s="360"/>
    </row>
    <row r="19" spans="2:18" ht="15.75">
      <c r="B19" s="639">
        <v>10</v>
      </c>
      <c r="C19" s="639"/>
      <c r="D19" s="639" t="s">
        <v>466</v>
      </c>
      <c r="E19" s="639"/>
      <c r="F19" s="639">
        <f t="shared" si="1"/>
        <v>2015</v>
      </c>
      <c r="G19" s="639"/>
      <c r="H19" s="704"/>
      <c r="I19" s="779">
        <v>160910</v>
      </c>
      <c r="J19" s="935"/>
      <c r="K19" s="779">
        <v>0</v>
      </c>
      <c r="M19" s="704">
        <f t="shared" si="0"/>
        <v>160910</v>
      </c>
      <c r="O19" s="360"/>
    </row>
    <row r="20" spans="2:18" ht="15.75">
      <c r="B20" s="639">
        <v>11</v>
      </c>
      <c r="C20" s="639"/>
      <c r="D20" s="639" t="s">
        <v>467</v>
      </c>
      <c r="E20" s="639"/>
      <c r="F20" s="639">
        <f t="shared" si="1"/>
        <v>2015</v>
      </c>
      <c r="G20" s="639"/>
      <c r="H20" s="704"/>
      <c r="I20" s="779">
        <v>162479</v>
      </c>
      <c r="J20" s="935"/>
      <c r="K20" s="779">
        <v>0</v>
      </c>
      <c r="M20" s="704">
        <f t="shared" si="0"/>
        <v>162479</v>
      </c>
      <c r="O20" s="360"/>
    </row>
    <row r="21" spans="2:18" ht="15.75">
      <c r="B21" s="639">
        <v>12</v>
      </c>
      <c r="C21" s="639"/>
      <c r="D21" s="639" t="s">
        <v>468</v>
      </c>
      <c r="E21" s="639"/>
      <c r="F21" s="639">
        <f t="shared" si="1"/>
        <v>2015</v>
      </c>
      <c r="G21" s="639"/>
      <c r="H21" s="704"/>
      <c r="I21" s="780">
        <v>167055</v>
      </c>
      <c r="J21" s="935"/>
      <c r="K21" s="780">
        <v>0</v>
      </c>
      <c r="M21" s="704">
        <f t="shared" si="0"/>
        <v>167055</v>
      </c>
    </row>
    <row r="22" spans="2:18" ht="15.75">
      <c r="B22" s="639"/>
      <c r="C22" s="639"/>
      <c r="D22" s="653"/>
      <c r="E22" s="653"/>
      <c r="F22" s="653"/>
      <c r="G22" s="653"/>
      <c r="H22" s="707"/>
      <c r="I22" s="639"/>
      <c r="J22" s="653"/>
      <c r="K22" s="935"/>
      <c r="M22" s="660"/>
      <c r="O22" s="781"/>
      <c r="P22" s="709"/>
    </row>
    <row r="23" spans="2:18" ht="18.75" thickBot="1">
      <c r="B23" s="639">
        <f>B21+1</f>
        <v>13</v>
      </c>
      <c r="C23" s="639"/>
      <c r="D23" s="630" t="s">
        <v>473</v>
      </c>
      <c r="E23" s="700"/>
      <c r="F23" s="629"/>
      <c r="G23" s="629"/>
      <c r="H23" s="661"/>
      <c r="I23" s="936">
        <f>SUM(I10:I21)/12</f>
        <v>183282.33333333334</v>
      </c>
      <c r="J23" s="661"/>
      <c r="K23" s="937">
        <f>SUM(K10:K21)/12</f>
        <v>9833.5</v>
      </c>
      <c r="M23" s="661">
        <f>SUM(M10:M21)/12</f>
        <v>193115.83333333334</v>
      </c>
      <c r="O23" s="781" t="s">
        <v>1090</v>
      </c>
      <c r="Q23" s="709"/>
      <c r="R23" s="709"/>
    </row>
    <row r="24" spans="2:18" ht="16.5" thickTop="1">
      <c r="B24" s="653"/>
      <c r="C24" s="653"/>
      <c r="E24" s="653"/>
      <c r="F24" s="653"/>
      <c r="G24" s="653"/>
      <c r="H24" s="653"/>
    </row>
    <row r="25" spans="2:18" ht="15.75">
      <c r="B25" s="653"/>
      <c r="C25" s="653"/>
      <c r="D25" s="653"/>
      <c r="E25" s="653"/>
      <c r="F25" s="653"/>
      <c r="G25" s="653"/>
      <c r="H25" s="662"/>
      <c r="I25" s="653"/>
      <c r="J25" s="653"/>
      <c r="K25" s="653"/>
    </row>
    <row r="26" spans="2:18" ht="6.75" customHeight="1">
      <c r="I26" s="653"/>
      <c r="J26" s="653"/>
      <c r="K26" s="653"/>
    </row>
  </sheetData>
  <mergeCells count="4">
    <mergeCell ref="B3:M3"/>
    <mergeCell ref="B4:M4"/>
    <mergeCell ref="B5:M5"/>
    <mergeCell ref="G7:M7"/>
  </mergeCells>
  <pageMargins left="0.7" right="0.45" top="1" bottom="0.75" header="0.3" footer="0.3"/>
  <pageSetup scale="93" orientation="landscape" r:id="rId1"/>
  <headerFooter>
    <oddHeader>&amp;L&amp;"Arial MT,Bold"Rochester Public Utilities
2015 Work Papers&amp;R&amp;"Arial MT,Bold"Exhibit RPU-8
Page 6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70"/>
  <sheetViews>
    <sheetView showGridLines="0" topLeftCell="A40" zoomScale="80" zoomScaleNormal="80" workbookViewId="0">
      <selection activeCell="D23" sqref="D23"/>
    </sheetView>
  </sheetViews>
  <sheetFormatPr defaultColWidth="8.88671875" defaultRowHeight="15"/>
  <cols>
    <col min="1" max="1" width="4.44140625" style="320" customWidth="1"/>
    <col min="2" max="2" width="1.109375" style="320" customWidth="1"/>
    <col min="3" max="3" width="3.44140625" style="320" customWidth="1"/>
    <col min="4" max="4" width="14.109375" style="320" bestFit="1" customWidth="1"/>
    <col min="5" max="5" width="4.109375" style="320" customWidth="1"/>
    <col min="6" max="12" width="14.33203125" style="320" customWidth="1"/>
    <col min="13" max="13" width="7.77734375" style="320" bestFit="1" customWidth="1"/>
    <col min="14" max="14" width="7.109375" style="320" bestFit="1" customWidth="1"/>
    <col min="15" max="15" width="14.33203125" style="320" customWidth="1"/>
    <col min="16" max="16" width="21" style="320" bestFit="1" customWidth="1"/>
    <col min="17" max="16384" width="8.88671875" style="320"/>
  </cols>
  <sheetData>
    <row r="1" spans="3:16" ht="15.75">
      <c r="C1" s="991" t="str">
        <f>Coversheet!B3</f>
        <v>Rochester Public Utilities</v>
      </c>
      <c r="D1" s="991"/>
      <c r="E1" s="991"/>
      <c r="F1" s="991"/>
      <c r="G1" s="991"/>
      <c r="H1" s="991"/>
      <c r="I1" s="991"/>
      <c r="J1" s="991"/>
      <c r="K1" s="991"/>
      <c r="L1" s="991"/>
      <c r="M1" s="991"/>
      <c r="N1" s="991"/>
      <c r="O1" s="991"/>
    </row>
    <row r="2" spans="3:16" ht="15.75">
      <c r="C2" s="991" t="s">
        <v>931</v>
      </c>
      <c r="D2" s="991"/>
      <c r="E2" s="991"/>
      <c r="F2" s="991"/>
      <c r="G2" s="991"/>
      <c r="H2" s="991"/>
      <c r="I2" s="991"/>
      <c r="J2" s="991"/>
      <c r="K2" s="991"/>
      <c r="L2" s="991"/>
      <c r="M2" s="991"/>
      <c r="N2" s="991"/>
      <c r="O2" s="991"/>
    </row>
    <row r="3" spans="3:16" ht="15.75">
      <c r="C3" s="991" t="str">
        <f>IF('Att O_RPU'!$I$19&gt;0.5,CONCATENATE("FLTY Forecast for 13 Months Ended December 31, ",'Att O_RPU'!E318),CONCATENATE("True-up Actual for 13 Months Ended December 31, ",'Att O_RPU'!E318))</f>
        <v>True-up Actual for 13 Months Ended December 31, 2015</v>
      </c>
      <c r="D3" s="991"/>
      <c r="E3" s="991"/>
      <c r="F3" s="991"/>
      <c r="G3" s="991"/>
      <c r="H3" s="991"/>
      <c r="I3" s="991"/>
      <c r="J3" s="991"/>
      <c r="K3" s="991"/>
      <c r="L3" s="991"/>
      <c r="M3" s="991"/>
      <c r="N3" s="991"/>
      <c r="O3" s="991"/>
    </row>
    <row r="5" spans="3:16" ht="44.25" customHeight="1">
      <c r="C5" s="323" t="s">
        <v>470</v>
      </c>
      <c r="D5" s="323" t="s">
        <v>474</v>
      </c>
      <c r="E5" s="323" t="s">
        <v>472</v>
      </c>
      <c r="F5" s="323" t="s">
        <v>475</v>
      </c>
      <c r="G5" s="323" t="s">
        <v>668</v>
      </c>
      <c r="H5" s="323" t="s">
        <v>669</v>
      </c>
      <c r="I5" s="547" t="s">
        <v>921</v>
      </c>
      <c r="J5" s="323" t="s">
        <v>39</v>
      </c>
      <c r="K5" s="323" t="s">
        <v>455</v>
      </c>
      <c r="L5" s="323" t="s">
        <v>476</v>
      </c>
      <c r="M5" s="323" t="s">
        <v>477</v>
      </c>
      <c r="N5" s="323" t="s">
        <v>478</v>
      </c>
      <c r="O5" s="323" t="s">
        <v>479</v>
      </c>
    </row>
    <row r="6" spans="3:16">
      <c r="C6" s="548">
        <v>1</v>
      </c>
      <c r="D6" s="546" t="s">
        <v>468</v>
      </c>
      <c r="E6" s="562">
        <f>'Att O_RPU'!E317</f>
        <v>2014</v>
      </c>
      <c r="F6" s="772">
        <v>109129083.67000002</v>
      </c>
      <c r="G6" s="774">
        <v>21736283.640167981</v>
      </c>
      <c r="H6" s="775">
        <v>4692391.370000001</v>
      </c>
      <c r="I6" s="380">
        <v>1928351.18</v>
      </c>
      <c r="J6" s="380">
        <f>G6+H6+I6</f>
        <v>28357026.190167982</v>
      </c>
      <c r="K6" s="772">
        <v>134422939.91</v>
      </c>
      <c r="L6" s="772">
        <v>41226588.620000005</v>
      </c>
      <c r="M6" s="380">
        <v>0</v>
      </c>
      <c r="N6" s="327">
        <v>0</v>
      </c>
      <c r="O6" s="479">
        <f t="shared" ref="O6:O18" si="0">F6+J6+K6+L6+M6+N6</f>
        <v>313135638.39016801</v>
      </c>
    </row>
    <row r="7" spans="3:16">
      <c r="C7" s="548">
        <v>2</v>
      </c>
      <c r="D7" s="548" t="s">
        <v>457</v>
      </c>
      <c r="E7" s="563">
        <f>'Att O_RPU'!E318</f>
        <v>2015</v>
      </c>
      <c r="F7" s="773">
        <v>109123213.79000001</v>
      </c>
      <c r="G7" s="773">
        <v>21736283.640167981</v>
      </c>
      <c r="H7" s="773">
        <v>4689648.7500000009</v>
      </c>
      <c r="I7" s="549">
        <v>1928351.18</v>
      </c>
      <c r="J7" s="549">
        <f>G7+H7+I7</f>
        <v>28354283.570167981</v>
      </c>
      <c r="K7" s="773">
        <v>136098649.47999999</v>
      </c>
      <c r="L7" s="773">
        <v>41916316.13000001</v>
      </c>
      <c r="M7" s="549">
        <v>0</v>
      </c>
      <c r="N7" s="327">
        <f t="shared" ref="N7:N18" si="1">N6</f>
        <v>0</v>
      </c>
      <c r="O7" s="479">
        <f t="shared" si="0"/>
        <v>315492462.97016799</v>
      </c>
    </row>
    <row r="8" spans="3:16" ht="15.75">
      <c r="C8" s="548">
        <v>3</v>
      </c>
      <c r="D8" s="325" t="s">
        <v>458</v>
      </c>
      <c r="E8" s="563">
        <f>E7</f>
        <v>2015</v>
      </c>
      <c r="F8" s="773">
        <v>109123213.79000001</v>
      </c>
      <c r="G8" s="773">
        <v>21736283.640167981</v>
      </c>
      <c r="H8" s="773">
        <v>4689648.7500000009</v>
      </c>
      <c r="I8" s="549">
        <v>1928351.18</v>
      </c>
      <c r="J8" s="549">
        <f t="shared" ref="J8:J18" si="2">G8+H8+I8</f>
        <v>28354283.570167981</v>
      </c>
      <c r="K8" s="773">
        <v>137550606.34</v>
      </c>
      <c r="L8" s="773">
        <v>41943843.540000007</v>
      </c>
      <c r="M8" s="549">
        <v>0</v>
      </c>
      <c r="N8" s="327">
        <f t="shared" si="1"/>
        <v>0</v>
      </c>
      <c r="O8" s="479">
        <f t="shared" si="0"/>
        <v>316971947.24016804</v>
      </c>
      <c r="P8"/>
    </row>
    <row r="9" spans="3:16" s="324" customFormat="1" ht="15.75">
      <c r="C9" s="548">
        <v>4</v>
      </c>
      <c r="D9" s="325" t="s">
        <v>459</v>
      </c>
      <c r="E9" s="563">
        <f t="shared" ref="E9:E18" si="3">E8</f>
        <v>2015</v>
      </c>
      <c r="F9" s="773">
        <v>109123213.79000001</v>
      </c>
      <c r="G9" s="773">
        <v>21736283.640167981</v>
      </c>
      <c r="H9" s="773">
        <v>4689648.7500000009</v>
      </c>
      <c r="I9" s="549">
        <v>1928351.18</v>
      </c>
      <c r="J9" s="549">
        <f t="shared" si="2"/>
        <v>28354283.570167981</v>
      </c>
      <c r="K9" s="773">
        <v>137792025.02000001</v>
      </c>
      <c r="L9" s="773">
        <v>42293393.350000009</v>
      </c>
      <c r="M9" s="549">
        <v>0</v>
      </c>
      <c r="N9" s="327">
        <f t="shared" si="1"/>
        <v>0</v>
      </c>
      <c r="O9" s="479">
        <f t="shared" si="0"/>
        <v>317562915.73016798</v>
      </c>
      <c r="P9"/>
    </row>
    <row r="10" spans="3:16" s="324" customFormat="1" ht="15.75">
      <c r="C10" s="548">
        <v>5</v>
      </c>
      <c r="D10" s="325" t="s">
        <v>460</v>
      </c>
      <c r="E10" s="563">
        <f t="shared" si="3"/>
        <v>2015</v>
      </c>
      <c r="F10" s="773">
        <v>109123213.79000001</v>
      </c>
      <c r="G10" s="773">
        <v>21736283.640167981</v>
      </c>
      <c r="H10" s="773">
        <v>4689648.7500000009</v>
      </c>
      <c r="I10" s="549">
        <v>1928351.18</v>
      </c>
      <c r="J10" s="549">
        <f t="shared" si="2"/>
        <v>28354283.570167981</v>
      </c>
      <c r="K10" s="773">
        <v>138169811.63999999</v>
      </c>
      <c r="L10" s="773">
        <v>42505145.230000012</v>
      </c>
      <c r="M10" s="549">
        <v>0</v>
      </c>
      <c r="N10" s="327">
        <f t="shared" si="1"/>
        <v>0</v>
      </c>
      <c r="O10" s="479">
        <f t="shared" si="0"/>
        <v>318152454.23016798</v>
      </c>
      <c r="P10"/>
    </row>
    <row r="11" spans="3:16" ht="15.75">
      <c r="C11" s="548">
        <v>6</v>
      </c>
      <c r="D11" s="325" t="s">
        <v>461</v>
      </c>
      <c r="E11" s="563">
        <f t="shared" si="3"/>
        <v>2015</v>
      </c>
      <c r="F11" s="773">
        <v>109123213.79000001</v>
      </c>
      <c r="G11" s="773">
        <v>21736283.640167981</v>
      </c>
      <c r="H11" s="773">
        <v>4689648.7500000009</v>
      </c>
      <c r="I11" s="549">
        <v>1928351.18</v>
      </c>
      <c r="J11" s="549">
        <f t="shared" si="2"/>
        <v>28354283.570167981</v>
      </c>
      <c r="K11" s="773">
        <v>138209540.99999997</v>
      </c>
      <c r="L11" s="773">
        <v>42652668.350000009</v>
      </c>
      <c r="M11" s="549">
        <v>0</v>
      </c>
      <c r="N11" s="327">
        <f t="shared" si="1"/>
        <v>0</v>
      </c>
      <c r="O11" s="479">
        <f t="shared" si="0"/>
        <v>318339706.710168</v>
      </c>
      <c r="P11"/>
    </row>
    <row r="12" spans="3:16" ht="15.75">
      <c r="C12" s="548">
        <v>7</v>
      </c>
      <c r="D12" s="325" t="s">
        <v>462</v>
      </c>
      <c r="E12" s="563">
        <f t="shared" si="3"/>
        <v>2015</v>
      </c>
      <c r="F12" s="773">
        <v>109123213.79000001</v>
      </c>
      <c r="G12" s="773">
        <v>21736283.640167981</v>
      </c>
      <c r="H12" s="773">
        <v>4689648.7500000009</v>
      </c>
      <c r="I12" s="549">
        <v>1928351.18</v>
      </c>
      <c r="J12" s="549">
        <f t="shared" si="2"/>
        <v>28354283.570167981</v>
      </c>
      <c r="K12" s="773">
        <v>138291756.44999996</v>
      </c>
      <c r="L12" s="773">
        <v>42757415.800000012</v>
      </c>
      <c r="M12" s="549">
        <v>0</v>
      </c>
      <c r="N12" s="327">
        <f t="shared" si="1"/>
        <v>0</v>
      </c>
      <c r="O12" s="479">
        <f t="shared" si="0"/>
        <v>318526669.61016792</v>
      </c>
      <c r="P12"/>
    </row>
    <row r="13" spans="3:16" ht="15.75">
      <c r="C13" s="548">
        <v>8</v>
      </c>
      <c r="D13" s="325" t="s">
        <v>463</v>
      </c>
      <c r="E13" s="563">
        <f t="shared" si="3"/>
        <v>2015</v>
      </c>
      <c r="F13" s="773">
        <v>109164995.69000001</v>
      </c>
      <c r="G13" s="773">
        <v>21736283.640167981</v>
      </c>
      <c r="H13" s="773">
        <v>4689648.7500000009</v>
      </c>
      <c r="I13" s="549">
        <v>1928351.18</v>
      </c>
      <c r="J13" s="549">
        <f t="shared" si="2"/>
        <v>28354283.570167981</v>
      </c>
      <c r="K13" s="773">
        <v>138286750.93999997</v>
      </c>
      <c r="L13" s="773">
        <v>42757415.800000012</v>
      </c>
      <c r="M13" s="549">
        <v>0</v>
      </c>
      <c r="N13" s="327">
        <f t="shared" si="1"/>
        <v>0</v>
      </c>
      <c r="O13" s="479">
        <f t="shared" si="0"/>
        <v>318563446.00016797</v>
      </c>
      <c r="P13"/>
    </row>
    <row r="14" spans="3:16" ht="15.75">
      <c r="C14" s="548">
        <v>9</v>
      </c>
      <c r="D14" s="325" t="s">
        <v>464</v>
      </c>
      <c r="E14" s="563">
        <f t="shared" si="3"/>
        <v>2015</v>
      </c>
      <c r="F14" s="773">
        <v>109164995.69000001</v>
      </c>
      <c r="G14" s="773">
        <v>21736283.640167981</v>
      </c>
      <c r="H14" s="773">
        <v>4689648.7500000009</v>
      </c>
      <c r="I14" s="549">
        <v>1928351.18</v>
      </c>
      <c r="J14" s="549">
        <f t="shared" si="2"/>
        <v>28354283.570167981</v>
      </c>
      <c r="K14" s="773">
        <v>138293580.38</v>
      </c>
      <c r="L14" s="773">
        <v>42760115.010000013</v>
      </c>
      <c r="M14" s="549">
        <v>0</v>
      </c>
      <c r="N14" s="327">
        <f t="shared" si="1"/>
        <v>0</v>
      </c>
      <c r="O14" s="479">
        <f t="shared" si="0"/>
        <v>318572974.65016794</v>
      </c>
      <c r="P14"/>
    </row>
    <row r="15" spans="3:16" ht="15.75">
      <c r="C15" s="548">
        <v>10</v>
      </c>
      <c r="D15" s="325" t="s">
        <v>465</v>
      </c>
      <c r="E15" s="563">
        <f t="shared" si="3"/>
        <v>2015</v>
      </c>
      <c r="F15" s="773">
        <v>109164995.69000001</v>
      </c>
      <c r="G15" s="773">
        <v>21736283.640167981</v>
      </c>
      <c r="H15" s="773">
        <v>4689648.7500000009</v>
      </c>
      <c r="I15" s="549">
        <v>1928351.18</v>
      </c>
      <c r="J15" s="549">
        <f t="shared" si="2"/>
        <v>28354283.570167981</v>
      </c>
      <c r="K15" s="773">
        <v>138310685.47</v>
      </c>
      <c r="L15" s="773">
        <v>42803716.400000013</v>
      </c>
      <c r="M15" s="549">
        <v>0</v>
      </c>
      <c r="N15" s="327">
        <f t="shared" si="1"/>
        <v>0</v>
      </c>
      <c r="O15" s="479">
        <f t="shared" si="0"/>
        <v>318633681.13016802</v>
      </c>
      <c r="P15"/>
    </row>
    <row r="16" spans="3:16" ht="15.75">
      <c r="C16" s="548">
        <v>11</v>
      </c>
      <c r="D16" s="325" t="s">
        <v>466</v>
      </c>
      <c r="E16" s="563">
        <f t="shared" si="3"/>
        <v>2015</v>
      </c>
      <c r="F16" s="773">
        <v>109164995.69000001</v>
      </c>
      <c r="G16" s="773">
        <v>21736283.640167981</v>
      </c>
      <c r="H16" s="773">
        <v>15776739.830000002</v>
      </c>
      <c r="I16" s="549">
        <v>1928351.18</v>
      </c>
      <c r="J16" s="549">
        <f t="shared" si="2"/>
        <v>39441374.650167979</v>
      </c>
      <c r="K16" s="773">
        <v>138329598.45000002</v>
      </c>
      <c r="L16" s="773">
        <v>43067224.340000011</v>
      </c>
      <c r="M16" s="549">
        <v>0</v>
      </c>
      <c r="N16" s="327">
        <f t="shared" si="1"/>
        <v>0</v>
      </c>
      <c r="O16" s="479">
        <f t="shared" si="0"/>
        <v>330003193.13016808</v>
      </c>
      <c r="P16"/>
    </row>
    <row r="17" spans="3:16" ht="15.75">
      <c r="C17" s="548">
        <v>12</v>
      </c>
      <c r="D17" s="325" t="s">
        <v>467</v>
      </c>
      <c r="E17" s="563">
        <f t="shared" si="3"/>
        <v>2015</v>
      </c>
      <c r="F17" s="773">
        <v>109164995.69000001</v>
      </c>
      <c r="G17" s="773">
        <v>21736283.640167981</v>
      </c>
      <c r="H17" s="773">
        <v>15776739.830000002</v>
      </c>
      <c r="I17" s="549">
        <v>1928351.18</v>
      </c>
      <c r="J17" s="549">
        <f t="shared" si="2"/>
        <v>39441374.650167979</v>
      </c>
      <c r="K17" s="773">
        <v>138158856.66</v>
      </c>
      <c r="L17" s="773">
        <v>42888670.940000013</v>
      </c>
      <c r="M17" s="549">
        <v>0</v>
      </c>
      <c r="N17" s="327">
        <f t="shared" si="1"/>
        <v>0</v>
      </c>
      <c r="O17" s="479">
        <f t="shared" si="0"/>
        <v>329653897.94016796</v>
      </c>
      <c r="P17"/>
    </row>
    <row r="18" spans="3:16" ht="15.75">
      <c r="C18" s="548">
        <v>13</v>
      </c>
      <c r="D18" s="325" t="s">
        <v>468</v>
      </c>
      <c r="E18" s="563">
        <f t="shared" si="3"/>
        <v>2015</v>
      </c>
      <c r="F18" s="773">
        <v>109279113.28000002</v>
      </c>
      <c r="G18" s="773">
        <v>21760637.95016798</v>
      </c>
      <c r="H18" s="773">
        <v>15776739.830000002</v>
      </c>
      <c r="I18" s="549">
        <v>1928351.18</v>
      </c>
      <c r="J18" s="549">
        <f t="shared" si="2"/>
        <v>39465728.960167982</v>
      </c>
      <c r="K18" s="773">
        <v>138840765.63999999</v>
      </c>
      <c r="L18" s="773">
        <v>45431426.260000013</v>
      </c>
      <c r="M18" s="549">
        <v>0</v>
      </c>
      <c r="N18" s="327">
        <f t="shared" si="1"/>
        <v>0</v>
      </c>
      <c r="O18" s="479">
        <f t="shared" si="0"/>
        <v>333017034.14016795</v>
      </c>
      <c r="P18"/>
    </row>
    <row r="19" spans="3:16">
      <c r="C19" s="548">
        <v>14</v>
      </c>
      <c r="D19" s="550"/>
      <c r="E19" s="550"/>
      <c r="F19" s="551"/>
      <c r="G19" s="551"/>
      <c r="H19" s="551"/>
      <c r="I19" s="551"/>
      <c r="J19" s="551"/>
      <c r="K19" s="551"/>
      <c r="L19" s="551"/>
      <c r="M19" s="551"/>
      <c r="N19" s="550"/>
      <c r="O19" s="550"/>
      <c r="P19"/>
    </row>
    <row r="20" spans="3:16" ht="17.25">
      <c r="C20" s="548">
        <v>15</v>
      </c>
      <c r="D20" s="527" t="s">
        <v>480</v>
      </c>
      <c r="E20" s="326"/>
      <c r="F20" s="552">
        <f>SUM(F6:F18)/13</f>
        <v>109151727.54923078</v>
      </c>
      <c r="G20" s="552">
        <f t="shared" ref="G20" si="4">SUM(G6:G18)/13</f>
        <v>21738157.048629519</v>
      </c>
      <c r="H20" s="552">
        <f t="shared" ref="H20:O20" si="5">SUM(H6:H18)/13</f>
        <v>7248419.2007692307</v>
      </c>
      <c r="I20" s="552">
        <f t="shared" si="5"/>
        <v>1928351.18</v>
      </c>
      <c r="J20" s="552">
        <f t="shared" si="5"/>
        <v>30914927.429398756</v>
      </c>
      <c r="K20" s="552">
        <f t="shared" si="5"/>
        <v>137750428.26000002</v>
      </c>
      <c r="L20" s="552">
        <f t="shared" si="5"/>
        <v>42692610.751538478</v>
      </c>
      <c r="M20" s="552">
        <f t="shared" si="5"/>
        <v>0</v>
      </c>
      <c r="N20" s="329">
        <f t="shared" si="5"/>
        <v>0</v>
      </c>
      <c r="O20" s="329">
        <f t="shared" si="5"/>
        <v>320509693.99016798</v>
      </c>
      <c r="P20"/>
    </row>
    <row r="21" spans="3:16">
      <c r="C21" s="550"/>
      <c r="D21" s="330" t="s">
        <v>481</v>
      </c>
      <c r="E21" s="330"/>
      <c r="F21" s="776" t="s">
        <v>482</v>
      </c>
      <c r="G21" s="378"/>
      <c r="H21" s="776" t="s">
        <v>670</v>
      </c>
      <c r="I21" s="378"/>
      <c r="J21" s="776" t="s">
        <v>483</v>
      </c>
      <c r="K21" s="776" t="s">
        <v>484</v>
      </c>
      <c r="L21" s="776" t="s">
        <v>485</v>
      </c>
      <c r="M21" s="776" t="s">
        <v>485</v>
      </c>
      <c r="N21" s="777" t="s">
        <v>486</v>
      </c>
      <c r="O21" s="330"/>
      <c r="P21"/>
    </row>
    <row r="22" spans="3:16">
      <c r="C22" s="550"/>
      <c r="D22" s="550"/>
      <c r="E22" s="550"/>
      <c r="F22" s="551"/>
      <c r="G22" s="551"/>
      <c r="H22" s="776" t="s">
        <v>671</v>
      </c>
      <c r="I22" s="378"/>
      <c r="J22" s="551"/>
      <c r="K22" s="551"/>
      <c r="L22" s="551"/>
      <c r="M22" s="551"/>
      <c r="N22" s="550"/>
      <c r="O22" s="550"/>
      <c r="P22"/>
    </row>
    <row r="23" spans="3:16" ht="45">
      <c r="C23" s="323" t="s">
        <v>470</v>
      </c>
      <c r="D23" s="323" t="s">
        <v>487</v>
      </c>
      <c r="E23" s="323" t="s">
        <v>472</v>
      </c>
      <c r="F23" s="553" t="s">
        <v>475</v>
      </c>
      <c r="G23" s="553" t="s">
        <v>668</v>
      </c>
      <c r="H23" s="553" t="s">
        <v>669</v>
      </c>
      <c r="I23" s="547" t="s">
        <v>975</v>
      </c>
      <c r="J23" s="553" t="s">
        <v>976</v>
      </c>
      <c r="K23" s="553" t="s">
        <v>455</v>
      </c>
      <c r="L23" s="553" t="s">
        <v>476</v>
      </c>
      <c r="M23" s="553" t="s">
        <v>477</v>
      </c>
      <c r="N23" s="323" t="s">
        <v>478</v>
      </c>
      <c r="O23" s="323" t="s">
        <v>488</v>
      </c>
      <c r="P23"/>
    </row>
    <row r="24" spans="3:16">
      <c r="C24" s="548">
        <v>16</v>
      </c>
      <c r="D24" s="546" t="s">
        <v>468</v>
      </c>
      <c r="E24" s="562">
        <f>E6</f>
        <v>2014</v>
      </c>
      <c r="F24" s="772">
        <v>83641642.090000004</v>
      </c>
      <c r="G24" s="774">
        <v>10917885.374025034</v>
      </c>
      <c r="H24" s="772">
        <v>44511.16</v>
      </c>
      <c r="I24" s="775">
        <v>639565.28597496694</v>
      </c>
      <c r="J24" s="380">
        <f>G24+H24+I24</f>
        <v>11601961.82</v>
      </c>
      <c r="K24" s="772">
        <v>60771242.890000001</v>
      </c>
      <c r="L24" s="772">
        <v>25058996.77</v>
      </c>
      <c r="M24" s="380">
        <v>0</v>
      </c>
      <c r="N24" s="327">
        <v>0</v>
      </c>
      <c r="O24" s="479">
        <f t="shared" ref="O24:O36" si="6">F24+J24+K24+L24+M24+N24</f>
        <v>181073843.57000002</v>
      </c>
      <c r="P24"/>
    </row>
    <row r="25" spans="3:16">
      <c r="C25" s="548">
        <v>17</v>
      </c>
      <c r="D25" s="548" t="s">
        <v>457</v>
      </c>
      <c r="E25" s="563">
        <f>E7</f>
        <v>2015</v>
      </c>
      <c r="F25" s="773">
        <v>83726921.030000001</v>
      </c>
      <c r="G25" s="773">
        <v>10966925.98</v>
      </c>
      <c r="H25" s="773">
        <v>54768.15</v>
      </c>
      <c r="I25" s="778">
        <v>643836.52</v>
      </c>
      <c r="J25" s="380">
        <f t="shared" ref="J25:J36" si="7">G25+H25+I25</f>
        <v>11665530.65</v>
      </c>
      <c r="K25" s="773">
        <v>61078142.289999999</v>
      </c>
      <c r="L25" s="773">
        <v>25253271.809999999</v>
      </c>
      <c r="M25" s="554">
        <v>0</v>
      </c>
      <c r="N25" s="327">
        <v>0</v>
      </c>
      <c r="O25" s="479">
        <f t="shared" si="6"/>
        <v>181723865.78</v>
      </c>
      <c r="P25"/>
    </row>
    <row r="26" spans="3:16" ht="15.75">
      <c r="C26" s="548">
        <v>18</v>
      </c>
      <c r="D26" s="325" t="s">
        <v>458</v>
      </c>
      <c r="E26" s="563">
        <f t="shared" ref="E26:E36" si="8">E8</f>
        <v>2015</v>
      </c>
      <c r="F26" s="773">
        <v>84093472.599999994</v>
      </c>
      <c r="G26" s="773">
        <v>11015964.27</v>
      </c>
      <c r="H26" s="773">
        <v>65025.14</v>
      </c>
      <c r="I26" s="778">
        <v>648107.75</v>
      </c>
      <c r="J26" s="380">
        <f t="shared" si="7"/>
        <v>11729097.16</v>
      </c>
      <c r="K26" s="773">
        <v>61383435.990000002</v>
      </c>
      <c r="L26" s="773">
        <v>25452175.620000001</v>
      </c>
      <c r="M26" s="554">
        <v>0</v>
      </c>
      <c r="N26" s="327">
        <v>0</v>
      </c>
      <c r="O26" s="479">
        <f t="shared" si="6"/>
        <v>182658181.37</v>
      </c>
      <c r="P26"/>
    </row>
    <row r="27" spans="3:16" ht="15.75">
      <c r="C27" s="548">
        <v>19</v>
      </c>
      <c r="D27" s="325" t="s">
        <v>459</v>
      </c>
      <c r="E27" s="563">
        <f t="shared" si="8"/>
        <v>2015</v>
      </c>
      <c r="F27" s="773">
        <v>84319387.700000003</v>
      </c>
      <c r="G27" s="773">
        <v>10884818.27</v>
      </c>
      <c r="H27" s="773">
        <v>75282.13</v>
      </c>
      <c r="I27" s="778">
        <v>652378.98</v>
      </c>
      <c r="J27" s="380">
        <f t="shared" si="7"/>
        <v>11612479.380000001</v>
      </c>
      <c r="K27" s="773">
        <v>61848907.869999997</v>
      </c>
      <c r="L27" s="773">
        <v>25650250.870000001</v>
      </c>
      <c r="M27" s="554">
        <v>0</v>
      </c>
      <c r="N27" s="327">
        <v>0</v>
      </c>
      <c r="O27" s="479">
        <f t="shared" si="6"/>
        <v>183431025.81999999</v>
      </c>
      <c r="P27"/>
    </row>
    <row r="28" spans="3:16" ht="15.75">
      <c r="C28" s="548">
        <v>20</v>
      </c>
      <c r="D28" s="325" t="s">
        <v>460</v>
      </c>
      <c r="E28" s="563">
        <f t="shared" si="8"/>
        <v>2015</v>
      </c>
      <c r="F28" s="773">
        <v>84545302.549999997</v>
      </c>
      <c r="G28" s="773">
        <v>10930994.170000002</v>
      </c>
      <c r="H28" s="773">
        <v>85539.12000000001</v>
      </c>
      <c r="I28" s="778">
        <v>656650.21</v>
      </c>
      <c r="J28" s="380">
        <f t="shared" si="7"/>
        <v>11673183.5</v>
      </c>
      <c r="K28" s="773">
        <v>62142272.549999997</v>
      </c>
      <c r="L28" s="773">
        <v>25847935.649999999</v>
      </c>
      <c r="M28" s="554">
        <v>0</v>
      </c>
      <c r="N28" s="327">
        <v>0</v>
      </c>
      <c r="O28" s="479">
        <f t="shared" si="6"/>
        <v>184208694.25</v>
      </c>
      <c r="P28"/>
    </row>
    <row r="29" spans="3:16" ht="15.75">
      <c r="C29" s="548">
        <v>21</v>
      </c>
      <c r="D29" s="325" t="s">
        <v>461</v>
      </c>
      <c r="E29" s="563">
        <f t="shared" si="8"/>
        <v>2015</v>
      </c>
      <c r="F29" s="773">
        <v>84771217.859999999</v>
      </c>
      <c r="G29" s="773">
        <v>10977170.930000002</v>
      </c>
      <c r="H29" s="773">
        <v>95796.110000000015</v>
      </c>
      <c r="I29" s="778">
        <v>660921.43999999994</v>
      </c>
      <c r="J29" s="380">
        <f t="shared" si="7"/>
        <v>11733888.48</v>
      </c>
      <c r="K29" s="773">
        <v>62447359.270000003</v>
      </c>
      <c r="L29" s="773">
        <v>26043809.399999999</v>
      </c>
      <c r="M29" s="554">
        <v>0</v>
      </c>
      <c r="N29" s="327">
        <v>0</v>
      </c>
      <c r="O29" s="479">
        <f t="shared" si="6"/>
        <v>184996275.01000002</v>
      </c>
      <c r="P29"/>
    </row>
    <row r="30" spans="3:16" ht="15.75">
      <c r="C30" s="548">
        <v>22</v>
      </c>
      <c r="D30" s="325" t="s">
        <v>462</v>
      </c>
      <c r="E30" s="563">
        <f t="shared" si="8"/>
        <v>2015</v>
      </c>
      <c r="F30" s="773">
        <v>84997133.429999992</v>
      </c>
      <c r="G30" s="773">
        <v>11023348.370000001</v>
      </c>
      <c r="H30" s="773">
        <v>106053.10000000002</v>
      </c>
      <c r="I30" s="778">
        <v>665192.67000000004</v>
      </c>
      <c r="J30" s="380">
        <f t="shared" si="7"/>
        <v>11794594.140000001</v>
      </c>
      <c r="K30" s="773">
        <v>62759538.740000002</v>
      </c>
      <c r="L30" s="773">
        <v>26240373.09</v>
      </c>
      <c r="M30" s="554">
        <v>0</v>
      </c>
      <c r="N30" s="327">
        <v>0</v>
      </c>
      <c r="O30" s="479">
        <f t="shared" si="6"/>
        <v>185791639.40000001</v>
      </c>
      <c r="P30"/>
    </row>
    <row r="31" spans="3:16" ht="15.75">
      <c r="C31" s="548">
        <v>23</v>
      </c>
      <c r="D31" s="325" t="s">
        <v>463</v>
      </c>
      <c r="E31" s="563">
        <f t="shared" si="8"/>
        <v>2015</v>
      </c>
      <c r="F31" s="773">
        <v>85223048.109999999</v>
      </c>
      <c r="G31" s="773">
        <v>11069524.25</v>
      </c>
      <c r="H31" s="773">
        <v>116310.09000000003</v>
      </c>
      <c r="I31" s="778">
        <v>669463.9</v>
      </c>
      <c r="J31" s="380">
        <f t="shared" si="7"/>
        <v>11855298.24</v>
      </c>
      <c r="K31" s="773">
        <v>63080724.869999997</v>
      </c>
      <c r="L31" s="773">
        <v>26437737.559999999</v>
      </c>
      <c r="M31" s="554">
        <v>0</v>
      </c>
      <c r="N31" s="327">
        <v>0</v>
      </c>
      <c r="O31" s="479">
        <f t="shared" si="6"/>
        <v>186596808.78</v>
      </c>
      <c r="P31"/>
    </row>
    <row r="32" spans="3:16" ht="15.75">
      <c r="C32" s="548">
        <v>24</v>
      </c>
      <c r="D32" s="325" t="s">
        <v>464</v>
      </c>
      <c r="E32" s="563">
        <f t="shared" si="8"/>
        <v>2015</v>
      </c>
      <c r="F32" s="773">
        <v>85448883.400000006</v>
      </c>
      <c r="G32" s="773">
        <v>11115700.229999999</v>
      </c>
      <c r="H32" s="773">
        <v>126567.08000000003</v>
      </c>
      <c r="I32" s="778">
        <v>673735.13</v>
      </c>
      <c r="J32" s="380">
        <f t="shared" si="7"/>
        <v>11916002.439999999</v>
      </c>
      <c r="K32" s="773">
        <v>63371966.890000001</v>
      </c>
      <c r="L32" s="773">
        <v>26648468.02</v>
      </c>
      <c r="M32" s="554">
        <v>0</v>
      </c>
      <c r="N32" s="327">
        <v>0</v>
      </c>
      <c r="O32" s="479">
        <f t="shared" si="6"/>
        <v>187385320.75000003</v>
      </c>
      <c r="P32"/>
    </row>
    <row r="33" spans="3:16" ht="15.75">
      <c r="C33" s="548">
        <v>25</v>
      </c>
      <c r="D33" s="325" t="s">
        <v>465</v>
      </c>
      <c r="E33" s="563">
        <f t="shared" si="8"/>
        <v>2015</v>
      </c>
      <c r="F33" s="773">
        <v>85674639.260000005</v>
      </c>
      <c r="G33" s="773">
        <v>11161877.700000001</v>
      </c>
      <c r="H33" s="773">
        <v>136824.07000000004</v>
      </c>
      <c r="I33" s="778">
        <v>678006.36</v>
      </c>
      <c r="J33" s="380">
        <f t="shared" si="7"/>
        <v>11976708.130000001</v>
      </c>
      <c r="K33" s="773">
        <v>63668682.420000002</v>
      </c>
      <c r="L33" s="773">
        <v>26832072.039999999</v>
      </c>
      <c r="M33" s="554">
        <v>0</v>
      </c>
      <c r="N33" s="327">
        <v>0</v>
      </c>
      <c r="O33" s="479">
        <f t="shared" si="6"/>
        <v>188152101.84999999</v>
      </c>
      <c r="P33"/>
    </row>
    <row r="34" spans="3:16" ht="15.75">
      <c r="C34" s="548">
        <v>26</v>
      </c>
      <c r="D34" s="325" t="s">
        <v>466</v>
      </c>
      <c r="E34" s="563">
        <f t="shared" si="8"/>
        <v>2015</v>
      </c>
      <c r="F34" s="773">
        <v>85900394.849999994</v>
      </c>
      <c r="G34" s="773">
        <v>11216039.210000001</v>
      </c>
      <c r="H34" s="773">
        <v>175028.69000000003</v>
      </c>
      <c r="I34" s="778">
        <v>682277.59</v>
      </c>
      <c r="J34" s="380">
        <f t="shared" si="7"/>
        <v>12073345.49</v>
      </c>
      <c r="K34" s="773">
        <v>63979596.590000004</v>
      </c>
      <c r="L34" s="773">
        <v>27016780.789999999</v>
      </c>
      <c r="M34" s="554">
        <v>0</v>
      </c>
      <c r="N34" s="327">
        <v>0</v>
      </c>
      <c r="O34" s="479">
        <f t="shared" si="6"/>
        <v>188970117.72</v>
      </c>
      <c r="P34"/>
    </row>
    <row r="35" spans="3:16" ht="15.75">
      <c r="C35" s="548">
        <v>27</v>
      </c>
      <c r="D35" s="325" t="s">
        <v>467</v>
      </c>
      <c r="E35" s="563">
        <f t="shared" si="8"/>
        <v>2015</v>
      </c>
      <c r="F35" s="773">
        <v>86246764.799999997</v>
      </c>
      <c r="G35" s="773">
        <v>11258223.029999999</v>
      </c>
      <c r="H35" s="773">
        <v>213233.31000000003</v>
      </c>
      <c r="I35" s="778">
        <v>686548.82</v>
      </c>
      <c r="J35" s="380">
        <f t="shared" si="7"/>
        <v>12158005.16</v>
      </c>
      <c r="K35" s="773">
        <v>64239888.600000001</v>
      </c>
      <c r="L35" s="773">
        <v>27049367.02</v>
      </c>
      <c r="M35" s="554">
        <v>0</v>
      </c>
      <c r="N35" s="327">
        <v>0</v>
      </c>
      <c r="O35" s="479">
        <f t="shared" si="6"/>
        <v>189694025.58000001</v>
      </c>
      <c r="P35"/>
    </row>
    <row r="36" spans="3:16" ht="15.75">
      <c r="C36" s="548">
        <v>28</v>
      </c>
      <c r="D36" s="325" t="s">
        <v>468</v>
      </c>
      <c r="E36" s="563">
        <f t="shared" si="8"/>
        <v>2015</v>
      </c>
      <c r="F36" s="773">
        <v>86352121.709999993</v>
      </c>
      <c r="G36" s="773">
        <v>11300765.126584321</v>
      </c>
      <c r="H36" s="773">
        <v>251437.89000000004</v>
      </c>
      <c r="I36" s="778">
        <v>690820.04341567843</v>
      </c>
      <c r="J36" s="380">
        <f t="shared" si="7"/>
        <v>12243023.060000001</v>
      </c>
      <c r="K36" s="773">
        <v>64392857.030000001</v>
      </c>
      <c r="L36" s="773">
        <v>27352754.41</v>
      </c>
      <c r="M36" s="554">
        <v>0</v>
      </c>
      <c r="N36" s="327">
        <v>0</v>
      </c>
      <c r="O36" s="479">
        <f t="shared" si="6"/>
        <v>190340756.21000001</v>
      </c>
      <c r="P36"/>
    </row>
    <row r="37" spans="3:16">
      <c r="C37" s="548">
        <v>29</v>
      </c>
      <c r="D37" s="550"/>
      <c r="E37" s="550"/>
      <c r="F37" s="550"/>
      <c r="G37" s="550"/>
      <c r="H37" s="550"/>
      <c r="I37" s="550"/>
      <c r="J37" s="550"/>
      <c r="K37" s="550"/>
      <c r="L37" s="550"/>
      <c r="M37" s="550"/>
      <c r="N37" s="550"/>
      <c r="O37" s="550"/>
      <c r="P37"/>
    </row>
    <row r="38" spans="3:16" ht="17.25">
      <c r="C38" s="548">
        <v>30</v>
      </c>
      <c r="D38" s="527" t="s">
        <v>480</v>
      </c>
      <c r="E38" s="326"/>
      <c r="F38" s="329">
        <f>SUM(F24:F36)/13</f>
        <v>84995456.106923074</v>
      </c>
      <c r="G38" s="329">
        <f t="shared" ref="G38" si="9">SUM(G24:G36)/13</f>
        <v>11064556.68543149</v>
      </c>
      <c r="H38" s="329">
        <f t="shared" ref="H38:O38" si="10">SUM(H24:H36)/13</f>
        <v>118952.00307692309</v>
      </c>
      <c r="I38" s="329">
        <f t="shared" si="10"/>
        <v>665192.66918389581</v>
      </c>
      <c r="J38" s="329">
        <f t="shared" si="10"/>
        <v>11848701.357692305</v>
      </c>
      <c r="K38" s="329">
        <f t="shared" si="10"/>
        <v>62704970.461538464</v>
      </c>
      <c r="L38" s="329">
        <f t="shared" si="10"/>
        <v>26221845.61923077</v>
      </c>
      <c r="M38" s="329">
        <f t="shared" si="10"/>
        <v>0</v>
      </c>
      <c r="N38" s="329">
        <f t="shared" si="10"/>
        <v>0</v>
      </c>
      <c r="O38" s="329">
        <f t="shared" si="10"/>
        <v>185770973.54538462</v>
      </c>
      <c r="P38"/>
    </row>
    <row r="39" spans="3:16">
      <c r="C39" s="550"/>
      <c r="D39" s="330" t="s">
        <v>481</v>
      </c>
      <c r="E39" s="330"/>
      <c r="F39" s="777" t="s">
        <v>489</v>
      </c>
      <c r="G39" s="330"/>
      <c r="H39" s="330"/>
      <c r="I39" s="330"/>
      <c r="K39" s="777" t="s">
        <v>490</v>
      </c>
      <c r="L39" s="777" t="s">
        <v>491</v>
      </c>
      <c r="M39" s="777" t="s">
        <v>491</v>
      </c>
      <c r="N39" s="777" t="s">
        <v>492</v>
      </c>
      <c r="O39" s="550"/>
      <c r="P39"/>
    </row>
    <row r="40" spans="3:16" ht="45">
      <c r="C40" s="323" t="s">
        <v>470</v>
      </c>
      <c r="D40" s="323" t="s">
        <v>493</v>
      </c>
      <c r="E40" s="323" t="s">
        <v>472</v>
      </c>
      <c r="F40" s="323" t="s">
        <v>475</v>
      </c>
      <c r="G40" s="323" t="s">
        <v>668</v>
      </c>
      <c r="H40" s="323" t="s">
        <v>669</v>
      </c>
      <c r="I40" s="553" t="s">
        <v>922</v>
      </c>
      <c r="J40" s="323" t="s">
        <v>672</v>
      </c>
      <c r="K40" s="323" t="s">
        <v>455</v>
      </c>
      <c r="L40" s="323" t="s">
        <v>476</v>
      </c>
      <c r="M40" s="323" t="s">
        <v>477</v>
      </c>
      <c r="N40" s="323" t="s">
        <v>478</v>
      </c>
      <c r="O40" s="323" t="s">
        <v>494</v>
      </c>
      <c r="P40"/>
    </row>
    <row r="41" spans="3:16">
      <c r="C41" s="548">
        <v>31</v>
      </c>
      <c r="D41" s="546" t="s">
        <v>468</v>
      </c>
      <c r="E41" s="562" t="str">
        <f>E23</f>
        <v>Year</v>
      </c>
      <c r="F41" s="327">
        <f>F6-F24</f>
        <v>25487441.580000013</v>
      </c>
      <c r="G41" s="327">
        <f t="shared" ref="G41:I53" si="11">G6-G24</f>
        <v>10818398.266142948</v>
      </c>
      <c r="H41" s="327">
        <f t="shared" si="11"/>
        <v>4647880.2100000009</v>
      </c>
      <c r="I41" s="327">
        <f t="shared" si="11"/>
        <v>1288785.8940250329</v>
      </c>
      <c r="J41" s="327">
        <f>G41+H41+I41</f>
        <v>16755064.370167982</v>
      </c>
      <c r="K41" s="327">
        <f t="shared" ref="K41:O53" si="12">K6-K24</f>
        <v>73651697.019999996</v>
      </c>
      <c r="L41" s="327">
        <f t="shared" si="12"/>
        <v>16167591.850000005</v>
      </c>
      <c r="M41" s="327">
        <f t="shared" si="12"/>
        <v>0</v>
      </c>
      <c r="N41" s="327">
        <f t="shared" si="12"/>
        <v>0</v>
      </c>
      <c r="O41" s="327">
        <f t="shared" si="12"/>
        <v>132061794.82016799</v>
      </c>
      <c r="P41"/>
    </row>
    <row r="42" spans="3:16">
      <c r="C42" s="548">
        <v>32</v>
      </c>
      <c r="D42" s="548" t="s">
        <v>457</v>
      </c>
      <c r="E42" s="563">
        <f>E24</f>
        <v>2014</v>
      </c>
      <c r="F42" s="327">
        <f t="shared" ref="F42:O53" si="13">F7-F25</f>
        <v>25396292.760000005</v>
      </c>
      <c r="G42" s="327">
        <f t="shared" si="11"/>
        <v>10769357.660167981</v>
      </c>
      <c r="H42" s="327">
        <f t="shared" si="11"/>
        <v>4634880.6000000006</v>
      </c>
      <c r="I42" s="327">
        <f t="shared" si="11"/>
        <v>1284514.6599999999</v>
      </c>
      <c r="J42" s="327">
        <f t="shared" ref="J42:J53" si="14">G42+H42+I42</f>
        <v>16688752.920167983</v>
      </c>
      <c r="K42" s="327">
        <f t="shared" si="13"/>
        <v>75020507.189999998</v>
      </c>
      <c r="L42" s="327">
        <f t="shared" si="13"/>
        <v>16663044.320000011</v>
      </c>
      <c r="M42" s="327">
        <f t="shared" si="12"/>
        <v>0</v>
      </c>
      <c r="N42" s="327">
        <f t="shared" si="13"/>
        <v>0</v>
      </c>
      <c r="O42" s="327">
        <f t="shared" si="13"/>
        <v>133768597.19016799</v>
      </c>
      <c r="P42"/>
    </row>
    <row r="43" spans="3:16" ht="15.75">
      <c r="C43" s="548">
        <v>33</v>
      </c>
      <c r="D43" s="325" t="s">
        <v>458</v>
      </c>
      <c r="E43" s="563">
        <f t="shared" ref="E43:E53" si="15">E25</f>
        <v>2015</v>
      </c>
      <c r="F43" s="327">
        <f t="shared" si="13"/>
        <v>25029741.190000013</v>
      </c>
      <c r="G43" s="327">
        <f t="shared" si="11"/>
        <v>10720319.370167982</v>
      </c>
      <c r="H43" s="327">
        <f t="shared" si="11"/>
        <v>4624623.6100000013</v>
      </c>
      <c r="I43" s="327">
        <f t="shared" si="11"/>
        <v>1280243.43</v>
      </c>
      <c r="J43" s="327">
        <f t="shared" si="14"/>
        <v>16625186.410167983</v>
      </c>
      <c r="K43" s="327">
        <f t="shared" si="13"/>
        <v>76167170.349999994</v>
      </c>
      <c r="L43" s="327">
        <f t="shared" si="13"/>
        <v>16491667.920000006</v>
      </c>
      <c r="M43" s="327">
        <f t="shared" si="12"/>
        <v>0</v>
      </c>
      <c r="N43" s="327">
        <f t="shared" si="13"/>
        <v>0</v>
      </c>
      <c r="O43" s="327">
        <f t="shared" si="13"/>
        <v>134313765.87016803</v>
      </c>
      <c r="P43"/>
    </row>
    <row r="44" spans="3:16" ht="15.75">
      <c r="C44" s="548">
        <v>34</v>
      </c>
      <c r="D44" s="325" t="s">
        <v>459</v>
      </c>
      <c r="E44" s="563">
        <f t="shared" si="15"/>
        <v>2015</v>
      </c>
      <c r="F44" s="327">
        <f t="shared" si="13"/>
        <v>24803826.090000004</v>
      </c>
      <c r="G44" s="327">
        <f t="shared" si="11"/>
        <v>10851465.370167982</v>
      </c>
      <c r="H44" s="327">
        <f t="shared" si="11"/>
        <v>4614366.620000001</v>
      </c>
      <c r="I44" s="327">
        <f t="shared" si="11"/>
        <v>1275972.2</v>
      </c>
      <c r="J44" s="327">
        <f t="shared" si="14"/>
        <v>16741804.190167982</v>
      </c>
      <c r="K44" s="327">
        <f t="shared" si="13"/>
        <v>75943117.150000006</v>
      </c>
      <c r="L44" s="327">
        <f t="shared" si="13"/>
        <v>16643142.480000008</v>
      </c>
      <c r="M44" s="327">
        <f t="shared" si="12"/>
        <v>0</v>
      </c>
      <c r="N44" s="327">
        <f t="shared" si="13"/>
        <v>0</v>
      </c>
      <c r="O44" s="327">
        <f t="shared" si="13"/>
        <v>134131889.91016799</v>
      </c>
      <c r="P44"/>
    </row>
    <row r="45" spans="3:16" ht="15.75">
      <c r="C45" s="548">
        <v>35</v>
      </c>
      <c r="D45" s="325" t="s">
        <v>460</v>
      </c>
      <c r="E45" s="563">
        <f t="shared" si="15"/>
        <v>2015</v>
      </c>
      <c r="F45" s="327">
        <f t="shared" si="13"/>
        <v>24577911.24000001</v>
      </c>
      <c r="G45" s="327">
        <f t="shared" si="11"/>
        <v>10805289.47016798</v>
      </c>
      <c r="H45" s="327">
        <f t="shared" si="11"/>
        <v>4604109.6300000008</v>
      </c>
      <c r="I45" s="327">
        <f t="shared" si="11"/>
        <v>1271700.97</v>
      </c>
      <c r="J45" s="327">
        <f t="shared" si="14"/>
        <v>16681100.070167981</v>
      </c>
      <c r="K45" s="327">
        <f t="shared" si="13"/>
        <v>76027539.089999989</v>
      </c>
      <c r="L45" s="327">
        <f t="shared" si="13"/>
        <v>16657209.580000013</v>
      </c>
      <c r="M45" s="327">
        <f t="shared" si="12"/>
        <v>0</v>
      </c>
      <c r="N45" s="327">
        <f t="shared" si="13"/>
        <v>0</v>
      </c>
      <c r="O45" s="327">
        <f t="shared" si="13"/>
        <v>133943759.98016798</v>
      </c>
      <c r="P45"/>
    </row>
    <row r="46" spans="3:16" ht="15.75">
      <c r="C46" s="548">
        <v>36</v>
      </c>
      <c r="D46" s="325" t="s">
        <v>461</v>
      </c>
      <c r="E46" s="563">
        <f t="shared" si="15"/>
        <v>2015</v>
      </c>
      <c r="F46" s="327">
        <f t="shared" si="13"/>
        <v>24351995.930000007</v>
      </c>
      <c r="G46" s="327">
        <f t="shared" si="11"/>
        <v>10759112.71016798</v>
      </c>
      <c r="H46" s="327">
        <f t="shared" si="11"/>
        <v>4593852.6400000006</v>
      </c>
      <c r="I46" s="327">
        <f t="shared" si="11"/>
        <v>1267429.74</v>
      </c>
      <c r="J46" s="327">
        <f t="shared" si="14"/>
        <v>16620395.090167981</v>
      </c>
      <c r="K46" s="327">
        <f t="shared" si="13"/>
        <v>75762181.729999959</v>
      </c>
      <c r="L46" s="327">
        <f t="shared" si="13"/>
        <v>16608858.95000001</v>
      </c>
      <c r="M46" s="327">
        <f t="shared" si="12"/>
        <v>0</v>
      </c>
      <c r="N46" s="327">
        <f t="shared" si="13"/>
        <v>0</v>
      </c>
      <c r="O46" s="327">
        <f t="shared" si="13"/>
        <v>133343431.70016798</v>
      </c>
      <c r="P46"/>
    </row>
    <row r="47" spans="3:16" ht="15.75">
      <c r="C47" s="548">
        <v>37</v>
      </c>
      <c r="D47" s="325" t="s">
        <v>462</v>
      </c>
      <c r="E47" s="563">
        <f t="shared" si="15"/>
        <v>2015</v>
      </c>
      <c r="F47" s="327">
        <f t="shared" si="13"/>
        <v>24126080.360000014</v>
      </c>
      <c r="G47" s="327">
        <f t="shared" si="11"/>
        <v>10712935.27016798</v>
      </c>
      <c r="H47" s="327">
        <f t="shared" si="11"/>
        <v>4583595.6500000013</v>
      </c>
      <c r="I47" s="327">
        <f t="shared" si="11"/>
        <v>1263158.5099999998</v>
      </c>
      <c r="J47" s="327">
        <f t="shared" si="14"/>
        <v>16559689.430167982</v>
      </c>
      <c r="K47" s="327">
        <f t="shared" si="13"/>
        <v>75532217.709999949</v>
      </c>
      <c r="L47" s="327">
        <f t="shared" si="13"/>
        <v>16517042.710000012</v>
      </c>
      <c r="M47" s="327">
        <f t="shared" si="12"/>
        <v>0</v>
      </c>
      <c r="N47" s="327">
        <f t="shared" si="13"/>
        <v>0</v>
      </c>
      <c r="O47" s="327">
        <f t="shared" si="13"/>
        <v>132735030.21016791</v>
      </c>
      <c r="P47"/>
    </row>
    <row r="48" spans="3:16" ht="15.75">
      <c r="C48" s="548">
        <v>38</v>
      </c>
      <c r="D48" s="325" t="s">
        <v>463</v>
      </c>
      <c r="E48" s="563">
        <f t="shared" si="15"/>
        <v>2015</v>
      </c>
      <c r="F48" s="327">
        <f t="shared" si="13"/>
        <v>23941947.580000013</v>
      </c>
      <c r="G48" s="327">
        <f t="shared" si="11"/>
        <v>10666759.390167981</v>
      </c>
      <c r="H48" s="327">
        <f t="shared" si="11"/>
        <v>4573338.6600000011</v>
      </c>
      <c r="I48" s="327">
        <f t="shared" si="11"/>
        <v>1258887.2799999998</v>
      </c>
      <c r="J48" s="327">
        <f t="shared" si="14"/>
        <v>16498985.330167981</v>
      </c>
      <c r="K48" s="327">
        <f t="shared" si="13"/>
        <v>75206026.069999963</v>
      </c>
      <c r="L48" s="327">
        <f t="shared" si="13"/>
        <v>16319678.240000013</v>
      </c>
      <c r="M48" s="327">
        <f t="shared" si="12"/>
        <v>0</v>
      </c>
      <c r="N48" s="327">
        <f t="shared" si="13"/>
        <v>0</v>
      </c>
      <c r="O48" s="327">
        <f t="shared" si="13"/>
        <v>131966637.22016796</v>
      </c>
      <c r="P48"/>
    </row>
    <row r="49" spans="3:16" ht="15.75">
      <c r="C49" s="548">
        <v>39</v>
      </c>
      <c r="D49" s="325" t="s">
        <v>464</v>
      </c>
      <c r="E49" s="563">
        <f t="shared" si="15"/>
        <v>2015</v>
      </c>
      <c r="F49" s="327">
        <f t="shared" si="13"/>
        <v>23716112.290000007</v>
      </c>
      <c r="G49" s="327">
        <f t="shared" si="11"/>
        <v>10620583.410167983</v>
      </c>
      <c r="H49" s="327">
        <f t="shared" si="11"/>
        <v>4563081.6700000009</v>
      </c>
      <c r="I49" s="327">
        <f t="shared" si="11"/>
        <v>1254616.0499999998</v>
      </c>
      <c r="J49" s="327">
        <f t="shared" si="14"/>
        <v>16438281.130167983</v>
      </c>
      <c r="K49" s="327">
        <f t="shared" si="13"/>
        <v>74921613.489999995</v>
      </c>
      <c r="L49" s="327">
        <f t="shared" si="13"/>
        <v>16111646.990000013</v>
      </c>
      <c r="M49" s="327">
        <f t="shared" si="12"/>
        <v>0</v>
      </c>
      <c r="N49" s="327">
        <f t="shared" si="13"/>
        <v>0</v>
      </c>
      <c r="O49" s="327">
        <f t="shared" si="13"/>
        <v>131187653.90016791</v>
      </c>
      <c r="P49"/>
    </row>
    <row r="50" spans="3:16" ht="15.75">
      <c r="C50" s="548">
        <v>40</v>
      </c>
      <c r="D50" s="325" t="s">
        <v>465</v>
      </c>
      <c r="E50" s="563">
        <f t="shared" si="15"/>
        <v>2015</v>
      </c>
      <c r="F50" s="327">
        <f t="shared" si="13"/>
        <v>23490356.430000007</v>
      </c>
      <c r="G50" s="327">
        <f t="shared" si="11"/>
        <v>10574405.94016798</v>
      </c>
      <c r="H50" s="327">
        <f t="shared" si="11"/>
        <v>4552824.6800000006</v>
      </c>
      <c r="I50" s="327">
        <f t="shared" si="11"/>
        <v>1250344.8199999998</v>
      </c>
      <c r="J50" s="327">
        <f t="shared" si="14"/>
        <v>16377575.440167982</v>
      </c>
      <c r="K50" s="327">
        <f t="shared" si="13"/>
        <v>74642003.049999997</v>
      </c>
      <c r="L50" s="327">
        <f t="shared" si="13"/>
        <v>15971644.360000014</v>
      </c>
      <c r="M50" s="327">
        <f t="shared" si="12"/>
        <v>0</v>
      </c>
      <c r="N50" s="327">
        <f t="shared" si="13"/>
        <v>0</v>
      </c>
      <c r="O50" s="327">
        <f t="shared" si="13"/>
        <v>130481579.28016803</v>
      </c>
      <c r="P50"/>
    </row>
    <row r="51" spans="3:16" ht="15.75">
      <c r="C51" s="548">
        <v>41</v>
      </c>
      <c r="D51" s="325" t="s">
        <v>466</v>
      </c>
      <c r="E51" s="563">
        <f t="shared" si="15"/>
        <v>2015</v>
      </c>
      <c r="F51" s="327">
        <f t="shared" si="13"/>
        <v>23264600.840000018</v>
      </c>
      <c r="G51" s="327">
        <f t="shared" si="11"/>
        <v>10520244.43016798</v>
      </c>
      <c r="H51" s="327">
        <f t="shared" si="11"/>
        <v>15601711.140000002</v>
      </c>
      <c r="I51" s="327">
        <f t="shared" si="11"/>
        <v>1246073.5899999999</v>
      </c>
      <c r="J51" s="327">
        <f t="shared" si="14"/>
        <v>27368029.160167981</v>
      </c>
      <c r="K51" s="327">
        <f t="shared" si="13"/>
        <v>74350001.860000014</v>
      </c>
      <c r="L51" s="327">
        <f t="shared" si="13"/>
        <v>16050443.550000012</v>
      </c>
      <c r="M51" s="327">
        <f t="shared" si="12"/>
        <v>0</v>
      </c>
      <c r="N51" s="327">
        <f t="shared" si="13"/>
        <v>0</v>
      </c>
      <c r="O51" s="327">
        <f t="shared" si="13"/>
        <v>141033075.41016808</v>
      </c>
      <c r="P51"/>
    </row>
    <row r="52" spans="3:16" ht="15.75">
      <c r="C52" s="548">
        <v>42</v>
      </c>
      <c r="D52" s="325" t="s">
        <v>467</v>
      </c>
      <c r="E52" s="563">
        <f t="shared" si="15"/>
        <v>2015</v>
      </c>
      <c r="F52" s="327">
        <f t="shared" si="13"/>
        <v>22918230.890000015</v>
      </c>
      <c r="G52" s="327">
        <f t="shared" si="11"/>
        <v>10478060.610167982</v>
      </c>
      <c r="H52" s="327">
        <f t="shared" si="11"/>
        <v>15563506.520000001</v>
      </c>
      <c r="I52" s="327">
        <f t="shared" si="11"/>
        <v>1241802.3599999999</v>
      </c>
      <c r="J52" s="327">
        <f t="shared" si="14"/>
        <v>27283369.490167983</v>
      </c>
      <c r="K52" s="327">
        <f t="shared" si="13"/>
        <v>73918968.060000002</v>
      </c>
      <c r="L52" s="327">
        <f t="shared" si="13"/>
        <v>15839303.920000013</v>
      </c>
      <c r="M52" s="327">
        <f t="shared" si="12"/>
        <v>0</v>
      </c>
      <c r="N52" s="327">
        <f t="shared" si="13"/>
        <v>0</v>
      </c>
      <c r="O52" s="327">
        <f t="shared" si="13"/>
        <v>139959872.36016795</v>
      </c>
      <c r="P52"/>
    </row>
    <row r="53" spans="3:16" ht="15.75">
      <c r="C53" s="548">
        <v>43</v>
      </c>
      <c r="D53" s="325" t="s">
        <v>468</v>
      </c>
      <c r="E53" s="563">
        <f t="shared" si="15"/>
        <v>2015</v>
      </c>
      <c r="F53" s="328">
        <f t="shared" si="13"/>
        <v>22926991.570000023</v>
      </c>
      <c r="G53" s="328">
        <f t="shared" si="11"/>
        <v>10459872.823583659</v>
      </c>
      <c r="H53" s="328">
        <f t="shared" si="11"/>
        <v>15525301.940000001</v>
      </c>
      <c r="I53" s="328">
        <f t="shared" si="11"/>
        <v>1237531.1365843215</v>
      </c>
      <c r="J53" s="328">
        <f t="shared" si="14"/>
        <v>27222705.900167983</v>
      </c>
      <c r="K53" s="328">
        <f t="shared" si="13"/>
        <v>74447908.609999985</v>
      </c>
      <c r="L53" s="328">
        <f t="shared" si="13"/>
        <v>18078671.850000013</v>
      </c>
      <c r="M53" s="328">
        <f t="shared" si="12"/>
        <v>0</v>
      </c>
      <c r="N53" s="328">
        <f t="shared" si="13"/>
        <v>0</v>
      </c>
      <c r="O53" s="328">
        <f t="shared" si="13"/>
        <v>142676277.93016794</v>
      </c>
      <c r="P53"/>
    </row>
    <row r="54" spans="3:16">
      <c r="C54" s="548">
        <v>44</v>
      </c>
      <c r="D54" s="550"/>
      <c r="E54" s="550"/>
      <c r="F54" s="550"/>
      <c r="G54" s="550"/>
      <c r="H54" s="550"/>
      <c r="I54" s="550"/>
      <c r="J54" s="550"/>
      <c r="K54" s="550"/>
      <c r="L54" s="550"/>
      <c r="M54" s="550"/>
      <c r="N54" s="550"/>
      <c r="O54" s="550"/>
      <c r="P54"/>
    </row>
    <row r="55" spans="3:16" ht="17.25">
      <c r="C55" s="548">
        <v>45</v>
      </c>
      <c r="D55" s="527" t="s">
        <v>480</v>
      </c>
      <c r="E55" s="326"/>
      <c r="F55" s="329">
        <f>SUM(F41:F53)/13</f>
        <v>24156271.442307711</v>
      </c>
      <c r="G55" s="329">
        <f t="shared" ref="G55:J55" si="16">SUM(G41:G53)/13</f>
        <v>10673600.363198031</v>
      </c>
      <c r="H55" s="329">
        <f t="shared" si="16"/>
        <v>7129467.1976923086</v>
      </c>
      <c r="I55" s="329">
        <f t="shared" ref="I55" si="17">SUM(I41:I53)/13</f>
        <v>1263158.510816104</v>
      </c>
      <c r="J55" s="329">
        <f t="shared" si="16"/>
        <v>19066226.071706444</v>
      </c>
      <c r="K55" s="329">
        <f t="shared" ref="K55:O55" si="18">SUM(K41:K53)/13</f>
        <v>75045457.798461527</v>
      </c>
      <c r="L55" s="329">
        <f t="shared" si="18"/>
        <v>16470765.132307705</v>
      </c>
      <c r="M55" s="329">
        <f t="shared" si="18"/>
        <v>0</v>
      </c>
      <c r="N55" s="329">
        <f t="shared" si="18"/>
        <v>0</v>
      </c>
      <c r="O55" s="329">
        <f t="shared" si="18"/>
        <v>134738720.44478339</v>
      </c>
      <c r="P55"/>
    </row>
    <row r="56" spans="3:16">
      <c r="C56" s="550"/>
      <c r="D56" s="550"/>
      <c r="E56" s="550"/>
      <c r="F56" s="550"/>
      <c r="G56" s="550"/>
      <c r="H56" s="550"/>
      <c r="I56" s="550"/>
      <c r="J56" s="550"/>
      <c r="K56" s="550"/>
      <c r="L56" s="550"/>
      <c r="M56" s="550"/>
      <c r="N56" s="550"/>
      <c r="O56" s="550"/>
      <c r="P56"/>
    </row>
    <row r="57" spans="3:16">
      <c r="C57" s="550"/>
      <c r="D57" s="550"/>
      <c r="E57" s="550"/>
      <c r="F57" s="550"/>
      <c r="G57" s="550"/>
      <c r="H57" s="550"/>
      <c r="I57" s="550"/>
      <c r="J57" s="550"/>
      <c r="K57" s="550"/>
      <c r="L57" s="550"/>
      <c r="M57" s="550"/>
      <c r="N57" s="550"/>
      <c r="O57" s="550"/>
      <c r="P57"/>
    </row>
    <row r="58" spans="3:16" ht="15.75" thickBot="1">
      <c r="C58" s="550"/>
      <c r="D58" s="550"/>
      <c r="E58" s="550"/>
      <c r="F58" s="550"/>
      <c r="G58" s="550"/>
      <c r="H58" s="550"/>
      <c r="I58" s="550"/>
      <c r="J58" s="550"/>
      <c r="K58" s="550"/>
      <c r="L58" s="550"/>
      <c r="M58" s="550"/>
      <c r="N58" s="550"/>
      <c r="O58" s="550"/>
      <c r="P58"/>
    </row>
    <row r="59" spans="3:16" ht="15.75" thickBot="1">
      <c r="C59" s="550"/>
      <c r="D59" s="555" t="str">
        <f>'Att O_RPU'!$E$318&amp;" Att GG Transmission Depreciation"</f>
        <v>2015 Att GG Transmission Depreciation</v>
      </c>
      <c r="E59" s="556"/>
      <c r="F59" s="556"/>
      <c r="G59" s="556"/>
      <c r="H59" s="557">
        <f>H36-H24</f>
        <v>206926.73000000004</v>
      </c>
      <c r="I59" s="558"/>
      <c r="J59" s="550"/>
      <c r="K59" s="550"/>
      <c r="L59" s="550"/>
      <c r="M59" s="550"/>
      <c r="N59" s="550"/>
      <c r="O59" s="550"/>
      <c r="P59"/>
    </row>
    <row r="60" spans="3:16">
      <c r="C60" s="550"/>
      <c r="D60" s="550"/>
      <c r="E60" s="550"/>
      <c r="F60" s="550"/>
      <c r="G60" s="550"/>
      <c r="H60" s="550"/>
      <c r="I60" s="550"/>
      <c r="J60" s="550"/>
      <c r="K60" s="550"/>
      <c r="L60" s="550"/>
      <c r="M60" s="550"/>
      <c r="N60" s="550"/>
      <c r="O60" s="550"/>
    </row>
    <row r="61" spans="3:16">
      <c r="C61" s="550"/>
      <c r="D61" s="559" t="s">
        <v>868</v>
      </c>
      <c r="E61" s="559"/>
      <c r="F61" s="559"/>
      <c r="G61" s="559"/>
      <c r="H61" s="559"/>
      <c r="I61" s="559"/>
      <c r="J61" s="550"/>
      <c r="K61" s="550"/>
      <c r="L61" s="550"/>
      <c r="M61" s="550"/>
      <c r="N61" s="550"/>
      <c r="O61" s="550"/>
    </row>
    <row r="62" spans="3:16">
      <c r="C62" s="550"/>
      <c r="D62" s="559"/>
      <c r="E62" s="550"/>
      <c r="F62" s="559"/>
      <c r="G62" s="560" t="s">
        <v>864</v>
      </c>
      <c r="H62" s="565">
        <v>1590071</v>
      </c>
      <c r="I62" s="559"/>
      <c r="J62" s="550"/>
      <c r="K62" s="550"/>
      <c r="L62" s="550"/>
      <c r="M62" s="550"/>
      <c r="N62" s="550"/>
      <c r="O62" s="550"/>
    </row>
    <row r="63" spans="3:16">
      <c r="C63" s="550"/>
      <c r="D63" s="559"/>
      <c r="E63" s="550"/>
      <c r="F63" s="559"/>
      <c r="G63" s="560" t="s">
        <v>865</v>
      </c>
      <c r="H63" s="566">
        <v>338280</v>
      </c>
      <c r="I63" s="559"/>
      <c r="J63" s="550"/>
      <c r="K63" s="550"/>
      <c r="L63" s="550"/>
      <c r="M63" s="550"/>
      <c r="N63" s="550"/>
      <c r="O63" s="550"/>
    </row>
    <row r="64" spans="3:16">
      <c r="C64" s="550"/>
      <c r="D64" s="559"/>
      <c r="E64" s="559"/>
      <c r="F64" s="559"/>
      <c r="G64" s="559"/>
      <c r="H64" s="561">
        <f>SUM(H62:H63)</f>
        <v>1928351</v>
      </c>
      <c r="I64" s="559"/>
      <c r="J64" s="550"/>
      <c r="K64" s="550"/>
      <c r="L64" s="550"/>
      <c r="M64" s="550"/>
      <c r="N64" s="550"/>
      <c r="O64" s="550"/>
    </row>
    <row r="65" spans="3:15">
      <c r="C65" s="550"/>
      <c r="D65" s="870" t="s">
        <v>1015</v>
      </c>
      <c r="E65" s="864"/>
      <c r="F65" s="864"/>
      <c r="G65" s="864"/>
      <c r="H65" s="864"/>
      <c r="I65" s="864"/>
      <c r="K65" s="550"/>
      <c r="L65" s="550"/>
      <c r="M65" s="550"/>
      <c r="N65" s="550"/>
      <c r="O65" s="550"/>
    </row>
    <row r="66" spans="3:15">
      <c r="F66" s="871"/>
      <c r="G66" s="885" t="s">
        <v>977</v>
      </c>
      <c r="H66" s="331">
        <f>J38</f>
        <v>11848701.357692305</v>
      </c>
    </row>
    <row r="67" spans="3:15">
      <c r="F67" s="871"/>
      <c r="G67" s="885" t="s">
        <v>978</v>
      </c>
      <c r="H67" s="872">
        <f>I38</f>
        <v>665192.66918389581</v>
      </c>
    </row>
    <row r="68" spans="3:15">
      <c r="H68" s="331">
        <f>H66-H67</f>
        <v>11183508.68850841</v>
      </c>
      <c r="I68" s="873" t="s">
        <v>979</v>
      </c>
    </row>
    <row r="69" spans="3:15">
      <c r="E69" s="874"/>
    </row>
    <row r="70" spans="3:15">
      <c r="G70" s="866" t="str">
        <f>'Att O_RPU'!$E$318&amp;" Depreciation expense related to CIAC"</f>
        <v>2015 Depreciation expense related to CIAC</v>
      </c>
      <c r="H70" s="865">
        <v>51254.757440711488</v>
      </c>
    </row>
  </sheetData>
  <mergeCells count="3">
    <mergeCell ref="C1:O1"/>
    <mergeCell ref="C2:O2"/>
    <mergeCell ref="C3:O3"/>
  </mergeCells>
  <printOptions horizontalCentered="1" verticalCentered="1"/>
  <pageMargins left="0.2" right="0.2" top="0.25" bottom="0.25" header="0.3" footer="0.3"/>
  <pageSetup scale="57" orientation="portrait" r:id="rId1"/>
  <headerFooter>
    <oddHeader>&amp;L&amp;"Arial MT,Bold"Rochester Public Utilities
2015 Work Papers&amp;R&amp;"Arial MT,Bold"Exhibit RPU-8
Page 7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activeCell="D24" sqref="D24"/>
    </sheetView>
  </sheetViews>
  <sheetFormatPr defaultColWidth="8.88671875" defaultRowHeight="15"/>
  <cols>
    <col min="1" max="1" width="8.88671875" style="320"/>
    <col min="2" max="2" width="26.88671875" style="320" customWidth="1"/>
    <col min="3" max="3" width="17.44140625" style="320" customWidth="1"/>
    <col min="4" max="4" width="6.6640625" style="320" customWidth="1"/>
    <col min="5" max="5" width="7.77734375" style="320" customWidth="1"/>
    <col min="6" max="16384" width="8.88671875" style="320"/>
  </cols>
  <sheetData>
    <row r="3" spans="1:5" ht="6" customHeight="1"/>
    <row r="4" spans="1:5" ht="6" customHeight="1"/>
    <row r="5" spans="1:5" ht="15.75">
      <c r="A5" s="989" t="str">
        <f>Coversheet!B3</f>
        <v>Rochester Public Utilities</v>
      </c>
      <c r="B5" s="989"/>
      <c r="C5" s="989"/>
      <c r="D5" s="989"/>
      <c r="E5" s="989"/>
    </row>
    <row r="6" spans="1:5" ht="15.75">
      <c r="A6" s="989" t="s">
        <v>932</v>
      </c>
      <c r="B6" s="989"/>
      <c r="C6" s="989"/>
      <c r="D6" s="989"/>
      <c r="E6" s="989"/>
    </row>
    <row r="7" spans="1:5" ht="15.75">
      <c r="A7" s="989" t="str">
        <f>IF('Att O_RPU'!$I$19&gt;0.5,CONCATENATE("FLTY Forecast for 12 Months Ended December 31, ",'Att O_RPU'!E318),CONCATENATE("True-up Actual for 12 Months Ended December 31, ",'Att O_RPU'!E318))</f>
        <v>True-up Actual for 12 Months Ended December 31, 2015</v>
      </c>
      <c r="B7" s="989"/>
      <c r="C7" s="989"/>
      <c r="D7" s="989"/>
      <c r="E7" s="989"/>
    </row>
    <row r="10" spans="1:5" ht="18.75" customHeight="1">
      <c r="A10" s="653"/>
      <c r="B10" s="658" t="s">
        <v>495</v>
      </c>
      <c r="C10" s="653"/>
    </row>
    <row r="11" spans="1:5" ht="15.75">
      <c r="A11" s="653"/>
      <c r="B11" s="659" t="s">
        <v>496</v>
      </c>
      <c r="C11" s="656">
        <v>0</v>
      </c>
    </row>
    <row r="12" spans="1:5" ht="15.75">
      <c r="A12" s="653"/>
      <c r="B12" s="659" t="s">
        <v>497</v>
      </c>
      <c r="C12" s="656">
        <v>0</v>
      </c>
    </row>
    <row r="13" spans="1:5" ht="15.75">
      <c r="A13" s="653"/>
      <c r="B13" s="659" t="s">
        <v>498</v>
      </c>
      <c r="C13" s="656">
        <v>0</v>
      </c>
    </row>
    <row r="14" spans="1:5" ht="15.75">
      <c r="A14" s="653"/>
      <c r="B14" s="659" t="s">
        <v>499</v>
      </c>
      <c r="C14" s="656">
        <v>0</v>
      </c>
    </row>
    <row r="15" spans="1:5" ht="15.75">
      <c r="A15" s="653"/>
      <c r="B15" s="659" t="s">
        <v>500</v>
      </c>
      <c r="C15" s="657">
        <v>0</v>
      </c>
    </row>
    <row r="16" spans="1:5" ht="15.75">
      <c r="A16" s="653"/>
      <c r="B16" s="653"/>
      <c r="C16" s="656"/>
    </row>
    <row r="17" spans="1:3" ht="15.75">
      <c r="A17" s="653"/>
      <c r="B17" s="659" t="s">
        <v>501</v>
      </c>
      <c r="C17" s="656">
        <f>SUM(C11:C15)</f>
        <v>0</v>
      </c>
    </row>
    <row r="18" spans="1:3" ht="5.25" customHeight="1">
      <c r="A18" s="653"/>
      <c r="B18" s="653"/>
      <c r="C18" s="653"/>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2015 Work Papers&amp;R&amp;"Arial MT,Bold"Exhibit RPU-8
Page 8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zoomScaleNormal="100" workbookViewId="0">
      <selection activeCell="D24" sqref="D24"/>
    </sheetView>
  </sheetViews>
  <sheetFormatPr defaultColWidth="8.88671875" defaultRowHeight="15"/>
  <cols>
    <col min="1" max="1" width="6.21875" style="320" customWidth="1"/>
    <col min="2" max="2" width="8.88671875" style="320"/>
    <col min="3" max="3" width="19.109375" style="320" customWidth="1"/>
    <col min="4" max="4" width="6.21875" style="320" customWidth="1"/>
    <col min="5" max="5" width="23.33203125" style="320" customWidth="1"/>
    <col min="6" max="16384" width="8.88671875" style="320"/>
  </cols>
  <sheetData>
    <row r="3" spans="2:6" ht="15.75">
      <c r="B3" s="989" t="str">
        <f>Coversheet!B3</f>
        <v>Rochester Public Utilities</v>
      </c>
      <c r="C3" s="989"/>
      <c r="D3" s="989"/>
      <c r="E3" s="989"/>
      <c r="F3" s="989"/>
    </row>
    <row r="4" spans="2:6" ht="15.75">
      <c r="B4" s="989" t="s">
        <v>928</v>
      </c>
      <c r="C4" s="989"/>
      <c r="D4" s="989"/>
      <c r="E4" s="989"/>
      <c r="F4" s="989"/>
    </row>
    <row r="5" spans="2:6"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row>
    <row r="6" spans="2:6" ht="15.75">
      <c r="B6" s="321"/>
      <c r="C6" s="321"/>
      <c r="D6" s="321"/>
      <c r="E6" s="322"/>
    </row>
    <row r="7" spans="2:6" s="324" customFormat="1" ht="50.65" customHeight="1">
      <c r="B7" s="666" t="s">
        <v>470</v>
      </c>
      <c r="C7" s="666" t="s">
        <v>471</v>
      </c>
      <c r="D7" s="666" t="s">
        <v>472</v>
      </c>
      <c r="E7" s="666" t="s">
        <v>502</v>
      </c>
      <c r="F7" s="650"/>
    </row>
    <row r="8" spans="2:6" s="324" customFormat="1" ht="15.75">
      <c r="B8" s="651">
        <v>1</v>
      </c>
      <c r="C8" s="651" t="s">
        <v>468</v>
      </c>
      <c r="D8" s="648">
        <f>'Att O_RPU'!E317</f>
        <v>2014</v>
      </c>
      <c r="E8" s="652">
        <v>0</v>
      </c>
      <c r="F8" s="650"/>
    </row>
    <row r="9" spans="2:6" ht="15.75">
      <c r="B9" s="639">
        <v>2</v>
      </c>
      <c r="C9" s="639" t="s">
        <v>457</v>
      </c>
      <c r="D9" s="649">
        <f>'Att O_RPU'!E318</f>
        <v>2015</v>
      </c>
      <c r="E9" s="652">
        <v>0</v>
      </c>
      <c r="F9" s="653"/>
    </row>
    <row r="10" spans="2:6" ht="15.75">
      <c r="B10" s="639">
        <v>3</v>
      </c>
      <c r="C10" s="639" t="s">
        <v>458</v>
      </c>
      <c r="D10" s="649">
        <f>D9</f>
        <v>2015</v>
      </c>
      <c r="E10" s="652">
        <v>0</v>
      </c>
      <c r="F10" s="653"/>
    </row>
    <row r="11" spans="2:6" ht="15.75">
      <c r="B11" s="639">
        <v>4</v>
      </c>
      <c r="C11" s="639" t="s">
        <v>459</v>
      </c>
      <c r="D11" s="649">
        <f t="shared" ref="D11:D20" si="0">D10</f>
        <v>2015</v>
      </c>
      <c r="E11" s="652">
        <v>0</v>
      </c>
      <c r="F11" s="653"/>
    </row>
    <row r="12" spans="2:6" ht="15.75">
      <c r="B12" s="639">
        <v>5</v>
      </c>
      <c r="C12" s="639" t="s">
        <v>460</v>
      </c>
      <c r="D12" s="649">
        <f t="shared" si="0"/>
        <v>2015</v>
      </c>
      <c r="E12" s="652">
        <v>0</v>
      </c>
      <c r="F12" s="653"/>
    </row>
    <row r="13" spans="2:6" ht="15.75">
      <c r="B13" s="639">
        <v>6</v>
      </c>
      <c r="C13" s="639" t="s">
        <v>461</v>
      </c>
      <c r="D13" s="649">
        <f t="shared" si="0"/>
        <v>2015</v>
      </c>
      <c r="E13" s="652">
        <v>0</v>
      </c>
      <c r="F13" s="653"/>
    </row>
    <row r="14" spans="2:6" ht="15.75">
      <c r="B14" s="639">
        <v>7</v>
      </c>
      <c r="C14" s="639" t="s">
        <v>462</v>
      </c>
      <c r="D14" s="649">
        <f t="shared" si="0"/>
        <v>2015</v>
      </c>
      <c r="E14" s="652">
        <v>0</v>
      </c>
      <c r="F14" s="653"/>
    </row>
    <row r="15" spans="2:6" ht="15.75">
      <c r="B15" s="639">
        <v>8</v>
      </c>
      <c r="C15" s="639" t="s">
        <v>463</v>
      </c>
      <c r="D15" s="649">
        <f t="shared" si="0"/>
        <v>2015</v>
      </c>
      <c r="E15" s="652">
        <v>0</v>
      </c>
      <c r="F15" s="653"/>
    </row>
    <row r="16" spans="2:6" ht="15.75">
      <c r="B16" s="639">
        <v>9</v>
      </c>
      <c r="C16" s="639" t="s">
        <v>464</v>
      </c>
      <c r="D16" s="649">
        <f t="shared" si="0"/>
        <v>2015</v>
      </c>
      <c r="E16" s="652">
        <v>0</v>
      </c>
      <c r="F16" s="653"/>
    </row>
    <row r="17" spans="2:6" ht="15.75">
      <c r="B17" s="639">
        <v>10</v>
      </c>
      <c r="C17" s="639" t="s">
        <v>465</v>
      </c>
      <c r="D17" s="649">
        <f t="shared" si="0"/>
        <v>2015</v>
      </c>
      <c r="E17" s="652">
        <v>0</v>
      </c>
      <c r="F17" s="653"/>
    </row>
    <row r="18" spans="2:6" ht="15.75">
      <c r="B18" s="639">
        <v>11</v>
      </c>
      <c r="C18" s="639" t="s">
        <v>466</v>
      </c>
      <c r="D18" s="649">
        <f t="shared" si="0"/>
        <v>2015</v>
      </c>
      <c r="E18" s="652">
        <v>0</v>
      </c>
      <c r="F18" s="653"/>
    </row>
    <row r="19" spans="2:6" ht="15.75">
      <c r="B19" s="639">
        <v>12</v>
      </c>
      <c r="C19" s="639" t="s">
        <v>467</v>
      </c>
      <c r="D19" s="649">
        <f t="shared" si="0"/>
        <v>2015</v>
      </c>
      <c r="E19" s="652">
        <v>0</v>
      </c>
      <c r="F19" s="653"/>
    </row>
    <row r="20" spans="2:6" ht="15.75">
      <c r="B20" s="639">
        <v>13</v>
      </c>
      <c r="C20" s="639" t="s">
        <v>468</v>
      </c>
      <c r="D20" s="649">
        <f t="shared" si="0"/>
        <v>2015</v>
      </c>
      <c r="E20" s="654">
        <v>0</v>
      </c>
      <c r="F20" s="653"/>
    </row>
    <row r="21" spans="2:6" ht="15.75">
      <c r="B21" s="639">
        <v>14</v>
      </c>
      <c r="C21" s="653"/>
      <c r="D21" s="653"/>
      <c r="E21" s="653"/>
      <c r="F21" s="653"/>
    </row>
    <row r="22" spans="2:6" ht="15.75">
      <c r="B22" s="639">
        <v>15</v>
      </c>
      <c r="C22" s="642" t="s">
        <v>480</v>
      </c>
      <c r="D22" s="629"/>
      <c r="E22" s="655">
        <f>SUM(E8:E20)/13</f>
        <v>0</v>
      </c>
      <c r="F22" s="653"/>
    </row>
    <row r="23" spans="2:6" ht="15.75">
      <c r="B23" s="653"/>
      <c r="C23" s="653"/>
      <c r="D23" s="653"/>
      <c r="E23" s="653"/>
      <c r="F23" s="653"/>
    </row>
  </sheetData>
  <mergeCells count="3">
    <mergeCell ref="B3:F3"/>
    <mergeCell ref="B4:F4"/>
    <mergeCell ref="B5:F5"/>
  </mergeCells>
  <pageMargins left="0.7" right="0.45" top="0.75" bottom="0.5" header="0.3" footer="0.3"/>
  <pageSetup scale="105" orientation="portrait" r:id="rId1"/>
  <headerFooter>
    <oddHeader>&amp;L&amp;"Arial MT,Bold"Rochester Public Utilities
2015 Work Papers&amp;R&amp;"Arial MT,Bold"Exhibit RPU-8
Page 9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H24"/>
  <sheetViews>
    <sheetView showGridLines="0" zoomScaleNormal="100" workbookViewId="0">
      <selection activeCell="D24" sqref="D24"/>
    </sheetView>
  </sheetViews>
  <sheetFormatPr defaultColWidth="8.88671875" defaultRowHeight="15"/>
  <cols>
    <col min="1" max="1" width="4.5546875" style="320" customWidth="1"/>
    <col min="2" max="2" width="8.88671875" style="320"/>
    <col min="3" max="3" width="21.6640625" style="320" customWidth="1"/>
    <col min="4" max="4" width="7.21875" style="320" customWidth="1"/>
    <col min="5" max="5" width="15.44140625" style="320" customWidth="1"/>
    <col min="6" max="6" width="15.109375" style="320" customWidth="1"/>
    <col min="7" max="16384" width="8.88671875" style="320"/>
  </cols>
  <sheetData>
    <row r="3" spans="2:8" ht="15.75">
      <c r="B3" s="989" t="str">
        <f>Coversheet!B3</f>
        <v>Rochester Public Utilities</v>
      </c>
      <c r="C3" s="989"/>
      <c r="D3" s="989"/>
      <c r="E3" s="989"/>
      <c r="F3" s="989"/>
    </row>
    <row r="4" spans="2:8" ht="15.75">
      <c r="B4" s="989" t="s">
        <v>553</v>
      </c>
      <c r="C4" s="989"/>
      <c r="D4" s="989"/>
      <c r="E4" s="989"/>
      <c r="F4" s="989"/>
    </row>
    <row r="5" spans="2:8" ht="15.75">
      <c r="B5" s="989" t="str">
        <f>IF('Att O_RPU'!$I$19&gt;0.5,CONCATENATE("FLTY Forecast for 12 Months Ended December 31, ",'Att O_RPU'!E318),CONCATENATE("True-up Actual for 12 Months Ended December 31, ",'Att O_RPU'!E318))</f>
        <v>True-up Actual for 12 Months Ended December 31, 2015</v>
      </c>
      <c r="C5" s="989"/>
      <c r="D5" s="989"/>
      <c r="E5" s="989"/>
      <c r="F5" s="989"/>
    </row>
    <row r="6" spans="2:8" ht="15.75">
      <c r="B6" s="629"/>
      <c r="C6" s="629"/>
      <c r="D6" s="629"/>
      <c r="E6" s="630"/>
      <c r="F6" s="631"/>
      <c r="H6" s="373"/>
    </row>
    <row r="7" spans="2:8" s="324" customFormat="1" ht="46.5" customHeight="1">
      <c r="B7" s="632" t="s">
        <v>470</v>
      </c>
      <c r="C7" s="632" t="s">
        <v>471</v>
      </c>
      <c r="D7" s="632" t="s">
        <v>472</v>
      </c>
      <c r="E7" s="632" t="s">
        <v>554</v>
      </c>
      <c r="F7" s="632" t="s">
        <v>555</v>
      </c>
    </row>
    <row r="8" spans="2:8" s="324" customFormat="1">
      <c r="B8" s="633">
        <v>1</v>
      </c>
      <c r="C8" s="633" t="s">
        <v>468</v>
      </c>
      <c r="D8" s="646">
        <f>'Att O_RPU'!E317</f>
        <v>2014</v>
      </c>
      <c r="E8" s="771">
        <v>348182.10000000027</v>
      </c>
      <c r="F8" s="771">
        <v>22877.63</v>
      </c>
    </row>
    <row r="9" spans="2:8">
      <c r="B9" s="636">
        <v>2</v>
      </c>
      <c r="C9" s="636" t="s">
        <v>457</v>
      </c>
      <c r="D9" s="647">
        <f>'Att O_RPU'!E318</f>
        <v>2015</v>
      </c>
      <c r="E9" s="743">
        <v>363955.39000000025</v>
      </c>
      <c r="F9" s="743">
        <v>690646</v>
      </c>
    </row>
    <row r="10" spans="2:8" ht="15.75">
      <c r="B10" s="636">
        <v>3</v>
      </c>
      <c r="C10" s="639" t="s">
        <v>458</v>
      </c>
      <c r="D10" s="647">
        <f>D9</f>
        <v>2015</v>
      </c>
      <c r="E10" s="743">
        <v>343292.95000000024</v>
      </c>
      <c r="F10" s="743">
        <v>627860</v>
      </c>
    </row>
    <row r="11" spans="2:8" ht="15.75">
      <c r="B11" s="636">
        <v>4</v>
      </c>
      <c r="C11" s="639" t="s">
        <v>459</v>
      </c>
      <c r="D11" s="647">
        <f t="shared" ref="D11:D20" si="0">D10</f>
        <v>2015</v>
      </c>
      <c r="E11" s="743">
        <v>323464.41000000032</v>
      </c>
      <c r="F11" s="743">
        <v>565074</v>
      </c>
    </row>
    <row r="12" spans="2:8" ht="15.75">
      <c r="B12" s="636">
        <v>5</v>
      </c>
      <c r="C12" s="639" t="s">
        <v>460</v>
      </c>
      <c r="D12" s="647">
        <f t="shared" si="0"/>
        <v>2015</v>
      </c>
      <c r="E12" s="743">
        <v>325500.46000000031</v>
      </c>
      <c r="F12" s="743">
        <v>502288</v>
      </c>
    </row>
    <row r="13" spans="2:8" ht="15.75">
      <c r="B13" s="636">
        <v>6</v>
      </c>
      <c r="C13" s="639" t="s">
        <v>461</v>
      </c>
      <c r="D13" s="647">
        <f t="shared" si="0"/>
        <v>2015</v>
      </c>
      <c r="E13" s="743">
        <v>341795.41000000044</v>
      </c>
      <c r="F13" s="743">
        <v>439502</v>
      </c>
    </row>
    <row r="14" spans="2:8" ht="15.75">
      <c r="B14" s="636">
        <v>7</v>
      </c>
      <c r="C14" s="639" t="s">
        <v>462</v>
      </c>
      <c r="D14" s="647">
        <f t="shared" si="0"/>
        <v>2015</v>
      </c>
      <c r="E14" s="743">
        <v>359522.68000000028</v>
      </c>
      <c r="F14" s="743">
        <v>756716</v>
      </c>
    </row>
    <row r="15" spans="2:8" ht="15.75">
      <c r="B15" s="636">
        <v>8</v>
      </c>
      <c r="C15" s="639" t="s">
        <v>463</v>
      </c>
      <c r="D15" s="647">
        <f t="shared" si="0"/>
        <v>2015</v>
      </c>
      <c r="E15" s="743">
        <v>383918.66000000038</v>
      </c>
      <c r="F15" s="743">
        <v>313930</v>
      </c>
    </row>
    <row r="16" spans="2:8" ht="15.75">
      <c r="B16" s="636">
        <v>9</v>
      </c>
      <c r="C16" s="639" t="s">
        <v>464</v>
      </c>
      <c r="D16" s="647">
        <f t="shared" si="0"/>
        <v>2015</v>
      </c>
      <c r="E16" s="743">
        <v>391403.52000000043</v>
      </c>
      <c r="F16" s="743">
        <v>251144</v>
      </c>
    </row>
    <row r="17" spans="2:6" ht="15.75">
      <c r="B17" s="636">
        <v>10</v>
      </c>
      <c r="C17" s="639" t="s">
        <v>465</v>
      </c>
      <c r="D17" s="647">
        <f t="shared" si="0"/>
        <v>2015</v>
      </c>
      <c r="E17" s="743">
        <v>412477.4300000004</v>
      </c>
      <c r="F17" s="743">
        <v>188358</v>
      </c>
    </row>
    <row r="18" spans="2:6" ht="15.75">
      <c r="B18" s="636">
        <v>11</v>
      </c>
      <c r="C18" s="639" t="s">
        <v>466</v>
      </c>
      <c r="D18" s="647">
        <f t="shared" si="0"/>
        <v>2015</v>
      </c>
      <c r="E18" s="743">
        <v>411752.90000000037</v>
      </c>
      <c r="F18" s="743">
        <v>324603.58</v>
      </c>
    </row>
    <row r="19" spans="2:6" ht="15.75">
      <c r="B19" s="636">
        <v>12</v>
      </c>
      <c r="C19" s="639" t="s">
        <v>467</v>
      </c>
      <c r="D19" s="647">
        <f t="shared" si="0"/>
        <v>2015</v>
      </c>
      <c r="E19" s="743">
        <v>411425.74</v>
      </c>
      <c r="F19" s="743">
        <v>259569.5</v>
      </c>
    </row>
    <row r="20" spans="2:6" ht="15.75">
      <c r="B20" s="636">
        <v>13</v>
      </c>
      <c r="C20" s="639" t="s">
        <v>468</v>
      </c>
      <c r="D20" s="647">
        <f t="shared" si="0"/>
        <v>2015</v>
      </c>
      <c r="E20" s="743">
        <v>407867.45000000036</v>
      </c>
      <c r="F20" s="743">
        <f>'Balance sheet Sched 2'!C43</f>
        <v>239848.42</v>
      </c>
    </row>
    <row r="21" spans="2:6">
      <c r="B21" s="636">
        <v>14</v>
      </c>
      <c r="C21" s="631"/>
      <c r="D21" s="631"/>
      <c r="E21" s="636"/>
      <c r="F21" s="636"/>
    </row>
    <row r="22" spans="2:6" ht="16.5">
      <c r="B22" s="636">
        <v>15</v>
      </c>
      <c r="C22" s="642" t="s">
        <v>480</v>
      </c>
      <c r="D22" s="643"/>
      <c r="E22" s="744">
        <f>SUM(E8:E20)/13</f>
        <v>371119.93076923111</v>
      </c>
      <c r="F22" s="744">
        <f t="shared" ref="F22" si="1">SUM(F8:F20)/13</f>
        <v>398647.47153846151</v>
      </c>
    </row>
    <row r="23" spans="2:6">
      <c r="B23" s="631"/>
      <c r="C23" s="631"/>
      <c r="D23" s="631"/>
      <c r="E23" s="631"/>
      <c r="F23" s="631"/>
    </row>
    <row r="24" spans="2:6">
      <c r="B24" s="631"/>
      <c r="C24" s="788" t="s">
        <v>481</v>
      </c>
      <c r="D24" s="788"/>
      <c r="E24" s="788" t="s">
        <v>503</v>
      </c>
      <c r="F24" s="788" t="s">
        <v>504</v>
      </c>
    </row>
  </sheetData>
  <mergeCells count="3">
    <mergeCell ref="B3:F3"/>
    <mergeCell ref="B4:F4"/>
    <mergeCell ref="B5:F5"/>
  </mergeCells>
  <pageMargins left="0.7" right="0.2" top="0.75" bottom="0.75" header="0.3" footer="0.3"/>
  <pageSetup orientation="portrait" r:id="rId1"/>
  <headerFooter>
    <oddHeader>&amp;L&amp;"Arial MT,Bold"Rochester Public Utilities
2015 Work Papers&amp;R&amp;"Arial MT,Bold"Exhibit RPU-8
Page 10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zoomScaleNormal="100" workbookViewId="0">
      <selection activeCell="D24" sqref="D24"/>
    </sheetView>
  </sheetViews>
  <sheetFormatPr defaultColWidth="8.88671875" defaultRowHeight="15"/>
  <cols>
    <col min="1" max="1" width="3.6640625" style="320" customWidth="1"/>
    <col min="2" max="2" width="3.109375" style="320" customWidth="1"/>
    <col min="3" max="4" width="1.33203125" style="320" customWidth="1"/>
    <col min="5" max="5" width="8.88671875" style="320"/>
    <col min="6" max="6" width="14.5546875" style="320" customWidth="1"/>
    <col min="7" max="7" width="10.33203125" style="320" customWidth="1"/>
    <col min="8" max="8" width="13.5546875" style="320" bestFit="1" customWidth="1"/>
    <col min="9" max="10" width="13.109375" style="320" bestFit="1" customWidth="1"/>
    <col min="11" max="11" width="14.109375" style="320" bestFit="1" customWidth="1"/>
    <col min="12" max="13" width="12.5546875" style="320" bestFit="1" customWidth="1"/>
    <col min="14" max="14" width="11" style="320" bestFit="1" customWidth="1"/>
    <col min="15" max="15" width="11.77734375" style="320" bestFit="1" customWidth="1"/>
    <col min="16" max="16" width="10.77734375" style="320" bestFit="1" customWidth="1"/>
    <col min="17" max="25" width="10" style="320" bestFit="1" customWidth="1"/>
    <col min="26" max="16384" width="8.88671875" style="320"/>
  </cols>
  <sheetData>
    <row r="3" spans="5:11" ht="5.25" customHeight="1"/>
    <row r="4" spans="5:11" ht="5.25" customHeight="1"/>
    <row r="5" spans="5:11" ht="15.75">
      <c r="E5" s="989" t="str">
        <f>Coversheet!B3</f>
        <v>Rochester Public Utilities</v>
      </c>
      <c r="F5" s="989"/>
      <c r="G5" s="989"/>
      <c r="H5" s="989"/>
      <c r="I5" s="989"/>
      <c r="J5" s="989"/>
      <c r="K5" s="989"/>
    </row>
    <row r="6" spans="5:11" ht="15.75">
      <c r="E6" s="989" t="s">
        <v>505</v>
      </c>
      <c r="F6" s="989"/>
      <c r="G6" s="989"/>
      <c r="H6" s="989"/>
      <c r="I6" s="989"/>
      <c r="J6" s="989"/>
      <c r="K6" s="989"/>
    </row>
    <row r="7" spans="5:11" ht="15.75">
      <c r="E7" s="989" t="str">
        <f>IF('Att O_RPU'!$I$19&gt;0.5,CONCATENATE("FLTY Forecast for 12 Months Ended December 31, ",'Att O_RPU'!E318),CONCATENATE("True-up Actual for 12 Months Ended December 31, ",'Att O_RPU'!E318))</f>
        <v>True-up Actual for 12 Months Ended December 31, 2015</v>
      </c>
      <c r="F7" s="989"/>
      <c r="G7" s="989"/>
      <c r="H7" s="989"/>
      <c r="I7" s="989"/>
      <c r="J7" s="989"/>
      <c r="K7" s="989"/>
    </row>
    <row r="8" spans="5:11" ht="15.75">
      <c r="E8" s="629"/>
      <c r="F8" s="629"/>
      <c r="G8" s="629"/>
      <c r="H8" s="630"/>
      <c r="I8" s="630"/>
      <c r="J8" s="630"/>
      <c r="K8" s="631"/>
    </row>
    <row r="9" spans="5:11" s="324" customFormat="1" ht="62.25" customHeight="1">
      <c r="E9" s="632" t="s">
        <v>470</v>
      </c>
      <c r="F9" s="632" t="s">
        <v>471</v>
      </c>
      <c r="G9" s="632" t="s">
        <v>472</v>
      </c>
      <c r="H9" s="632" t="s">
        <v>506</v>
      </c>
      <c r="I9" s="632" t="s">
        <v>875</v>
      </c>
      <c r="J9" s="632" t="s">
        <v>876</v>
      </c>
      <c r="K9" s="632" t="s">
        <v>654</v>
      </c>
    </row>
    <row r="10" spans="5:11" s="324" customFormat="1">
      <c r="E10" s="633">
        <v>1</v>
      </c>
      <c r="F10" s="633" t="s">
        <v>468</v>
      </c>
      <c r="G10" s="646">
        <f>'Att O_RPU'!E317</f>
        <v>2014</v>
      </c>
      <c r="H10" s="634">
        <v>111425000</v>
      </c>
      <c r="I10" s="635">
        <v>6893671.0199999996</v>
      </c>
      <c r="J10" s="635">
        <v>115298.91</v>
      </c>
      <c r="K10" s="635">
        <v>124655896.38</v>
      </c>
    </row>
    <row r="11" spans="5:11">
      <c r="E11" s="636">
        <v>2</v>
      </c>
      <c r="F11" s="636" t="s">
        <v>457</v>
      </c>
      <c r="G11" s="647">
        <f>'Att O_RPU'!E318</f>
        <v>2015</v>
      </c>
      <c r="H11" s="637">
        <f>H10</f>
        <v>111425000</v>
      </c>
      <c r="I11" s="638">
        <v>6844802.2400000002</v>
      </c>
      <c r="J11" s="638">
        <v>114249.38</v>
      </c>
      <c r="K11" s="638">
        <v>125159890.68000001</v>
      </c>
    </row>
    <row r="12" spans="5:11" ht="15.75">
      <c r="E12" s="636">
        <v>3</v>
      </c>
      <c r="F12" s="639" t="s">
        <v>458</v>
      </c>
      <c r="G12" s="647">
        <f>G11</f>
        <v>2015</v>
      </c>
      <c r="H12" s="637">
        <f t="shared" ref="H12:H20" si="0">H11</f>
        <v>111425000</v>
      </c>
      <c r="I12" s="638">
        <v>6795824.54</v>
      </c>
      <c r="J12" s="638">
        <v>113196.2</v>
      </c>
      <c r="K12" s="638">
        <v>125870889.42</v>
      </c>
    </row>
    <row r="13" spans="5:11" ht="15.75">
      <c r="E13" s="636">
        <v>4</v>
      </c>
      <c r="F13" s="639" t="s">
        <v>459</v>
      </c>
      <c r="G13" s="647">
        <f t="shared" ref="G13:G22" si="1">G12</f>
        <v>2015</v>
      </c>
      <c r="H13" s="637">
        <f t="shared" si="0"/>
        <v>111425000</v>
      </c>
      <c r="I13" s="638">
        <v>6746737.6799999997</v>
      </c>
      <c r="J13" s="638">
        <v>112139.33</v>
      </c>
      <c r="K13" s="638">
        <v>126016835.23999999</v>
      </c>
    </row>
    <row r="14" spans="5:11" ht="15.75">
      <c r="E14" s="636">
        <v>5</v>
      </c>
      <c r="F14" s="639" t="s">
        <v>460</v>
      </c>
      <c r="G14" s="647">
        <f t="shared" si="1"/>
        <v>2015</v>
      </c>
      <c r="H14" s="637">
        <f t="shared" si="0"/>
        <v>111425000</v>
      </c>
      <c r="I14" s="638">
        <v>6697541.3600000003</v>
      </c>
      <c r="J14" s="638">
        <v>111078.76</v>
      </c>
      <c r="K14" s="638">
        <v>126009128.81999999</v>
      </c>
    </row>
    <row r="15" spans="5:11" ht="15.75">
      <c r="E15" s="636">
        <v>6</v>
      </c>
      <c r="F15" s="639" t="s">
        <v>461</v>
      </c>
      <c r="G15" s="647">
        <f t="shared" si="1"/>
        <v>2015</v>
      </c>
      <c r="H15" s="637">
        <f t="shared" si="0"/>
        <v>111425000</v>
      </c>
      <c r="I15" s="638">
        <v>6648235.2199999997</v>
      </c>
      <c r="J15" s="638">
        <v>110014.49</v>
      </c>
      <c r="K15" s="638">
        <v>126357382.47</v>
      </c>
    </row>
    <row r="16" spans="5:11" ht="15.75">
      <c r="E16" s="636">
        <v>7</v>
      </c>
      <c r="F16" s="639" t="s">
        <v>462</v>
      </c>
      <c r="G16" s="647">
        <f t="shared" si="1"/>
        <v>2015</v>
      </c>
      <c r="H16" s="637">
        <f t="shared" si="0"/>
        <v>111425000</v>
      </c>
      <c r="I16" s="638">
        <v>6598819.0499999998</v>
      </c>
      <c r="J16" s="638">
        <v>108946.5</v>
      </c>
      <c r="K16" s="638">
        <v>126766504.38</v>
      </c>
    </row>
    <row r="17" spans="5:26" ht="15.75">
      <c r="E17" s="636">
        <v>8</v>
      </c>
      <c r="F17" s="639" t="s">
        <v>463</v>
      </c>
      <c r="G17" s="647">
        <f t="shared" si="1"/>
        <v>2015</v>
      </c>
      <c r="H17" s="637">
        <f t="shared" si="0"/>
        <v>111425000</v>
      </c>
      <c r="I17" s="638">
        <v>6549292.54</v>
      </c>
      <c r="J17" s="638">
        <v>107874.77</v>
      </c>
      <c r="K17" s="638">
        <v>128663459.88</v>
      </c>
    </row>
    <row r="18" spans="5:26" ht="15.75">
      <c r="E18" s="636">
        <v>9</v>
      </c>
      <c r="F18" s="639" t="s">
        <v>464</v>
      </c>
      <c r="G18" s="647">
        <f t="shared" si="1"/>
        <v>2015</v>
      </c>
      <c r="H18" s="637">
        <f t="shared" si="0"/>
        <v>111425000</v>
      </c>
      <c r="I18" s="638">
        <v>6499655.3600000003</v>
      </c>
      <c r="J18" s="638">
        <v>106799.3</v>
      </c>
      <c r="K18" s="638">
        <v>130919276.41</v>
      </c>
    </row>
    <row r="19" spans="5:26" ht="15.75">
      <c r="E19" s="636">
        <v>10</v>
      </c>
      <c r="F19" s="639" t="s">
        <v>465</v>
      </c>
      <c r="G19" s="647">
        <f t="shared" si="1"/>
        <v>2015</v>
      </c>
      <c r="H19" s="637">
        <f t="shared" si="0"/>
        <v>111425000</v>
      </c>
      <c r="I19" s="638">
        <v>6449907.2699999996</v>
      </c>
      <c r="J19" s="638">
        <v>105720.07</v>
      </c>
      <c r="K19" s="638">
        <v>132314984.55</v>
      </c>
    </row>
    <row r="20" spans="5:26" ht="15.75">
      <c r="E20" s="636">
        <v>11</v>
      </c>
      <c r="F20" s="639" t="s">
        <v>466</v>
      </c>
      <c r="G20" s="647">
        <f t="shared" si="1"/>
        <v>2015</v>
      </c>
      <c r="H20" s="637">
        <f t="shared" si="0"/>
        <v>111425000</v>
      </c>
      <c r="I20" s="638">
        <v>6400048.0099999998</v>
      </c>
      <c r="J20" s="638">
        <v>104637.07</v>
      </c>
      <c r="K20" s="638">
        <v>132404170.36</v>
      </c>
    </row>
    <row r="21" spans="5:26" ht="15.75">
      <c r="E21" s="636">
        <v>12</v>
      </c>
      <c r="F21" s="639" t="s">
        <v>467</v>
      </c>
      <c r="G21" s="647">
        <f t="shared" si="1"/>
        <v>2015</v>
      </c>
      <c r="H21" s="637">
        <v>105335000</v>
      </c>
      <c r="I21" s="638">
        <v>9681459.8000000007</v>
      </c>
      <c r="J21" s="638">
        <v>140820.01999999999</v>
      </c>
      <c r="K21" s="638">
        <v>131914122.45</v>
      </c>
    </row>
    <row r="22" spans="5:26" ht="15.75">
      <c r="E22" s="636">
        <v>13</v>
      </c>
      <c r="F22" s="639" t="s">
        <v>468</v>
      </c>
      <c r="G22" s="647">
        <f t="shared" si="1"/>
        <v>2015</v>
      </c>
      <c r="H22" s="640">
        <f>'Balance sheet Sched 2'!F20</f>
        <v>105335000</v>
      </c>
      <c r="I22" s="641">
        <f>'Balance sheet Sched 2'!F24</f>
        <v>9523135.3599999994</v>
      </c>
      <c r="J22" s="641">
        <f>'Balance sheet Sched 2'!F26</f>
        <v>134721.79</v>
      </c>
      <c r="K22" s="641">
        <f>'Balance sheet Sched 2'!F16</f>
        <v>119492224.59999999</v>
      </c>
    </row>
    <row r="23" spans="5:26">
      <c r="E23" s="636">
        <v>14</v>
      </c>
      <c r="F23" s="491" t="s">
        <v>635</v>
      </c>
      <c r="G23" s="491"/>
      <c r="H23" s="788" t="s">
        <v>636</v>
      </c>
      <c r="I23" s="789" t="s">
        <v>679</v>
      </c>
      <c r="J23" s="789" t="s">
        <v>637</v>
      </c>
      <c r="K23" s="788" t="s">
        <v>683</v>
      </c>
      <c r="L23" s="327"/>
      <c r="M23" s="327"/>
      <c r="N23" s="327"/>
      <c r="O23" s="327"/>
      <c r="P23" s="327"/>
      <c r="Q23" s="327"/>
      <c r="R23" s="327"/>
    </row>
    <row r="24" spans="5:26" ht="16.5">
      <c r="E24" s="636">
        <v>15</v>
      </c>
      <c r="F24" s="642" t="s">
        <v>480</v>
      </c>
      <c r="G24" s="643"/>
      <c r="H24" s="644">
        <f>SUM(H10:H22)/13</f>
        <v>110488076.92307693</v>
      </c>
      <c r="I24" s="644">
        <f>SUM(I10:I22)/13</f>
        <v>7102240.7269230774</v>
      </c>
      <c r="J24" s="644">
        <f>SUM(J10:J22)/13</f>
        <v>114268.96846153846</v>
      </c>
      <c r="K24" s="644">
        <f t="shared" ref="K24" si="2">SUM(K10:K22)/13</f>
        <v>127426520.43384615</v>
      </c>
    </row>
    <row r="25" spans="5:26">
      <c r="E25" s="631"/>
      <c r="F25" s="631"/>
      <c r="G25" s="631"/>
      <c r="H25" s="631"/>
      <c r="I25" s="631"/>
      <c r="J25" s="631"/>
      <c r="K25" s="645"/>
    </row>
    <row r="26" spans="5:26">
      <c r="E26" s="631"/>
      <c r="F26" s="788" t="s">
        <v>680</v>
      </c>
      <c r="G26" s="788"/>
      <c r="H26" s="788" t="s">
        <v>681</v>
      </c>
      <c r="I26" s="788" t="s">
        <v>681</v>
      </c>
      <c r="J26" s="788" t="s">
        <v>681</v>
      </c>
      <c r="K26" s="788" t="s">
        <v>682</v>
      </c>
      <c r="L26" s="327"/>
      <c r="M26" s="327"/>
      <c r="N26" s="327"/>
      <c r="O26" s="327"/>
      <c r="P26" s="327"/>
      <c r="Q26" s="327"/>
      <c r="R26" s="327"/>
    </row>
    <row r="27" spans="5:26" ht="7.5" customHeight="1">
      <c r="F27" s="331"/>
      <c r="K27" s="331"/>
    </row>
    <row r="28" spans="5:26" ht="7.5" customHeight="1">
      <c r="F28" s="331"/>
      <c r="G28" s="331"/>
      <c r="H28" s="331"/>
      <c r="I28" s="331"/>
      <c r="J28" s="331"/>
      <c r="K28" s="331"/>
      <c r="L28" s="331"/>
      <c r="M28" s="331"/>
      <c r="N28" s="331"/>
      <c r="O28" s="331"/>
      <c r="P28" s="331"/>
      <c r="Q28" s="331"/>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9"/>
    </row>
  </sheetData>
  <mergeCells count="3">
    <mergeCell ref="E5:K5"/>
    <mergeCell ref="E6:K6"/>
    <mergeCell ref="E7:K7"/>
  </mergeCells>
  <pageMargins left="0.2" right="0.2" top="0.75" bottom="0.5" header="0.3" footer="0.3"/>
  <pageSetup orientation="landscape" r:id="rId1"/>
  <headerFooter>
    <oddHeader>&amp;L&amp;"Arial MT,Bold"Rochester Public Utilities
2015 Work Papers&amp;R&amp;"Arial MT,Bold"Exhibit RPU-8
Page 11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zoomScale="90" zoomScaleNormal="90" zoomScaleSheetLayoutView="80" workbookViewId="0">
      <selection activeCell="D24" sqref="D24"/>
    </sheetView>
  </sheetViews>
  <sheetFormatPr defaultColWidth="8.88671875" defaultRowHeight="15"/>
  <cols>
    <col min="1" max="1" width="61.77734375" style="319" customWidth="1"/>
    <col min="2" max="2" width="7.88671875" style="319" customWidth="1"/>
    <col min="3" max="3" width="12.44140625" style="319" bestFit="1" customWidth="1"/>
    <col min="4" max="16384" width="8.88671875" style="319"/>
  </cols>
  <sheetData>
    <row r="1" spans="1:4" ht="18.75">
      <c r="A1" s="992" t="str">
        <f>Coversheet!B3</f>
        <v>Rochester Public Utilities</v>
      </c>
      <c r="B1" s="992"/>
      <c r="C1" s="992"/>
      <c r="D1" s="346"/>
    </row>
    <row r="2" spans="1:4" ht="18.75">
      <c r="A2" s="992" t="s">
        <v>933</v>
      </c>
      <c r="B2" s="992"/>
      <c r="C2" s="992"/>
      <c r="D2" s="346"/>
    </row>
    <row r="3" spans="1:4" ht="18.75">
      <c r="A3" s="992" t="str">
        <f>'Capital Structure'!E7</f>
        <v>True-up Actual for 12 Months Ended December 31, 2015</v>
      </c>
      <c r="B3" s="992"/>
      <c r="C3" s="992"/>
      <c r="D3" s="346"/>
    </row>
    <row r="5" spans="1:4" ht="15.75">
      <c r="A5" s="332" t="s">
        <v>934</v>
      </c>
      <c r="C5" s="333" t="s">
        <v>7</v>
      </c>
    </row>
    <row r="6" spans="1:4" ht="15.75">
      <c r="A6" s="334" t="s">
        <v>423</v>
      </c>
      <c r="B6" s="335"/>
    </row>
    <row r="7" spans="1:4" ht="15.75">
      <c r="A7" s="336" t="s">
        <v>507</v>
      </c>
      <c r="B7" s="335"/>
      <c r="C7" s="587">
        <v>63356.85</v>
      </c>
    </row>
    <row r="8" spans="1:4" ht="15.75">
      <c r="A8" s="336" t="s">
        <v>508</v>
      </c>
      <c r="B8" s="335"/>
      <c r="C8" s="588">
        <v>0</v>
      </c>
    </row>
    <row r="9" spans="1:4" ht="15.75">
      <c r="A9" s="336" t="s">
        <v>509</v>
      </c>
      <c r="B9" s="335"/>
      <c r="C9" s="588">
        <v>226.36</v>
      </c>
      <c r="D9" s="745" t="s">
        <v>510</v>
      </c>
    </row>
    <row r="10" spans="1:4" ht="15.75">
      <c r="A10" s="336" t="s">
        <v>511</v>
      </c>
      <c r="B10" s="335"/>
      <c r="C10" s="588">
        <v>194527.58</v>
      </c>
      <c r="D10" s="745" t="s">
        <v>510</v>
      </c>
    </row>
    <row r="11" spans="1:4" ht="15.75">
      <c r="A11" s="336" t="s">
        <v>512</v>
      </c>
      <c r="B11" s="335"/>
      <c r="C11" s="588">
        <v>10570.4</v>
      </c>
      <c r="D11" s="745" t="s">
        <v>510</v>
      </c>
    </row>
    <row r="12" spans="1:4" ht="15.75">
      <c r="A12" s="336" t="s">
        <v>513</v>
      </c>
      <c r="B12" s="335"/>
      <c r="C12" s="588">
        <v>1073.5999999999999</v>
      </c>
      <c r="D12" s="745" t="s">
        <v>514</v>
      </c>
    </row>
    <row r="13" spans="1:4" ht="15.75">
      <c r="A13" s="336" t="s">
        <v>515</v>
      </c>
      <c r="B13" s="335"/>
      <c r="C13" s="588">
        <v>311607.65000000002</v>
      </c>
      <c r="D13" s="745"/>
    </row>
    <row r="14" spans="1:4" ht="15.75">
      <c r="A14" s="336" t="s">
        <v>516</v>
      </c>
      <c r="B14" s="335"/>
      <c r="C14" s="588">
        <v>-11494.38</v>
      </c>
      <c r="D14" s="745"/>
    </row>
    <row r="15" spans="1:4" ht="15.75">
      <c r="A15" s="336" t="s">
        <v>517</v>
      </c>
      <c r="B15" s="335"/>
      <c r="C15" s="588">
        <v>0</v>
      </c>
      <c r="D15" s="745"/>
    </row>
    <row r="16" spans="1:4" ht="15.75">
      <c r="A16" s="336" t="s">
        <v>518</v>
      </c>
      <c r="B16" s="335"/>
      <c r="C16" s="588">
        <v>0</v>
      </c>
      <c r="D16" s="745" t="s">
        <v>514</v>
      </c>
    </row>
    <row r="17" spans="1:4" ht="15.75">
      <c r="A17" s="336" t="s">
        <v>519</v>
      </c>
      <c r="B17" s="335"/>
      <c r="C17" s="588">
        <v>19974.689999999999</v>
      </c>
      <c r="D17" s="745"/>
    </row>
    <row r="18" spans="1:4" ht="15.75">
      <c r="A18" s="336" t="s">
        <v>520</v>
      </c>
      <c r="B18" s="335"/>
      <c r="C18" s="588">
        <v>5074.41</v>
      </c>
      <c r="D18" s="745"/>
    </row>
    <row r="19" spans="1:4" ht="15.75">
      <c r="A19" s="336" t="s">
        <v>521</v>
      </c>
      <c r="B19" s="335"/>
      <c r="C19" s="588">
        <v>0</v>
      </c>
      <c r="D19" s="745"/>
    </row>
    <row r="20" spans="1:4" ht="15.75">
      <c r="A20" s="336" t="s">
        <v>522</v>
      </c>
      <c r="B20" s="335"/>
      <c r="C20" s="588">
        <v>7509648.9400000004</v>
      </c>
      <c r="D20" s="745" t="s">
        <v>523</v>
      </c>
    </row>
    <row r="21" spans="1:4" ht="15.75">
      <c r="A21" s="336" t="s">
        <v>524</v>
      </c>
      <c r="B21" s="335"/>
      <c r="C21" s="588">
        <v>30427.31</v>
      </c>
      <c r="D21" s="745"/>
    </row>
    <row r="22" spans="1:4" ht="15" customHeight="1" thickBot="1">
      <c r="A22" s="336" t="s">
        <v>525</v>
      </c>
      <c r="B22" s="335"/>
      <c r="C22" s="589">
        <v>0</v>
      </c>
      <c r="D22" s="745"/>
    </row>
    <row r="23" spans="1:4" ht="15" customHeight="1">
      <c r="A23" s="353" t="s">
        <v>633</v>
      </c>
      <c r="B23" s="335"/>
      <c r="C23" s="590">
        <f>SUM(C7:C22)</f>
        <v>8134993.4100000001</v>
      </c>
      <c r="D23" s="745"/>
    </row>
    <row r="24" spans="1:4" ht="15.75">
      <c r="A24" s="334" t="s">
        <v>424</v>
      </c>
      <c r="B24" s="335"/>
      <c r="C24" s="590"/>
      <c r="D24" s="745"/>
    </row>
    <row r="25" spans="1:4" ht="15.75">
      <c r="A25" s="336" t="s">
        <v>526</v>
      </c>
      <c r="B25" s="335"/>
      <c r="C25" s="588">
        <v>19994.43</v>
      </c>
      <c r="D25" s="745"/>
    </row>
    <row r="26" spans="1:4" ht="15.75">
      <c r="A26" s="336" t="s">
        <v>527</v>
      </c>
      <c r="B26" s="335"/>
      <c r="C26" s="588">
        <v>0</v>
      </c>
      <c r="D26" s="745"/>
    </row>
    <row r="27" spans="1:4" ht="15.75">
      <c r="A27" s="336" t="s">
        <v>528</v>
      </c>
      <c r="B27" s="335"/>
      <c r="C27" s="588">
        <v>0</v>
      </c>
      <c r="D27" s="745"/>
    </row>
    <row r="28" spans="1:4" ht="15.75">
      <c r="A28" s="336" t="s">
        <v>529</v>
      </c>
      <c r="B28" s="335"/>
      <c r="C28" s="588">
        <v>0</v>
      </c>
      <c r="D28" s="745"/>
    </row>
    <row r="29" spans="1:4" ht="15.75">
      <c r="A29" s="336" t="s">
        <v>530</v>
      </c>
      <c r="B29" s="335"/>
      <c r="C29" s="588">
        <v>0</v>
      </c>
      <c r="D29" s="745"/>
    </row>
    <row r="30" spans="1:4" ht="15.75">
      <c r="A30" s="336" t="s">
        <v>531</v>
      </c>
      <c r="B30" s="335"/>
      <c r="C30" s="588">
        <v>0</v>
      </c>
      <c r="D30" s="745"/>
    </row>
    <row r="31" spans="1:4" ht="15.75">
      <c r="A31" s="336" t="s">
        <v>532</v>
      </c>
      <c r="B31" s="335"/>
      <c r="C31" s="588">
        <v>73486.399999999994</v>
      </c>
      <c r="D31" s="745"/>
    </row>
    <row r="32" spans="1:4" ht="15.75">
      <c r="A32" s="336" t="s">
        <v>533</v>
      </c>
      <c r="B32" s="335"/>
      <c r="C32" s="588">
        <v>26279.11</v>
      </c>
      <c r="D32" s="745"/>
    </row>
    <row r="33" spans="1:4" ht="15.75">
      <c r="A33" s="336" t="s">
        <v>534</v>
      </c>
      <c r="B33" s="335"/>
      <c r="C33" s="588">
        <v>0</v>
      </c>
      <c r="D33" s="745"/>
    </row>
    <row r="34" spans="1:4" ht="15.75">
      <c r="A34" s="336" t="s">
        <v>535</v>
      </c>
      <c r="B34" s="335"/>
      <c r="C34" s="591">
        <v>0</v>
      </c>
      <c r="D34" s="745"/>
    </row>
    <row r="35" spans="1:4" ht="15.75">
      <c r="A35" s="353" t="s">
        <v>634</v>
      </c>
      <c r="B35" s="335"/>
      <c r="C35" s="592">
        <f>SUM(C25:C34)</f>
        <v>119759.93999999999</v>
      </c>
      <c r="D35" s="745"/>
    </row>
    <row r="36" spans="1:4" ht="18">
      <c r="A36" s="336"/>
      <c r="B36" s="335"/>
      <c r="C36" s="593"/>
      <c r="D36" s="745"/>
    </row>
    <row r="37" spans="1:4">
      <c r="C37" s="594"/>
      <c r="D37" s="745"/>
    </row>
    <row r="38" spans="1:4" ht="15.75">
      <c r="A38" s="336" t="s">
        <v>556</v>
      </c>
      <c r="C38" s="628">
        <f>C23+C35</f>
        <v>8254753.3500000006</v>
      </c>
      <c r="D38" s="745" t="s">
        <v>536</v>
      </c>
    </row>
    <row r="41" spans="1:4">
      <c r="A41" s="337" t="s">
        <v>557</v>
      </c>
    </row>
    <row r="42" spans="1:4">
      <c r="A42" s="338" t="s">
        <v>558</v>
      </c>
      <c r="C42" s="356" t="s">
        <v>676</v>
      </c>
    </row>
    <row r="43" spans="1:4">
      <c r="A43" s="338" t="s">
        <v>559</v>
      </c>
    </row>
    <row r="44" spans="1:4">
      <c r="A44" s="338" t="s">
        <v>560</v>
      </c>
    </row>
    <row r="45" spans="1:4">
      <c r="A45" s="339" t="s">
        <v>561</v>
      </c>
    </row>
    <row r="46" spans="1:4">
      <c r="A46" s="338" t="s">
        <v>562</v>
      </c>
    </row>
    <row r="47" spans="1:4">
      <c r="A47" s="339" t="s">
        <v>561</v>
      </c>
    </row>
    <row r="48" spans="1:4">
      <c r="A48" s="340" t="s">
        <v>563</v>
      </c>
    </row>
    <row r="49" spans="1:3" ht="15.75">
      <c r="A49" s="374" t="s">
        <v>677</v>
      </c>
      <c r="B49" s="356"/>
      <c r="C49" s="595">
        <f>574560*12</f>
        <v>6894720</v>
      </c>
    </row>
    <row r="50" spans="1:3" ht="15.75">
      <c r="A50" s="374" t="s">
        <v>678</v>
      </c>
      <c r="B50" s="356"/>
      <c r="C50" s="376">
        <f>C20-C49</f>
        <v>614928.94000000041</v>
      </c>
    </row>
    <row r="51" spans="1:3" ht="15.75">
      <c r="A51" s="375"/>
      <c r="B51" s="356"/>
      <c r="C51" s="377">
        <f>SUM(C49:C50)</f>
        <v>7509648.9400000004</v>
      </c>
    </row>
    <row r="52" spans="1:3" ht="15.75">
      <c r="A52" s="336"/>
    </row>
    <row r="53" spans="1:3" ht="15.75">
      <c r="A53" s="336"/>
    </row>
    <row r="54" spans="1:3" ht="15.75">
      <c r="A54" s="336"/>
    </row>
    <row r="55" spans="1:3" ht="15.75">
      <c r="A55" s="336"/>
    </row>
    <row r="56" spans="1:3" ht="15.75">
      <c r="A56" s="341"/>
    </row>
    <row r="57" spans="1:3" ht="15.75">
      <c r="A57" s="336"/>
    </row>
    <row r="58" spans="1:3" ht="15.75">
      <c r="A58" s="336"/>
    </row>
    <row r="59" spans="1:3" ht="15.75">
      <c r="A59" s="336"/>
    </row>
    <row r="60" spans="1:3" ht="15.75">
      <c r="A60" s="336"/>
    </row>
    <row r="61" spans="1:3" ht="15.75">
      <c r="A61" s="341"/>
    </row>
    <row r="62" spans="1:3" ht="15.75">
      <c r="A62" s="336"/>
    </row>
    <row r="63" spans="1:3" ht="15.75">
      <c r="A63" s="336"/>
    </row>
    <row r="64" spans="1:3" ht="15.75">
      <c r="A64" s="336"/>
    </row>
    <row r="65" spans="1:1" ht="15.75">
      <c r="A65" s="336"/>
    </row>
    <row r="66" spans="1:1" ht="15.75">
      <c r="A66" s="336"/>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sheetData>
  <mergeCells count="3">
    <mergeCell ref="A3:C3"/>
    <mergeCell ref="A1:C1"/>
    <mergeCell ref="A2:C2"/>
  </mergeCells>
  <pageMargins left="0.2" right="0.2" top="0.75" bottom="0.5" header="0.3" footer="0.3"/>
  <pageSetup orientation="portrait" r:id="rId1"/>
  <headerFooter>
    <oddHeader>&amp;L&amp;"Arial MT,Bold"Rochester Public Utilities
2015 Work Papers&amp;R&amp;"Arial MT,Bold"Exhibit RPU-8
Page 12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4"/>
  <sheetViews>
    <sheetView tabSelected="1" zoomScale="80" zoomScaleNormal="80" zoomScaleSheetLayoutView="75" workbookViewId="0"/>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166</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885</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544" t="s">
        <v>638</v>
      </c>
      <c r="E6" s="123"/>
      <c r="F6" s="123"/>
      <c r="G6" s="123"/>
      <c r="H6" s="123"/>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240</v>
      </c>
      <c r="C10" s="12"/>
      <c r="D10" s="19"/>
      <c r="E10" s="12"/>
      <c r="F10" s="12"/>
      <c r="G10" s="12"/>
      <c r="H10" s="12"/>
      <c r="I10" s="567">
        <f>+I183</f>
        <v>3561576.7634262266</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158</v>
      </c>
      <c r="D12" s="18" t="s">
        <v>9</v>
      </c>
      <c r="E12" s="5"/>
      <c r="F12" s="20" t="s">
        <v>10</v>
      </c>
      <c r="G12" s="20"/>
      <c r="H12" s="12"/>
      <c r="I12" s="19"/>
      <c r="J12" s="12"/>
      <c r="K12" s="12"/>
      <c r="L12" s="12"/>
      <c r="N12" s="12"/>
      <c r="O12" s="12"/>
      <c r="P12" s="12"/>
    </row>
    <row r="13" spans="1:16">
      <c r="A13" s="1">
        <v>2</v>
      </c>
      <c r="B13" s="4" t="s">
        <v>11</v>
      </c>
      <c r="C13" s="862" t="s">
        <v>981</v>
      </c>
      <c r="D13" s="5">
        <f>I243</f>
        <v>37170</v>
      </c>
      <c r="E13" s="5"/>
      <c r="F13" s="5" t="s">
        <v>12</v>
      </c>
      <c r="G13" s="21">
        <f>I202</f>
        <v>0.95360608895547316</v>
      </c>
      <c r="H13" s="5"/>
      <c r="I13" s="5">
        <f>+G13*D13</f>
        <v>35445.53832647494</v>
      </c>
      <c r="J13" s="12"/>
      <c r="K13" s="12"/>
      <c r="L13" s="12"/>
      <c r="N13" s="12"/>
      <c r="O13" s="12"/>
      <c r="P13" s="12"/>
    </row>
    <row r="14" spans="1:16">
      <c r="A14" s="1">
        <v>3</v>
      </c>
      <c r="B14" s="4" t="s">
        <v>188</v>
      </c>
      <c r="C14" s="862" t="s">
        <v>982</v>
      </c>
      <c r="D14" s="5">
        <f>I250</f>
        <v>46117.729999999981</v>
      </c>
      <c r="E14" s="5"/>
      <c r="F14" s="5" t="str">
        <f>+F13</f>
        <v>TP</v>
      </c>
      <c r="G14" s="21">
        <f>+G13</f>
        <v>0.95360608895547316</v>
      </c>
      <c r="H14" s="5"/>
      <c r="I14" s="5">
        <f>+G14*D14</f>
        <v>43978.148136804477</v>
      </c>
      <c r="J14" s="12"/>
      <c r="K14" s="12"/>
      <c r="N14" s="12"/>
      <c r="O14" s="12"/>
      <c r="P14" s="12"/>
    </row>
    <row r="15" spans="1:16">
      <c r="A15" s="1">
        <v>4</v>
      </c>
      <c r="B15" s="4" t="s">
        <v>13</v>
      </c>
      <c r="C15" s="5"/>
      <c r="D15" s="719">
        <v>0</v>
      </c>
      <c r="E15" s="5"/>
      <c r="F15" s="5" t="s">
        <v>12</v>
      </c>
      <c r="G15" s="21">
        <f>+G13</f>
        <v>0.95360608895547316</v>
      </c>
      <c r="H15" s="5"/>
      <c r="I15" s="5">
        <f>+G15*D15</f>
        <v>0</v>
      </c>
      <c r="J15" s="12"/>
      <c r="K15" s="12"/>
      <c r="L15" s="710" t="s">
        <v>171</v>
      </c>
      <c r="N15" s="12"/>
      <c r="O15" s="12"/>
      <c r="P15" s="12"/>
    </row>
    <row r="16" spans="1:16" ht="16.5" thickBot="1">
      <c r="A16" s="1">
        <v>5</v>
      </c>
      <c r="B16" s="4" t="s">
        <v>14</v>
      </c>
      <c r="C16" s="5"/>
      <c r="D16" s="719">
        <v>0</v>
      </c>
      <c r="E16" s="5"/>
      <c r="F16" s="5" t="s">
        <v>12</v>
      </c>
      <c r="G16" s="21">
        <f>+G13</f>
        <v>0.95360608895547316</v>
      </c>
      <c r="H16" s="5"/>
      <c r="I16" s="24">
        <f>+G16*D16</f>
        <v>0</v>
      </c>
      <c r="J16" s="12"/>
      <c r="K16" s="12"/>
      <c r="L16" s="23" t="s">
        <v>172</v>
      </c>
      <c r="N16" s="12"/>
      <c r="O16" s="12"/>
      <c r="P16" s="12"/>
    </row>
    <row r="17" spans="1:16">
      <c r="A17" s="1">
        <v>6</v>
      </c>
      <c r="B17" s="4" t="s">
        <v>15</v>
      </c>
      <c r="C17" s="12"/>
      <c r="D17" s="25" t="s">
        <v>2</v>
      </c>
      <c r="E17" s="5"/>
      <c r="F17" s="5"/>
      <c r="G17" s="21"/>
      <c r="H17" s="5"/>
      <c r="I17" s="5">
        <f>SUM(I13:I16)</f>
        <v>79423.686463279417</v>
      </c>
      <c r="J17" s="12"/>
      <c r="K17" s="12"/>
      <c r="L17" s="12"/>
      <c r="N17" s="12"/>
      <c r="O17" s="12"/>
      <c r="P17" s="12"/>
    </row>
    <row r="18" spans="1:16">
      <c r="A18" s="50"/>
      <c r="B18" s="51"/>
      <c r="C18" s="123"/>
      <c r="D18" s="500"/>
      <c r="E18" s="8"/>
      <c r="F18" s="8"/>
      <c r="G18" s="498"/>
      <c r="H18" s="8"/>
      <c r="I18" s="8"/>
      <c r="J18" s="12"/>
      <c r="K18" s="12"/>
      <c r="L18" s="12"/>
      <c r="N18" s="12"/>
      <c r="O18" s="12"/>
      <c r="P18" s="12"/>
    </row>
    <row r="19" spans="1:16" ht="15.4" customHeight="1">
      <c r="A19" s="50" t="s">
        <v>632</v>
      </c>
      <c r="B19" s="712" t="s">
        <v>894</v>
      </c>
      <c r="C19" s="701"/>
      <c r="D19" s="701"/>
      <c r="E19" s="701"/>
      <c r="F19" s="701"/>
      <c r="G19" s="511"/>
      <c r="H19" s="8"/>
      <c r="I19" s="543">
        <v>0</v>
      </c>
      <c r="J19" s="12"/>
      <c r="K19" s="12"/>
      <c r="L19" s="711" t="str">
        <f>CONCATENATE("Revenue requirement from Page 1 of 5, line 7 of RPU True-up Attachment O for 12 months ended 12/31/",'Att O_RPU'!E317-1," for FLTY, Blank for True-up")</f>
        <v>Revenue requirement from Page 1 of 5, line 7 of RPU True-up Attachment O for 12 months ended 12/31/2013 for FLTY, Blank for True-up</v>
      </c>
      <c r="O19" s="12"/>
      <c r="P19" s="12"/>
    </row>
    <row r="20" spans="1:16" ht="15.4" customHeight="1">
      <c r="A20" s="50" t="s">
        <v>840</v>
      </c>
      <c r="B20" s="712" t="s">
        <v>895</v>
      </c>
      <c r="C20" s="701"/>
      <c r="D20" s="701"/>
      <c r="E20" s="701"/>
      <c r="F20" s="701"/>
      <c r="G20" s="511"/>
      <c r="H20" s="8"/>
      <c r="I20" s="543">
        <v>0</v>
      </c>
      <c r="J20" s="12"/>
      <c r="K20" s="12"/>
      <c r="L20" s="711" t="str">
        <f>CONCATENATE("Revenue requirement from Page 1 of 5, line 7 of RPU FLTY Attachment O for 12 months ended 12/31/",'Att O_RPU'!E317-1," for FLTY, Blank for True-up")</f>
        <v>Revenue requirement from Page 1 of 5, line 7 of RPU FLTY Attachment O for 12 months ended 12/31/2013 for FLTY, Blank for True-up</v>
      </c>
    </row>
    <row r="21" spans="1:16" ht="15.4" customHeight="1">
      <c r="A21" s="50" t="s">
        <v>841</v>
      </c>
      <c r="B21" s="712" t="s">
        <v>896</v>
      </c>
      <c r="C21" s="701"/>
      <c r="D21" s="713" t="s">
        <v>897</v>
      </c>
      <c r="E21" s="701"/>
      <c r="F21" s="52"/>
      <c r="G21" s="52"/>
      <c r="H21" s="8"/>
      <c r="I21" s="494">
        <f>I19-I20</f>
        <v>0</v>
      </c>
      <c r="J21" s="12"/>
      <c r="K21" s="12"/>
    </row>
    <row r="22" spans="1:16" s="621" customFormat="1" ht="15.4" customHeight="1">
      <c r="A22" s="50"/>
      <c r="B22" s="712"/>
      <c r="C22" s="701"/>
      <c r="D22" s="713"/>
      <c r="E22" s="701"/>
      <c r="F22" s="52"/>
      <c r="G22" s="52"/>
      <c r="H22" s="8"/>
      <c r="I22" s="529"/>
      <c r="J22" s="12"/>
      <c r="K22" s="12"/>
    </row>
    <row r="23" spans="1:16" ht="15.4" customHeight="1">
      <c r="A23" s="50" t="s">
        <v>842</v>
      </c>
      <c r="B23" s="712" t="s">
        <v>898</v>
      </c>
      <c r="C23" s="701"/>
      <c r="D23" s="701"/>
      <c r="E23" s="701"/>
      <c r="F23" s="52"/>
      <c r="G23" s="511"/>
      <c r="H23" s="8"/>
      <c r="I23" s="714">
        <v>0</v>
      </c>
      <c r="J23" s="12"/>
      <c r="K23" s="12"/>
      <c r="L23" s="711" t="str">
        <f>CONCATENATE("Att O_RPU Page 1 of 5, line 8 of RPU True-up Attachment O for 12 months ended 12/31/",'Att O_RPU'!E317-1," for FLTY, Blank for True-up")</f>
        <v>Att O_RPU Page 1 of 5, line 8 of RPU True-up Attachment O for 12 months ended 12/31/2013 for FLTY, Blank for True-up</v>
      </c>
      <c r="O23" s="12"/>
      <c r="P23" s="12"/>
    </row>
    <row r="24" spans="1:16" ht="15.4" customHeight="1">
      <c r="A24" s="50" t="s">
        <v>843</v>
      </c>
      <c r="B24" s="712" t="s">
        <v>899</v>
      </c>
      <c r="C24" s="701"/>
      <c r="D24" s="701"/>
      <c r="E24" s="701"/>
      <c r="F24" s="8"/>
      <c r="G24" s="498"/>
      <c r="H24" s="8"/>
      <c r="I24" s="716">
        <f>I21-I23</f>
        <v>0</v>
      </c>
      <c r="J24" s="12"/>
      <c r="K24" s="12"/>
      <c r="L24" s="711" t="str">
        <f>CONCATENATE("Att O_RPU Page 1 of 5, line 8 of RPU FLTY Attachment O for 12 months ended 12/31/",'Att O_RPU'!E317-14," for FLTY, Blank for True-up")</f>
        <v>Att O_RPU Page 1 of 5, line 8 of RPU FLTY Attachment O for 12 months ended 12/31/2000 for FLTY, Blank for True-up</v>
      </c>
      <c r="O24" s="12"/>
      <c r="P24" s="12"/>
    </row>
    <row r="25" spans="1:16">
      <c r="A25" s="50" t="s">
        <v>844</v>
      </c>
      <c r="B25" s="712" t="s">
        <v>900</v>
      </c>
      <c r="C25" s="701"/>
      <c r="D25" s="713" t="s">
        <v>968</v>
      </c>
      <c r="E25" s="701"/>
      <c r="F25" s="8"/>
      <c r="H25" s="8"/>
      <c r="I25" s="879">
        <f>I24-I23</f>
        <v>0</v>
      </c>
      <c r="J25" s="12"/>
      <c r="K25" s="12"/>
      <c r="O25" s="12"/>
      <c r="P25" s="12"/>
    </row>
    <row r="26" spans="1:16">
      <c r="A26" s="50" t="s">
        <v>845</v>
      </c>
      <c r="B26" s="712" t="s">
        <v>901</v>
      </c>
      <c r="C26" s="702"/>
      <c r="D26" s="702"/>
      <c r="E26" s="702"/>
      <c r="F26" s="702"/>
      <c r="G26" s="498"/>
      <c r="H26" s="8"/>
      <c r="I26" s="718"/>
      <c r="J26" s="12"/>
      <c r="K26" s="12"/>
      <c r="L26" s="711" t="str">
        <f>CONCATENATE("Att O_RPU Page 1 of 5, line 16 of RPU FLTY Attachment O for 12 months ended 12/31/",'Att O_RPU'!E317-1," for FLTY, Blank for True-up")</f>
        <v>Att O_RPU Page 1 of 5, line 16 of RPU FLTY Attachment O for 12 months ended 12/31/2013 for FLTY, Blank for True-up</v>
      </c>
      <c r="O26" s="12"/>
      <c r="P26" s="12"/>
    </row>
    <row r="27" spans="1:16" ht="15.4" customHeight="1">
      <c r="A27" s="50" t="s">
        <v>846</v>
      </c>
      <c r="B27" s="712" t="s">
        <v>902</v>
      </c>
      <c r="C27" s="701"/>
      <c r="D27" s="713" t="s">
        <v>904</v>
      </c>
      <c r="E27" s="701"/>
      <c r="F27" s="8"/>
      <c r="G27" s="498"/>
      <c r="H27" s="8"/>
      <c r="I27" s="495">
        <f>ROUND(I25*I26,2)</f>
        <v>0</v>
      </c>
      <c r="J27" s="12"/>
      <c r="K27" s="12"/>
      <c r="L27" s="12"/>
      <c r="N27" s="12"/>
      <c r="O27" s="12"/>
      <c r="P27" s="12"/>
    </row>
    <row r="28" spans="1:16" s="621" customFormat="1" ht="15.4" customHeight="1">
      <c r="A28" s="50"/>
      <c r="B28" s="712"/>
      <c r="C28" s="701"/>
      <c r="D28" s="701"/>
      <c r="E28" s="701"/>
      <c r="F28" s="8"/>
      <c r="G28" s="498"/>
      <c r="H28" s="8"/>
      <c r="I28" s="495"/>
      <c r="J28" s="12"/>
      <c r="K28" s="12"/>
      <c r="L28" s="12"/>
      <c r="N28" s="12"/>
      <c r="O28" s="12"/>
      <c r="P28" s="12"/>
    </row>
    <row r="29" spans="1:16" ht="15.95" customHeight="1">
      <c r="A29" s="496" t="s">
        <v>847</v>
      </c>
      <c r="B29" s="712" t="s">
        <v>903</v>
      </c>
      <c r="C29" s="701"/>
      <c r="D29" s="701"/>
      <c r="E29" s="701"/>
      <c r="F29" s="512"/>
      <c r="G29" s="722"/>
      <c r="H29" s="499"/>
      <c r="I29" s="715">
        <f>I24+I27</f>
        <v>0</v>
      </c>
      <c r="J29" s="12"/>
      <c r="K29" s="12"/>
      <c r="L29" s="710" t="str">
        <f>CONCATENATE("True-up Interest workpaper, page 1, Line 12 of RPU True-up Attachment O for 12 months ended 12/31/",'Att O_RPU'!E318," for FLTY, Blank for True-up")</f>
        <v>True-up Interest workpaper, page 1, Line 12 of RPU True-up Attachment O for 12 months ended 12/31/2015 for FLTY, Blank for True-up</v>
      </c>
      <c r="N29" s="12"/>
      <c r="O29" s="12"/>
      <c r="P29" s="12"/>
    </row>
    <row r="30" spans="1:16">
      <c r="A30" s="497"/>
      <c r="B30" s="497"/>
      <c r="C30" s="497"/>
      <c r="D30" s="497"/>
      <c r="E30" s="497"/>
      <c r="F30" s="497"/>
      <c r="G30" s="497"/>
      <c r="H30" s="497"/>
      <c r="I30" s="497"/>
      <c r="J30" s="12"/>
      <c r="K30" s="12"/>
      <c r="L30" s="12"/>
      <c r="N30" s="12"/>
      <c r="O30" s="12"/>
      <c r="P30" s="12"/>
    </row>
    <row r="31" spans="1:16" ht="16.5" thickBot="1">
      <c r="A31" s="1">
        <v>7</v>
      </c>
      <c r="B31" s="51" t="s">
        <v>16</v>
      </c>
      <c r="C31" s="939" t="s">
        <v>905</v>
      </c>
      <c r="D31" s="939"/>
      <c r="E31" s="8"/>
      <c r="F31" s="8"/>
      <c r="G31" s="8"/>
      <c r="H31" s="5"/>
      <c r="I31" s="717">
        <f>I10-I17+I21+I27+I29</f>
        <v>3482153.0769629469</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980</v>
      </c>
      <c r="D34" s="19"/>
      <c r="E34" s="12"/>
      <c r="F34" s="12"/>
      <c r="G34" s="11" t="s">
        <v>18</v>
      </c>
      <c r="H34" s="12"/>
      <c r="I34" s="537">
        <f>Divisor!M23</f>
        <v>193115.83333333334</v>
      </c>
      <c r="J34" s="12"/>
      <c r="K34" s="12"/>
      <c r="L34" s="12"/>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159</v>
      </c>
      <c r="C39" s="12"/>
      <c r="D39" s="12"/>
      <c r="E39" s="12"/>
      <c r="F39" s="12"/>
      <c r="G39" s="11"/>
      <c r="H39" s="12"/>
      <c r="I39" s="27">
        <v>0</v>
      </c>
      <c r="J39" s="12"/>
      <c r="K39" s="12"/>
      <c r="L39" s="12"/>
      <c r="N39" s="12"/>
      <c r="O39" s="12"/>
      <c r="P39" s="12"/>
    </row>
    <row r="40" spans="1:16" ht="16.5" thickBot="1">
      <c r="A40" s="1">
        <v>14</v>
      </c>
      <c r="B40" s="2" t="s">
        <v>154</v>
      </c>
      <c r="C40" s="12"/>
      <c r="D40" s="12"/>
      <c r="E40" s="12"/>
      <c r="F40" s="12"/>
      <c r="G40" s="12"/>
      <c r="H40" s="12"/>
      <c r="I40" s="28">
        <v>0</v>
      </c>
      <c r="J40" s="12"/>
      <c r="K40" s="12"/>
      <c r="L40" s="12"/>
      <c r="N40" s="12"/>
      <c r="O40" s="12"/>
      <c r="P40" s="12"/>
    </row>
    <row r="41" spans="1:16">
      <c r="A41" s="1">
        <v>15</v>
      </c>
      <c r="B41" s="4" t="s">
        <v>202</v>
      </c>
      <c r="C41" s="12"/>
      <c r="D41" s="12"/>
      <c r="E41" s="12"/>
      <c r="F41" s="12"/>
      <c r="G41" s="12"/>
      <c r="H41" s="12"/>
      <c r="I41" s="19">
        <f>SUM(I34:I40)</f>
        <v>193115.83333333334</v>
      </c>
      <c r="J41" s="12"/>
      <c r="K41" s="12"/>
      <c r="L41" s="12"/>
      <c r="M41" s="239"/>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201</v>
      </c>
      <c r="D43" s="29">
        <f>IF(I41&gt;0,I31/I41,0)</f>
        <v>18.031421954679775</v>
      </c>
      <c r="E43" s="12"/>
      <c r="F43" s="12"/>
      <c r="G43" s="12"/>
      <c r="H43" s="12"/>
      <c r="J43" s="12"/>
      <c r="K43" s="12"/>
      <c r="L43" s="12"/>
      <c r="M43" s="69"/>
      <c r="N43" s="110"/>
      <c r="O43" s="110"/>
      <c r="P43" s="12"/>
    </row>
    <row r="44" spans="1:16" ht="17.25" thickTop="1" thickBot="1">
      <c r="A44" s="1">
        <v>17</v>
      </c>
      <c r="B44" s="4" t="s">
        <v>779</v>
      </c>
      <c r="C44" s="12"/>
      <c r="D44" s="29">
        <f>+D43/12</f>
        <v>1.5026184962233147</v>
      </c>
      <c r="E44" s="12"/>
      <c r="F44" s="12"/>
      <c r="G44" s="12"/>
      <c r="H44" s="12"/>
      <c r="J44" s="12"/>
      <c r="K44" s="12"/>
      <c r="L44" s="69"/>
      <c r="M44" s="943" t="s">
        <v>906</v>
      </c>
      <c r="N44" s="944"/>
      <c r="O44" s="945"/>
      <c r="P44" s="110"/>
    </row>
    <row r="45" spans="1:16" ht="31.5">
      <c r="A45" s="1"/>
      <c r="B45" s="4"/>
      <c r="C45" s="12"/>
      <c r="D45" s="29"/>
      <c r="E45" s="12"/>
      <c r="F45" s="12"/>
      <c r="G45" s="12"/>
      <c r="H45" s="12"/>
      <c r="J45" s="12"/>
      <c r="K45" s="12"/>
      <c r="L45" s="12"/>
      <c r="M45" s="798" t="s">
        <v>767</v>
      </c>
      <c r="N45" s="799" t="s">
        <v>960</v>
      </c>
      <c r="O45" s="800" t="s">
        <v>907</v>
      </c>
      <c r="P45" s="110"/>
    </row>
    <row r="46" spans="1:16">
      <c r="A46" s="1"/>
      <c r="B46" s="4"/>
      <c r="C46" s="12"/>
      <c r="D46" s="30" t="s">
        <v>27</v>
      </c>
      <c r="E46" s="12"/>
      <c r="F46" s="12"/>
      <c r="G46" s="12"/>
      <c r="H46" s="12"/>
      <c r="I46" s="31" t="s">
        <v>28</v>
      </c>
      <c r="J46" s="12"/>
      <c r="K46" s="12"/>
      <c r="L46" s="12"/>
      <c r="M46" s="801" t="s">
        <v>768</v>
      </c>
      <c r="N46" s="720">
        <f>'Interzonal Alloc'!L14</f>
        <v>1</v>
      </c>
      <c r="O46" s="802">
        <f>ROUND(I31*N46,2)</f>
        <v>3482153.08</v>
      </c>
      <c r="P46" s="110"/>
    </row>
    <row r="47" spans="1:16">
      <c r="A47" s="1">
        <v>18</v>
      </c>
      <c r="B47" s="4" t="s">
        <v>29</v>
      </c>
      <c r="C47" s="12" t="s">
        <v>203</v>
      </c>
      <c r="D47" s="29">
        <f>+D43/52</f>
        <v>0.34675811451307259</v>
      </c>
      <c r="E47" s="12"/>
      <c r="F47" s="12"/>
      <c r="G47" s="12"/>
      <c r="H47" s="12"/>
      <c r="I47" s="32">
        <f>+D43/52</f>
        <v>0.34675811451307259</v>
      </c>
      <c r="J47" s="12"/>
      <c r="K47" s="12"/>
      <c r="L47" s="12"/>
      <c r="M47" s="801" t="s">
        <v>769</v>
      </c>
      <c r="N47" s="720">
        <f>'Interzonal Alloc'!L13</f>
        <v>0</v>
      </c>
      <c r="O47" s="803">
        <f>ROUND(I31*N47,2)</f>
        <v>0</v>
      </c>
      <c r="P47" s="110"/>
    </row>
    <row r="48" spans="1:16">
      <c r="A48" s="1">
        <v>19</v>
      </c>
      <c r="B48" s="4" t="s">
        <v>30</v>
      </c>
      <c r="C48" s="12" t="s">
        <v>241</v>
      </c>
      <c r="D48" s="29">
        <f>+D43/260</f>
        <v>6.9351622902614526E-2</v>
      </c>
      <c r="E48" s="12" t="s">
        <v>31</v>
      </c>
      <c r="G48" s="12"/>
      <c r="H48" s="12"/>
      <c r="I48" s="32">
        <f>+D43/365</f>
        <v>4.9401156040218559E-2</v>
      </c>
      <c r="J48" s="12"/>
      <c r="K48" s="12"/>
      <c r="L48" s="12"/>
      <c r="M48" s="804" t="s">
        <v>9</v>
      </c>
      <c r="N48" s="720">
        <f>+N46+N47</f>
        <v>1</v>
      </c>
      <c r="O48" s="805">
        <f>O46+O47</f>
        <v>3482153.08</v>
      </c>
      <c r="P48" s="110"/>
    </row>
    <row r="49" spans="1:16">
      <c r="A49" s="1">
        <v>20</v>
      </c>
      <c r="B49" s="4" t="s">
        <v>32</v>
      </c>
      <c r="C49" s="12" t="s">
        <v>1001</v>
      </c>
      <c r="D49" s="29">
        <f>+D43/4160*1000</f>
        <v>4.3344764314134077</v>
      </c>
      <c r="E49" s="12" t="s">
        <v>862</v>
      </c>
      <c r="G49" s="12"/>
      <c r="H49" s="12"/>
      <c r="I49" s="32">
        <f>+D43/8760*1000</f>
        <v>2.0583815016757736</v>
      </c>
      <c r="J49" s="12"/>
      <c r="K49" s="12" t="s">
        <v>2</v>
      </c>
      <c r="L49" s="12"/>
      <c r="M49" s="806" t="s">
        <v>970</v>
      </c>
      <c r="N49" s="797"/>
      <c r="O49" s="807"/>
      <c r="P49" s="110"/>
    </row>
    <row r="50" spans="1:16" ht="16.5" thickBot="1">
      <c r="A50" s="1"/>
      <c r="B50" s="4"/>
      <c r="C50" s="12"/>
      <c r="D50" s="12"/>
      <c r="E50" s="12"/>
      <c r="G50" s="12"/>
      <c r="H50" s="12"/>
      <c r="J50" s="12"/>
      <c r="K50" s="12" t="s">
        <v>2</v>
      </c>
      <c r="L50" s="110"/>
      <c r="M50" s="808" t="s">
        <v>971</v>
      </c>
      <c r="N50" s="809"/>
      <c r="O50" s="810"/>
      <c r="P50" s="12"/>
    </row>
    <row r="51" spans="1:16" ht="16.5" thickTop="1">
      <c r="A51" s="1">
        <v>21</v>
      </c>
      <c r="B51" s="4" t="s">
        <v>983</v>
      </c>
      <c r="C51" s="12" t="s">
        <v>196</v>
      </c>
      <c r="D51" s="875">
        <v>0</v>
      </c>
      <c r="E51" s="876" t="s">
        <v>984</v>
      </c>
      <c r="F51" s="876"/>
      <c r="G51" s="876"/>
      <c r="H51" s="876"/>
      <c r="I51" s="876">
        <f>D51</f>
        <v>0</v>
      </c>
      <c r="J51" s="876" t="s">
        <v>984</v>
      </c>
      <c r="K51" s="12"/>
      <c r="L51" s="12"/>
      <c r="M51" s="721"/>
      <c r="N51" s="110"/>
      <c r="O51" s="12"/>
      <c r="P51" s="12"/>
    </row>
    <row r="52" spans="1:16">
      <c r="A52" s="1">
        <v>22</v>
      </c>
      <c r="B52" s="4"/>
      <c r="C52" s="12"/>
      <c r="D52" s="875">
        <v>0</v>
      </c>
      <c r="E52" s="876" t="s">
        <v>985</v>
      </c>
      <c r="F52" s="876"/>
      <c r="G52" s="876"/>
      <c r="H52" s="876"/>
      <c r="I52" s="876">
        <f>D52</f>
        <v>0</v>
      </c>
      <c r="J52" s="876" t="s">
        <v>985</v>
      </c>
      <c r="K52" s="1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167</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12/31/15</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684</v>
      </c>
      <c r="C63" s="38" t="s">
        <v>40</v>
      </c>
      <c r="D63" s="37" t="s">
        <v>41</v>
      </c>
      <c r="E63" s="39"/>
      <c r="F63" s="37" t="s">
        <v>42</v>
      </c>
      <c r="H63" s="39"/>
      <c r="I63" s="1" t="s">
        <v>986</v>
      </c>
      <c r="J63" s="5"/>
      <c r="K63" s="14"/>
      <c r="L63" s="4"/>
      <c r="N63" s="14"/>
      <c r="O63" s="14"/>
      <c r="P63" s="4"/>
    </row>
    <row r="64" spans="1:16">
      <c r="A64" s="1"/>
      <c r="B64" s="4" t="s">
        <v>267</v>
      </c>
      <c r="C64" s="5"/>
      <c r="D64" s="5"/>
      <c r="E64" s="5"/>
      <c r="F64" s="5"/>
      <c r="G64" s="5"/>
      <c r="H64" s="5"/>
      <c r="I64" s="5"/>
      <c r="J64" s="5"/>
      <c r="K64" s="5"/>
      <c r="L64" s="51"/>
      <c r="N64" s="5"/>
      <c r="O64" s="5"/>
      <c r="P64" s="4"/>
    </row>
    <row r="65" spans="1:17">
      <c r="A65" s="1">
        <v>1</v>
      </c>
      <c r="B65" s="4" t="s">
        <v>43</v>
      </c>
      <c r="C65" s="5" t="s">
        <v>242</v>
      </c>
      <c r="D65" s="521">
        <f>Plant!F20</f>
        <v>109151727.54923078</v>
      </c>
      <c r="E65" s="5"/>
      <c r="F65" s="5" t="s">
        <v>44</v>
      </c>
      <c r="G65" s="41" t="s">
        <v>2</v>
      </c>
      <c r="H65" s="5"/>
      <c r="I65" s="5" t="s">
        <v>2</v>
      </c>
      <c r="J65" s="5"/>
      <c r="K65" s="5"/>
      <c r="L65" s="51"/>
      <c r="M65"/>
      <c r="N65"/>
      <c r="O65"/>
      <c r="P65"/>
      <c r="Q65"/>
    </row>
    <row r="66" spans="1:17">
      <c r="A66" s="1">
        <v>2</v>
      </c>
      <c r="B66" s="4" t="s">
        <v>45</v>
      </c>
      <c r="C66" s="5" t="s">
        <v>243</v>
      </c>
      <c r="D66" s="521">
        <f>Plant!J20-Plant!I20</f>
        <v>28986576.249398757</v>
      </c>
      <c r="E66" s="5"/>
      <c r="F66" s="5" t="s">
        <v>12</v>
      </c>
      <c r="G66" s="41">
        <f>I202</f>
        <v>0.95360608895547316</v>
      </c>
      <c r="H66" s="5"/>
      <c r="I66" s="5">
        <f>+G66*D66</f>
        <v>27641775.609398756</v>
      </c>
      <c r="J66" s="5"/>
      <c r="K66" s="5"/>
      <c r="L66" s="710" t="s">
        <v>972</v>
      </c>
      <c r="M66"/>
      <c r="N66"/>
      <c r="O66"/>
      <c r="P66"/>
      <c r="Q66"/>
    </row>
    <row r="67" spans="1:17">
      <c r="A67" s="1">
        <v>3</v>
      </c>
      <c r="B67" s="4" t="s">
        <v>46</v>
      </c>
      <c r="C67" s="5" t="s">
        <v>244</v>
      </c>
      <c r="D67" s="521">
        <f>Plant!K20</f>
        <v>137750428.26000002</v>
      </c>
      <c r="E67" s="5"/>
      <c r="F67" s="5" t="s">
        <v>44</v>
      </c>
      <c r="G67" s="41" t="s">
        <v>2</v>
      </c>
      <c r="H67" s="5"/>
      <c r="I67" s="5" t="s">
        <v>2</v>
      </c>
      <c r="J67" s="5"/>
      <c r="K67" s="5"/>
      <c r="L67" s="51"/>
      <c r="M67"/>
      <c r="N67"/>
      <c r="O67"/>
      <c r="P67"/>
      <c r="Q67"/>
    </row>
    <row r="68" spans="1:17">
      <c r="A68" s="1">
        <v>4</v>
      </c>
      <c r="B68" s="4" t="s">
        <v>47</v>
      </c>
      <c r="C68" s="5" t="s">
        <v>268</v>
      </c>
      <c r="D68" s="521">
        <f>Plant!L20+Plant!M20</f>
        <v>42692610.751538478</v>
      </c>
      <c r="E68" s="5"/>
      <c r="F68" s="5" t="s">
        <v>48</v>
      </c>
      <c r="G68" s="41">
        <f>I218</f>
        <v>6.6096848098070232E-2</v>
      </c>
      <c r="H68" s="5"/>
      <c r="I68" s="5">
        <f>+G68*D68</f>
        <v>2821847.0077544786</v>
      </c>
      <c r="J68" s="5"/>
      <c r="K68" s="5"/>
      <c r="L68" s="51"/>
      <c r="M68"/>
      <c r="N68"/>
      <c r="O68"/>
      <c r="P68"/>
      <c r="Q68"/>
    </row>
    <row r="69" spans="1:17" ht="16.5" thickBot="1">
      <c r="A69" s="1">
        <v>5</v>
      </c>
      <c r="B69" s="4" t="s">
        <v>49</v>
      </c>
      <c r="C69" s="5"/>
      <c r="D69" s="538">
        <f>Plant!N20</f>
        <v>0</v>
      </c>
      <c r="E69" s="5"/>
      <c r="F69" s="5" t="s">
        <v>50</v>
      </c>
      <c r="G69" s="41">
        <f>K222</f>
        <v>6.6096848098070232E-2</v>
      </c>
      <c r="H69" s="5"/>
      <c r="I69" s="24">
        <f>+G69*D69</f>
        <v>0</v>
      </c>
      <c r="J69" s="5"/>
      <c r="K69" s="5"/>
      <c r="L69" s="51"/>
      <c r="M69"/>
      <c r="N69"/>
      <c r="O69"/>
      <c r="P69"/>
      <c r="Q69"/>
    </row>
    <row r="70" spans="1:17">
      <c r="A70" s="1">
        <v>6</v>
      </c>
      <c r="B70" s="2" t="s">
        <v>204</v>
      </c>
      <c r="C70" s="5"/>
      <c r="D70" s="5">
        <f>SUM(D65:D69)</f>
        <v>318581342.81016803</v>
      </c>
      <c r="E70" s="5"/>
      <c r="F70" s="5" t="s">
        <v>51</v>
      </c>
      <c r="G70" s="7">
        <f>IF(I70&gt;0,I70/D70,0)</f>
        <v>9.562274535111584E-2</v>
      </c>
      <c r="H70" s="5"/>
      <c r="I70" s="5">
        <f>SUM(I65:I69)</f>
        <v>30463622.617153235</v>
      </c>
      <c r="J70" s="5"/>
      <c r="K70" s="7"/>
      <c r="L70" s="51"/>
      <c r="M70"/>
      <c r="N70"/>
      <c r="O70"/>
      <c r="P70"/>
      <c r="Q70"/>
    </row>
    <row r="71" spans="1:17">
      <c r="B71" s="4"/>
      <c r="C71" s="5"/>
      <c r="D71" s="5"/>
      <c r="E71" s="5"/>
      <c r="F71" s="5"/>
      <c r="G71" s="7"/>
      <c r="H71" s="5"/>
      <c r="I71" s="5"/>
      <c r="J71" s="5"/>
      <c r="K71" s="7"/>
      <c r="L71" s="51"/>
      <c r="M71"/>
      <c r="N71"/>
      <c r="O71"/>
      <c r="P71"/>
      <c r="Q71"/>
    </row>
    <row r="72" spans="1:17">
      <c r="B72" s="4" t="s">
        <v>269</v>
      </c>
      <c r="C72" s="5"/>
      <c r="D72" s="5"/>
      <c r="E72" s="5"/>
      <c r="F72" s="5"/>
      <c r="G72" s="5"/>
      <c r="H72" s="5"/>
      <c r="I72" s="5"/>
      <c r="J72" s="5"/>
      <c r="K72" s="5"/>
      <c r="L72" s="51"/>
      <c r="N72" s="5"/>
      <c r="O72" s="5"/>
      <c r="P72" s="4"/>
    </row>
    <row r="73" spans="1:17">
      <c r="A73" s="1">
        <v>7</v>
      </c>
      <c r="B73" s="4" t="str">
        <f>+B65</f>
        <v xml:space="preserve">  Production</v>
      </c>
      <c r="D73" s="8">
        <f>Plant!F38</f>
        <v>84995456.106923074</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62">
        <f>Plant!J38-Plant!I38</f>
        <v>11183508.68850841</v>
      </c>
      <c r="E74" s="5"/>
      <c r="F74" s="5" t="str">
        <f t="shared" si="0"/>
        <v>TP</v>
      </c>
      <c r="G74" s="41">
        <f t="shared" si="0"/>
        <v>0.95360608895547316</v>
      </c>
      <c r="H74" s="5"/>
      <c r="I74" s="5">
        <f>+G74*D74</f>
        <v>10664661.981248058</v>
      </c>
      <c r="J74" s="5"/>
      <c r="K74" s="5"/>
      <c r="L74" s="710" t="s">
        <v>973</v>
      </c>
      <c r="N74" s="5"/>
      <c r="O74" s="5"/>
      <c r="P74" s="4"/>
    </row>
    <row r="75" spans="1:17">
      <c r="A75" s="1">
        <v>9</v>
      </c>
      <c r="B75" s="4" t="str">
        <f>+B67</f>
        <v xml:space="preserve">  Distribution</v>
      </c>
      <c r="D75" s="8">
        <f>Plant!K38</f>
        <v>62704970.461538464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26221845.61923077</v>
      </c>
      <c r="E76" s="5"/>
      <c r="F76" s="5" t="str">
        <f t="shared" si="0"/>
        <v>W/S</v>
      </c>
      <c r="G76" s="41">
        <f t="shared" si="0"/>
        <v>6.6096848098070232E-2</v>
      </c>
      <c r="H76" s="5"/>
      <c r="I76" s="5">
        <f>+G76*D76</f>
        <v>1733181.3467453446</v>
      </c>
      <c r="J76" s="5"/>
      <c r="K76" s="5"/>
      <c r="L76" s="51"/>
      <c r="N76" s="5"/>
      <c r="O76" s="14"/>
      <c r="P76" s="4"/>
    </row>
    <row r="77" spans="1:17" ht="16.5" thickBot="1">
      <c r="A77" s="1">
        <v>11</v>
      </c>
      <c r="B77" s="4" t="str">
        <f>+B69</f>
        <v xml:space="preserve">  Common</v>
      </c>
      <c r="C77" s="5"/>
      <c r="D77" s="538">
        <f>Plant!N38</f>
        <v>0</v>
      </c>
      <c r="E77" s="5"/>
      <c r="F77" s="5" t="str">
        <f t="shared" si="0"/>
        <v>CE</v>
      </c>
      <c r="G77" s="41">
        <f t="shared" si="0"/>
        <v>6.6096848098070232E-2</v>
      </c>
      <c r="H77" s="5"/>
      <c r="I77" s="24">
        <f>+G77*D77</f>
        <v>0</v>
      </c>
      <c r="J77" s="5"/>
      <c r="K77" s="5"/>
      <c r="L77" s="51"/>
      <c r="N77" s="5"/>
      <c r="O77" s="14"/>
      <c r="P77" s="4"/>
    </row>
    <row r="78" spans="1:17">
      <c r="A78" s="1">
        <v>12</v>
      </c>
      <c r="B78" s="4" t="s">
        <v>205</v>
      </c>
      <c r="C78" s="5"/>
      <c r="D78" s="5">
        <f>SUM(D73:D77)</f>
        <v>185105780.87620071</v>
      </c>
      <c r="E78" s="5"/>
      <c r="F78" s="5"/>
      <c r="G78" s="5"/>
      <c r="H78" s="5"/>
      <c r="I78" s="5">
        <f>SUM(I73:I77)</f>
        <v>12397843.327993402</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206</v>
      </c>
      <c r="D81" s="5">
        <f>D65-D73</f>
        <v>24156271.442307711</v>
      </c>
      <c r="E81" s="5"/>
      <c r="F81" s="5"/>
      <c r="G81" s="7"/>
      <c r="H81" s="5"/>
      <c r="I81" s="5" t="s">
        <v>2</v>
      </c>
      <c r="J81" s="5"/>
      <c r="K81" s="7"/>
      <c r="L81" s="51"/>
      <c r="N81" s="5"/>
      <c r="O81" s="5"/>
      <c r="P81" s="4"/>
    </row>
    <row r="82" spans="1:16">
      <c r="A82" s="1">
        <v>14</v>
      </c>
      <c r="B82" s="4" t="str">
        <f>+B74</f>
        <v xml:space="preserve">  Transmission</v>
      </c>
      <c r="C82" s="5" t="s">
        <v>207</v>
      </c>
      <c r="D82" s="5">
        <f>D66-D74</f>
        <v>17803067.560890347</v>
      </c>
      <c r="E82" s="5"/>
      <c r="F82" s="5"/>
      <c r="G82" s="41"/>
      <c r="H82" s="5"/>
      <c r="I82" s="5">
        <f>I66-I74</f>
        <v>16977113.628150698</v>
      </c>
      <c r="J82" s="5"/>
      <c r="K82" s="7"/>
      <c r="L82" s="51"/>
      <c r="N82" s="5"/>
      <c r="O82" s="5"/>
      <c r="P82" s="4"/>
    </row>
    <row r="83" spans="1:16">
      <c r="A83" s="1">
        <v>15</v>
      </c>
      <c r="B83" s="4" t="str">
        <f>+B75</f>
        <v xml:space="preserve">  Distribution</v>
      </c>
      <c r="C83" s="5" t="s">
        <v>208</v>
      </c>
      <c r="D83" s="5">
        <f>D67-D75</f>
        <v>75045457.798461556</v>
      </c>
      <c r="E83" s="5"/>
      <c r="F83" s="5"/>
      <c r="G83" s="7"/>
      <c r="H83" s="5"/>
      <c r="I83" s="5" t="s">
        <v>2</v>
      </c>
      <c r="J83" s="5"/>
      <c r="K83" s="7"/>
      <c r="L83" s="51"/>
      <c r="N83" s="5"/>
      <c r="O83" s="5"/>
      <c r="P83" s="4"/>
    </row>
    <row r="84" spans="1:16">
      <c r="A84" s="1">
        <v>16</v>
      </c>
      <c r="B84" s="4" t="str">
        <f>+B76</f>
        <v xml:space="preserve">  General &amp; Intangible</v>
      </c>
      <c r="C84" s="5" t="s">
        <v>209</v>
      </c>
      <c r="D84" s="5">
        <f>D68-D76</f>
        <v>16470765.132307708</v>
      </c>
      <c r="E84" s="5"/>
      <c r="F84" s="5"/>
      <c r="G84" s="7"/>
      <c r="H84" s="5"/>
      <c r="I84" s="5">
        <f>I68-I76</f>
        <v>1088665.661009134</v>
      </c>
      <c r="J84" s="5"/>
      <c r="K84" s="7"/>
      <c r="L84" s="51"/>
      <c r="N84" s="5"/>
      <c r="O84" s="14"/>
      <c r="P84" s="4"/>
    </row>
    <row r="85" spans="1:16" ht="16.5" thickBot="1">
      <c r="A85" s="1">
        <v>17</v>
      </c>
      <c r="B85" s="4" t="str">
        <f>+B77</f>
        <v xml:space="preserve">  Common</v>
      </c>
      <c r="C85" s="5" t="s">
        <v>210</v>
      </c>
      <c r="D85" s="24">
        <f>D69-D77</f>
        <v>0</v>
      </c>
      <c r="E85" s="5"/>
      <c r="F85" s="5"/>
      <c r="G85" s="7"/>
      <c r="H85" s="5"/>
      <c r="I85" s="24">
        <f>I69-I77</f>
        <v>0</v>
      </c>
      <c r="J85" s="5"/>
      <c r="K85" s="7"/>
      <c r="L85" s="51"/>
      <c r="N85" s="5"/>
      <c r="O85" s="14"/>
      <c r="P85" s="4"/>
    </row>
    <row r="86" spans="1:16">
      <c r="A86" s="1">
        <v>18</v>
      </c>
      <c r="B86" s="4" t="s">
        <v>211</v>
      </c>
      <c r="C86" s="5"/>
      <c r="D86" s="5">
        <f>SUM(D81:D85)</f>
        <v>133475561.93396732</v>
      </c>
      <c r="E86" s="5"/>
      <c r="F86" s="5" t="s">
        <v>53</v>
      </c>
      <c r="G86" s="7">
        <f>IF(I86&gt;0,I86/D86,0)</f>
        <v>0.13534896596350188</v>
      </c>
      <c r="H86" s="5"/>
      <c r="I86" s="5">
        <f>SUM(I81:I85)</f>
        <v>18065779.289159831</v>
      </c>
      <c r="J86" s="5"/>
      <c r="K86" s="5"/>
      <c r="L86" s="51"/>
      <c r="N86" s="25"/>
      <c r="O86" s="5"/>
      <c r="P86" s="4"/>
    </row>
    <row r="87" spans="1:16">
      <c r="A87" s="1"/>
      <c r="C87" s="5"/>
      <c r="E87" s="5"/>
      <c r="H87" s="5"/>
      <c r="J87" s="5"/>
      <c r="K87" s="7"/>
      <c r="L87" s="51"/>
      <c r="N87" s="5"/>
      <c r="O87" s="5"/>
      <c r="P87" s="4"/>
    </row>
    <row r="88" spans="1:16">
      <c r="A88" s="1"/>
      <c r="B88" s="2" t="s">
        <v>212</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160</v>
      </c>
      <c r="H89" s="5"/>
      <c r="I89" s="5">
        <v>0</v>
      </c>
      <c r="J89" s="5"/>
      <c r="K89" s="7"/>
      <c r="L89" s="51"/>
      <c r="N89" s="7"/>
      <c r="O89" s="14"/>
      <c r="P89" s="4"/>
    </row>
    <row r="90" spans="1:16">
      <c r="A90" s="1">
        <v>20</v>
      </c>
      <c r="B90" s="4" t="s">
        <v>56</v>
      </c>
      <c r="C90" s="5"/>
      <c r="D90" s="8">
        <f>'Adj to Rate Base'!C12</f>
        <v>0</v>
      </c>
      <c r="E90" s="5"/>
      <c r="F90" s="5" t="s">
        <v>55</v>
      </c>
      <c r="G90" s="41">
        <f>+G86</f>
        <v>0.13534896596350188</v>
      </c>
      <c r="H90" s="5"/>
      <c r="I90" s="5">
        <f>D90*G90</f>
        <v>0</v>
      </c>
      <c r="J90" s="5"/>
      <c r="K90" s="7"/>
      <c r="L90" s="51"/>
      <c r="N90" s="7"/>
      <c r="O90" s="14"/>
      <c r="P90" s="4"/>
    </row>
    <row r="91" spans="1:16">
      <c r="A91" s="1">
        <v>21</v>
      </c>
      <c r="B91" s="4" t="s">
        <v>57</v>
      </c>
      <c r="C91" s="5"/>
      <c r="D91" s="8">
        <f>'Adj to Rate Base'!C13</f>
        <v>0</v>
      </c>
      <c r="E91" s="5"/>
      <c r="F91" s="5" t="s">
        <v>55</v>
      </c>
      <c r="G91" s="41">
        <f>+G90</f>
        <v>0.13534896596350188</v>
      </c>
      <c r="H91" s="5"/>
      <c r="I91" s="5">
        <f>D91*G91</f>
        <v>0</v>
      </c>
      <c r="J91" s="5"/>
      <c r="K91" s="7"/>
      <c r="L91" s="51"/>
      <c r="N91" s="7"/>
      <c r="O91" s="14"/>
      <c r="P91" s="4"/>
    </row>
    <row r="92" spans="1:16">
      <c r="A92" s="1">
        <v>22</v>
      </c>
      <c r="B92" s="4" t="s">
        <v>58</v>
      </c>
      <c r="C92" s="5"/>
      <c r="D92" s="8">
        <f>'Adj to Rate Base'!C14</f>
        <v>0</v>
      </c>
      <c r="E92" s="5"/>
      <c r="F92" s="5" t="str">
        <f>+F91</f>
        <v>NP</v>
      </c>
      <c r="G92" s="41">
        <f>+G91</f>
        <v>0.13534896596350188</v>
      </c>
      <c r="H92" s="5"/>
      <c r="I92" s="5">
        <f>D92*G92</f>
        <v>0</v>
      </c>
      <c r="J92" s="5"/>
      <c r="K92" s="7"/>
      <c r="L92" s="51"/>
      <c r="N92" s="7"/>
      <c r="O92" s="14"/>
      <c r="P92" s="4"/>
    </row>
    <row r="93" spans="1:16" ht="16.5" thickBot="1">
      <c r="A93" s="1">
        <v>23</v>
      </c>
      <c r="B93" s="3" t="s">
        <v>59</v>
      </c>
      <c r="D93" s="538">
        <f>'Adj to Rate Base'!C15</f>
        <v>0</v>
      </c>
      <c r="E93" s="5"/>
      <c r="F93" s="5" t="s">
        <v>55</v>
      </c>
      <c r="G93" s="41">
        <f>+G91</f>
        <v>0.13534896596350188</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245</v>
      </c>
      <c r="D96" s="8">
        <f>'Land Held for Future Use'!E22</f>
        <v>0</v>
      </c>
      <c r="E96" s="5"/>
      <c r="F96" s="5" t="str">
        <f>+F74</f>
        <v>TP</v>
      </c>
      <c r="G96" s="41">
        <f>+G74</f>
        <v>0.95360608895547316</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1738650.9037500001</v>
      </c>
      <c r="E99" s="5"/>
      <c r="F99" s="5"/>
      <c r="G99" s="7"/>
      <c r="H99" s="5"/>
      <c r="I99" s="5">
        <f>I140/8</f>
        <v>234427.85988177682</v>
      </c>
      <c r="J99" s="12"/>
      <c r="K99" s="7"/>
      <c r="L99" s="51"/>
      <c r="N99" s="46"/>
      <c r="O99" s="33"/>
      <c r="P99" s="4"/>
    </row>
    <row r="100" spans="1:16">
      <c r="A100" s="1">
        <v>27</v>
      </c>
      <c r="B100" s="4" t="s">
        <v>65</v>
      </c>
      <c r="C100" s="3" t="s">
        <v>213</v>
      </c>
      <c r="D100" s="8">
        <f>'Materials and Prepayments'!E22</f>
        <v>371119.93076923111</v>
      </c>
      <c r="E100" s="5"/>
      <c r="F100" s="5" t="s">
        <v>66</v>
      </c>
      <c r="G100" s="41">
        <f>I211</f>
        <v>0.929886598798355</v>
      </c>
      <c r="H100" s="5"/>
      <c r="I100" s="5">
        <f>G100*D100</f>
        <v>345099.45016928128</v>
      </c>
      <c r="J100" s="5" t="s">
        <v>2</v>
      </c>
      <c r="K100" s="7"/>
      <c r="L100" s="51"/>
      <c r="N100" s="46"/>
      <c r="O100" s="14"/>
      <c r="P100" s="4"/>
    </row>
    <row r="101" spans="1:16" ht="16.5" thickBot="1">
      <c r="A101" s="1">
        <v>28</v>
      </c>
      <c r="B101" s="4" t="s">
        <v>67</v>
      </c>
      <c r="C101" s="3" t="s">
        <v>246</v>
      </c>
      <c r="D101" s="538">
        <f>'Materials and Prepayments'!F22</f>
        <v>398647.47153846151</v>
      </c>
      <c r="E101" s="5"/>
      <c r="F101" s="5" t="s">
        <v>68</v>
      </c>
      <c r="G101" s="41">
        <f>+G70</f>
        <v>9.562274535111584E-2</v>
      </c>
      <c r="H101" s="5"/>
      <c r="I101" s="24">
        <f>+G101*D101</f>
        <v>38119.765655788506</v>
      </c>
      <c r="J101" s="5"/>
      <c r="K101" s="7"/>
      <c r="L101" s="51"/>
      <c r="N101" s="46"/>
      <c r="O101" s="14"/>
      <c r="P101" s="4"/>
    </row>
    <row r="102" spans="1:16">
      <c r="A102" s="1">
        <v>29</v>
      </c>
      <c r="B102" s="4" t="s">
        <v>214</v>
      </c>
      <c r="C102" s="12"/>
      <c r="D102" s="5">
        <f>D99+D100+D101</f>
        <v>2508418.3060576925</v>
      </c>
      <c r="E102" s="12"/>
      <c r="F102" s="12"/>
      <c r="G102" s="12"/>
      <c r="H102" s="12"/>
      <c r="I102" s="5">
        <f>I99+I100+I101</f>
        <v>617647.07570684655</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135983980.24002501</v>
      </c>
      <c r="E104" s="5"/>
      <c r="F104" s="5"/>
      <c r="G104" s="7"/>
      <c r="H104" s="5"/>
      <c r="I104" s="48">
        <f>+I102+I96+I94+I86</f>
        <v>18683426.364866678</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168</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12/31/15</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c r="C129" s="38" t="s">
        <v>40</v>
      </c>
      <c r="D129" s="37" t="s">
        <v>41</v>
      </c>
      <c r="E129" s="39"/>
      <c r="F129" s="37" t="s">
        <v>42</v>
      </c>
      <c r="H129" s="39"/>
      <c r="I129" s="1" t="s">
        <v>986</v>
      </c>
      <c r="J129" s="5"/>
      <c r="K129" s="37"/>
      <c r="L129" s="8" t="s">
        <v>2</v>
      </c>
      <c r="M129" s="52"/>
      <c r="N129" s="37"/>
      <c r="O129" s="5"/>
      <c r="P129" s="4"/>
    </row>
    <row r="130" spans="1:16">
      <c r="A130" s="1"/>
      <c r="B130" s="4" t="s">
        <v>270</v>
      </c>
      <c r="C130" s="5"/>
      <c r="D130" s="5"/>
      <c r="E130" s="5"/>
      <c r="F130" s="5"/>
      <c r="G130" s="5"/>
      <c r="H130" s="5"/>
      <c r="I130" s="5"/>
      <c r="J130" s="5"/>
      <c r="K130" s="5"/>
      <c r="L130" s="51"/>
      <c r="M130" s="52"/>
      <c r="N130" s="5"/>
      <c r="O130" s="5"/>
      <c r="P130" s="4"/>
    </row>
    <row r="131" spans="1:16">
      <c r="A131" s="1">
        <v>1</v>
      </c>
      <c r="B131" s="4" t="s">
        <v>70</v>
      </c>
      <c r="C131" s="3" t="s">
        <v>247</v>
      </c>
      <c r="D131" s="8">
        <f>'Op &amp; Maint Sched 7'!F21</f>
        <v>8254753.3500000006</v>
      </c>
      <c r="E131" s="5"/>
      <c r="F131" s="5" t="s">
        <v>66</v>
      </c>
      <c r="G131" s="41">
        <f>I211</f>
        <v>0.929886598798355</v>
      </c>
      <c r="H131" s="5"/>
      <c r="I131" s="5">
        <f t="shared" ref="I131:I139" si="1">+G131*D131</f>
        <v>7675984.5165508278</v>
      </c>
      <c r="J131" s="12"/>
      <c r="L131" s="8"/>
      <c r="M131" s="51"/>
      <c r="N131" s="5"/>
      <c r="O131" s="14"/>
      <c r="P131" s="5" t="s">
        <v>2</v>
      </c>
    </row>
    <row r="132" spans="1:16">
      <c r="A132" s="50" t="s">
        <v>186</v>
      </c>
      <c r="B132" s="51" t="s">
        <v>215</v>
      </c>
      <c r="C132" s="52"/>
      <c r="D132" s="8">
        <f>'Transmission O&amp;M'!C12+'Transmission O&amp;M'!C16</f>
        <v>1073.5999999999999</v>
      </c>
      <c r="E132" s="5"/>
      <c r="F132" s="133"/>
      <c r="G132" s="41">
        <v>1</v>
      </c>
      <c r="H132" s="5"/>
      <c r="I132" s="5">
        <f>+G132*D132</f>
        <v>1073.5999999999999</v>
      </c>
      <c r="J132" s="12"/>
      <c r="K132" s="5"/>
      <c r="L132" s="51"/>
      <c r="M132" s="52"/>
      <c r="N132" s="5"/>
      <c r="O132" s="14"/>
      <c r="P132" s="5"/>
    </row>
    <row r="133" spans="1:16">
      <c r="A133" s="1">
        <v>2</v>
      </c>
      <c r="B133" s="4" t="s">
        <v>71</v>
      </c>
      <c r="C133" s="3" t="s">
        <v>2</v>
      </c>
      <c r="D133" s="8">
        <f>'Transmission O&amp;M'!C20</f>
        <v>7509648.9400000004</v>
      </c>
      <c r="E133" s="5"/>
      <c r="F133" s="5" t="s">
        <v>66</v>
      </c>
      <c r="G133" s="41">
        <f>+G131</f>
        <v>0.929886598798355</v>
      </c>
      <c r="H133" s="5"/>
      <c r="I133" s="5">
        <f t="shared" si="1"/>
        <v>6983121.9109862726</v>
      </c>
      <c r="J133" s="12"/>
      <c r="L133" s="8"/>
      <c r="M133" s="51"/>
      <c r="O133" s="5"/>
      <c r="P133" s="5"/>
    </row>
    <row r="134" spans="1:16">
      <c r="A134" s="1">
        <v>3</v>
      </c>
      <c r="B134" s="4" t="s">
        <v>72</v>
      </c>
      <c r="C134" s="3" t="s">
        <v>248</v>
      </c>
      <c r="D134" s="8">
        <f>'Op &amp; Maint Sched 7'!F29</f>
        <v>13236666.42</v>
      </c>
      <c r="E134" s="5"/>
      <c r="F134" s="5" t="s">
        <v>48</v>
      </c>
      <c r="G134" s="41">
        <f>I218</f>
        <v>6.6096848098070232E-2</v>
      </c>
      <c r="H134" s="5"/>
      <c r="I134" s="5">
        <f t="shared" si="1"/>
        <v>874901.92968756706</v>
      </c>
      <c r="J134" s="5"/>
      <c r="L134" s="8"/>
      <c r="M134" s="51"/>
      <c r="N134" s="5"/>
      <c r="O134" s="14"/>
      <c r="P134" s="4"/>
    </row>
    <row r="135" spans="1:16">
      <c r="A135" s="1">
        <v>4</v>
      </c>
      <c r="B135" s="4" t="s">
        <v>73</v>
      </c>
      <c r="C135" s="5"/>
      <c r="D135" s="8">
        <f>'FERC Fees'!C14</f>
        <v>0</v>
      </c>
      <c r="E135" s="5"/>
      <c r="F135" s="5" t="str">
        <f>+F134</f>
        <v>W/S</v>
      </c>
      <c r="G135" s="41">
        <f>I218</f>
        <v>6.6096848098070232E-2</v>
      </c>
      <c r="H135" s="5"/>
      <c r="I135" s="5">
        <f t="shared" si="1"/>
        <v>0</v>
      </c>
      <c r="J135" s="5"/>
      <c r="K135" s="5"/>
      <c r="L135" s="51"/>
      <c r="M135" s="52"/>
      <c r="N135" s="5"/>
      <c r="O135" s="14"/>
      <c r="P135" s="4"/>
    </row>
    <row r="136" spans="1:16">
      <c r="A136" s="1">
        <v>5</v>
      </c>
      <c r="B136" s="4" t="s">
        <v>216</v>
      </c>
      <c r="C136" s="5"/>
      <c r="D136" s="8">
        <f>'EPRI Reg Comm Non Safety'!B8+'EPRI Reg Comm Non Safety'!B16+'EPRI Reg Comm Non Safety'!B22</f>
        <v>434376</v>
      </c>
      <c r="E136" s="5"/>
      <c r="F136" s="5" t="str">
        <f>+F135</f>
        <v>W/S</v>
      </c>
      <c r="G136" s="41">
        <f>I218</f>
        <v>6.6096848098070232E-2</v>
      </c>
      <c r="H136" s="5"/>
      <c r="I136" s="5">
        <f t="shared" si="1"/>
        <v>28710.884489447355</v>
      </c>
      <c r="J136" s="5"/>
      <c r="K136" s="5"/>
      <c r="L136" s="51"/>
      <c r="M136" s="52"/>
      <c r="N136" s="5"/>
      <c r="O136" s="14"/>
      <c r="P136" s="4"/>
    </row>
    <row r="137" spans="1:16">
      <c r="A137" s="1" t="s">
        <v>161</v>
      </c>
      <c r="B137" s="4" t="s">
        <v>217</v>
      </c>
      <c r="C137" s="5"/>
      <c r="D137" s="8">
        <f>'EPRI Reg Comm Non Safety'!B16</f>
        <v>362886</v>
      </c>
      <c r="E137" s="5"/>
      <c r="F137" s="5" t="str">
        <f>+F131</f>
        <v>TE</v>
      </c>
      <c r="G137" s="41">
        <f>+G131</f>
        <v>0.929886598798355</v>
      </c>
      <c r="H137" s="5"/>
      <c r="I137" s="5">
        <f t="shared" si="1"/>
        <v>337442.82829153986</v>
      </c>
      <c r="J137" s="5"/>
      <c r="K137" s="5"/>
      <c r="L137" s="51"/>
      <c r="M137" s="52"/>
      <c r="N137" s="5"/>
      <c r="O137" s="14"/>
      <c r="P137" s="4"/>
    </row>
    <row r="138" spans="1:16">
      <c r="A138" s="1">
        <v>6</v>
      </c>
      <c r="B138" s="4" t="s">
        <v>49</v>
      </c>
      <c r="C138" s="5"/>
      <c r="D138" s="8">
        <v>0</v>
      </c>
      <c r="E138" s="5"/>
      <c r="F138" s="5" t="s">
        <v>50</v>
      </c>
      <c r="G138" s="41">
        <f>K222</f>
        <v>6.6096848098070232E-2</v>
      </c>
      <c r="H138" s="5"/>
      <c r="I138" s="5">
        <f t="shared" si="1"/>
        <v>0</v>
      </c>
      <c r="J138" s="5"/>
      <c r="K138" s="5"/>
      <c r="L138" s="51"/>
      <c r="M138" s="52"/>
      <c r="N138" s="5"/>
      <c r="O138" s="14"/>
      <c r="P138" s="4"/>
    </row>
    <row r="139" spans="1:16" ht="16.5" thickBot="1">
      <c r="A139" s="1">
        <v>7</v>
      </c>
      <c r="B139" s="4" t="s">
        <v>74</v>
      </c>
      <c r="C139" s="5"/>
      <c r="D139" s="538">
        <v>0</v>
      </c>
      <c r="E139" s="5"/>
      <c r="F139" s="5" t="s">
        <v>44</v>
      </c>
      <c r="G139" s="41">
        <v>1</v>
      </c>
      <c r="H139" s="5"/>
      <c r="I139" s="24">
        <f t="shared" si="1"/>
        <v>0</v>
      </c>
      <c r="J139" s="5"/>
      <c r="K139" s="5"/>
      <c r="L139" s="51"/>
      <c r="M139" s="52"/>
      <c r="N139" s="5"/>
      <c r="O139" s="33"/>
      <c r="P139" s="4"/>
    </row>
    <row r="140" spans="1:16">
      <c r="A140" s="50">
        <v>8</v>
      </c>
      <c r="B140" s="51" t="s">
        <v>249</v>
      </c>
      <c r="C140" s="8"/>
      <c r="D140" s="8">
        <f>+D131-D133+D134-D135-D136+D137+D138+D139-D132</f>
        <v>13909207.23</v>
      </c>
      <c r="E140" s="8"/>
      <c r="F140" s="8"/>
      <c r="G140" s="8"/>
      <c r="H140" s="8"/>
      <c r="I140" s="8">
        <f>+I131-I133+I134-I135-I136+I137+I138+I139-I132</f>
        <v>1875422.8790542146</v>
      </c>
      <c r="J140" s="8"/>
      <c r="K140" s="8"/>
      <c r="L140" s="8"/>
      <c r="M140" s="52"/>
      <c r="N140" s="132"/>
      <c r="O140" s="53"/>
      <c r="P140" s="4"/>
    </row>
    <row r="141" spans="1:16">
      <c r="A141" s="1"/>
      <c r="C141" s="5"/>
      <c r="E141" s="5"/>
      <c r="F141" s="5"/>
      <c r="G141" s="5"/>
      <c r="H141" s="5"/>
      <c r="J141" s="5"/>
      <c r="K141" s="5"/>
      <c r="L141" s="8"/>
      <c r="M141" s="52"/>
      <c r="N141" s="5"/>
      <c r="O141" s="5"/>
      <c r="P141" s="4"/>
    </row>
    <row r="142" spans="1:16">
      <c r="A142" s="1"/>
      <c r="B142" s="4" t="s">
        <v>271</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4'!K17-Plant!H70</f>
        <v>761754.37255928875</v>
      </c>
      <c r="E143" s="5"/>
      <c r="F143" s="5" t="s">
        <v>12</v>
      </c>
      <c r="G143" s="41">
        <f>+G96</f>
        <v>0.95360608895547316</v>
      </c>
      <c r="H143" s="5"/>
      <c r="I143" s="5">
        <f>+G143*D143</f>
        <v>726413.60796099377</v>
      </c>
      <c r="J143" s="5"/>
      <c r="K143" s="7"/>
      <c r="L143" s="710" t="s">
        <v>974</v>
      </c>
      <c r="M143" s="52"/>
      <c r="N143" s="5"/>
      <c r="O143" s="14"/>
      <c r="P143"/>
    </row>
    <row r="144" spans="1:16">
      <c r="A144" s="1">
        <v>10</v>
      </c>
      <c r="B144" s="4" t="s">
        <v>272</v>
      </c>
      <c r="C144" s="3" t="s">
        <v>2</v>
      </c>
      <c r="D144" s="8">
        <f>+'Plant Sched 4'!K19+'Plant Sched 4'!K9</f>
        <v>2457233.7300000004</v>
      </c>
      <c r="E144" s="5"/>
      <c r="F144" s="5" t="s">
        <v>48</v>
      </c>
      <c r="G144" s="41">
        <f>+G134</f>
        <v>6.6096848098070232E-2</v>
      </c>
      <c r="H144" s="5"/>
      <c r="I144" s="5">
        <f>+G144*D144</f>
        <v>162415.40459326454</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6.6096848098070232E-2</v>
      </c>
      <c r="H145" s="5"/>
      <c r="I145" s="24">
        <f>+G145*D145</f>
        <v>0</v>
      </c>
      <c r="J145" s="5"/>
      <c r="K145" s="7"/>
      <c r="L145" s="51"/>
      <c r="M145" s="52"/>
      <c r="N145" s="5"/>
      <c r="O145" s="14"/>
      <c r="P145" s="5" t="s">
        <v>2</v>
      </c>
    </row>
    <row r="146" spans="1:16">
      <c r="A146" s="1">
        <v>12</v>
      </c>
      <c r="B146" s="4" t="s">
        <v>218</v>
      </c>
      <c r="C146" s="5"/>
      <c r="D146" s="5">
        <f>SUM(D143:D145)</f>
        <v>3218988.102559289</v>
      </c>
      <c r="E146" s="5"/>
      <c r="F146" s="5"/>
      <c r="G146" s="5"/>
      <c r="H146" s="5"/>
      <c r="I146" s="5">
        <f>SUM(I143:I145)</f>
        <v>888829.01255425834</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219</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956119</v>
      </c>
      <c r="E150" s="5"/>
      <c r="F150" s="5" t="s">
        <v>48</v>
      </c>
      <c r="G150" s="21">
        <f>+G144</f>
        <v>6.6096848098070232E-2</v>
      </c>
      <c r="H150" s="5"/>
      <c r="I150" s="5">
        <f>+G150*D150</f>
        <v>63196.45230667881</v>
      </c>
      <c r="J150" s="5"/>
      <c r="K150" s="7"/>
      <c r="L150" s="51"/>
      <c r="M150" s="52"/>
      <c r="N150" s="46"/>
      <c r="O150" s="14"/>
      <c r="P150" s="4"/>
    </row>
    <row r="151" spans="1:16">
      <c r="A151" s="1">
        <v>14</v>
      </c>
      <c r="B151" s="4" t="s">
        <v>77</v>
      </c>
      <c r="C151" s="5"/>
      <c r="D151" s="8">
        <f>'Taxes other than inc tax'!D8</f>
        <v>0</v>
      </c>
      <c r="E151" s="5"/>
      <c r="F151" s="5" t="str">
        <f>+F150</f>
        <v>W/S</v>
      </c>
      <c r="G151" s="21">
        <f>+G150</f>
        <v>6.6096848098070232E-2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9.562274535111584E-2</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v>0</v>
      </c>
      <c r="H154" s="5"/>
      <c r="I154" s="5">
        <v>0</v>
      </c>
      <c r="J154" s="5"/>
      <c r="K154" s="7"/>
      <c r="L154" s="51"/>
      <c r="M154" s="52"/>
      <c r="N154" s="46"/>
      <c r="O154" s="14"/>
      <c r="P154" s="4"/>
    </row>
    <row r="155" spans="1:16">
      <c r="A155" s="1">
        <v>18</v>
      </c>
      <c r="B155" s="4" t="s">
        <v>81</v>
      </c>
      <c r="C155" s="5"/>
      <c r="D155" s="8">
        <v>0</v>
      </c>
      <c r="E155" s="5"/>
      <c r="F155" s="5" t="str">
        <f>+F153</f>
        <v>GP</v>
      </c>
      <c r="G155" s="21">
        <f>+G153</f>
        <v>9.562274535111584E-2</v>
      </c>
      <c r="H155" s="5"/>
      <c r="I155" s="5">
        <f>+G155*D155</f>
        <v>0</v>
      </c>
      <c r="J155" s="5"/>
      <c r="K155" s="7"/>
      <c r="L155" s="51"/>
      <c r="M155" s="52"/>
      <c r="N155" s="46"/>
      <c r="O155" s="14"/>
      <c r="P155" s="4"/>
    </row>
    <row r="156" spans="1:16" ht="16.5" thickBot="1">
      <c r="A156" s="1">
        <v>19</v>
      </c>
      <c r="B156" s="4" t="s">
        <v>82</v>
      </c>
      <c r="C156" s="5"/>
      <c r="D156" s="538">
        <f>'Taxes Sched 5'!C8</f>
        <v>8383748</v>
      </c>
      <c r="E156" s="5"/>
      <c r="F156" s="5" t="s">
        <v>68</v>
      </c>
      <c r="G156" s="21">
        <f>+G155</f>
        <v>9.562274535111584E-2</v>
      </c>
      <c r="H156" s="5"/>
      <c r="I156" s="24">
        <f>+G156*D156</f>
        <v>801677.00009192678</v>
      </c>
      <c r="J156" s="5"/>
      <c r="L156" s="8"/>
      <c r="M156" s="51"/>
      <c r="N156" s="46"/>
      <c r="O156" s="14"/>
      <c r="P156" s="4"/>
    </row>
    <row r="157" spans="1:16">
      <c r="A157" s="1">
        <v>20</v>
      </c>
      <c r="B157" s="4" t="s">
        <v>83</v>
      </c>
      <c r="C157" s="5"/>
      <c r="D157" s="5">
        <f>SUM(D150:D156)</f>
        <v>9339867</v>
      </c>
      <c r="E157" s="5"/>
      <c r="F157" s="5"/>
      <c r="G157" s="21"/>
      <c r="H157" s="5"/>
      <c r="I157" s="5">
        <f>SUM(I150:I156)</f>
        <v>864873.45239860564</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197</v>
      </c>
      <c r="D159" s="5"/>
      <c r="E159" s="5"/>
      <c r="F159" s="5"/>
      <c r="G159" s="56"/>
      <c r="H159" s="5"/>
      <c r="I159" s="5"/>
      <c r="J159" s="5"/>
      <c r="L159" s="8"/>
      <c r="M159" s="52"/>
      <c r="N159" s="5"/>
      <c r="O159" s="33"/>
      <c r="P159" s="5" t="s">
        <v>2</v>
      </c>
    </row>
    <row r="160" spans="1:16">
      <c r="A160" s="1">
        <v>21</v>
      </c>
      <c r="B160" s="513" t="s">
        <v>887</v>
      </c>
      <c r="C160" s="8"/>
      <c r="D160" s="57">
        <f>IF(D274&gt;0,1-(((1-D275)*(1-D274))/(1-D275*D274*D276)),0)</f>
        <v>0</v>
      </c>
      <c r="E160" s="5"/>
      <c r="G160" s="56"/>
      <c r="H160" s="5"/>
      <c r="J160" s="5"/>
      <c r="L160" s="5"/>
      <c r="N160" s="5"/>
      <c r="O160" s="33"/>
      <c r="P160" s="5"/>
    </row>
    <row r="161" spans="1:16">
      <c r="A161" s="1">
        <v>22</v>
      </c>
      <c r="B161" s="52" t="s">
        <v>888</v>
      </c>
      <c r="C161" s="8"/>
      <c r="D161" s="57">
        <f>IF(I232&gt;0,(D160/(1-D160))*(1-I230/I232),0)</f>
        <v>0</v>
      </c>
      <c r="E161" s="5"/>
      <c r="G161" s="56"/>
      <c r="H161" s="5"/>
      <c r="J161" s="5"/>
      <c r="L161" s="5"/>
      <c r="N161" s="5"/>
      <c r="O161" s="14"/>
      <c r="P161" s="5"/>
    </row>
    <row r="162" spans="1:16">
      <c r="A162" s="1"/>
      <c r="B162" s="51" t="s">
        <v>273</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13" t="s">
        <v>87</v>
      </c>
      <c r="C164" s="8"/>
      <c r="D164" s="58">
        <f>IF(D160&gt;0,1/(1-D160),0)</f>
        <v>0</v>
      </c>
      <c r="E164" s="5"/>
      <c r="G164" s="56"/>
      <c r="H164" s="5"/>
      <c r="J164" s="5"/>
      <c r="L164" s="4"/>
      <c r="N164" s="5"/>
      <c r="O164" s="14"/>
      <c r="P164" s="5"/>
    </row>
    <row r="165" spans="1:16">
      <c r="A165" s="1">
        <v>24</v>
      </c>
      <c r="B165" s="51" t="s">
        <v>276</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13" t="s">
        <v>889</v>
      </c>
      <c r="C167" s="514"/>
      <c r="D167" s="5">
        <f>D161*D171</f>
        <v>0</v>
      </c>
      <c r="E167" s="5"/>
      <c r="F167" s="5" t="s">
        <v>44</v>
      </c>
      <c r="G167" s="21"/>
      <c r="H167" s="5"/>
      <c r="I167" s="5">
        <f>D161*I171</f>
        <v>0</v>
      </c>
      <c r="J167" s="5"/>
      <c r="L167" s="4"/>
      <c r="N167" s="5"/>
      <c r="O167" s="14"/>
      <c r="P167" s="5"/>
    </row>
    <row r="168" spans="1:16" ht="16.5" thickBot="1">
      <c r="A168" s="1">
        <v>26</v>
      </c>
      <c r="B168" s="52" t="s">
        <v>890</v>
      </c>
      <c r="C168" s="514"/>
      <c r="D168" s="24">
        <f>D164*D165</f>
        <v>0</v>
      </c>
      <c r="E168" s="5"/>
      <c r="F168" s="3" t="s">
        <v>55</v>
      </c>
      <c r="G168" s="21">
        <f>G86</f>
        <v>0.13534896596350188</v>
      </c>
      <c r="H168" s="5"/>
      <c r="I168" s="24">
        <f>G168*D168</f>
        <v>0</v>
      </c>
      <c r="J168" s="5"/>
      <c r="L168" s="5" t="s">
        <v>2</v>
      </c>
      <c r="N168" s="5"/>
      <c r="O168" s="14"/>
      <c r="P168" s="5"/>
    </row>
    <row r="169" spans="1:16">
      <c r="A169" s="1">
        <v>27</v>
      </c>
      <c r="B169" s="515" t="s">
        <v>987</v>
      </c>
      <c r="C169" s="863"/>
      <c r="D169" s="9">
        <f>+D167+D168</f>
        <v>0</v>
      </c>
      <c r="E169" s="5"/>
      <c r="F169" s="5" t="s">
        <v>2</v>
      </c>
      <c r="G169" s="21" t="s">
        <v>2</v>
      </c>
      <c r="H169" s="5"/>
      <c r="I169" s="9">
        <f>+I167+I168</f>
        <v>0</v>
      </c>
      <c r="J169" s="5"/>
      <c r="L169" s="5"/>
      <c r="N169" s="5"/>
      <c r="O169" s="14"/>
      <c r="P169" s="5"/>
    </row>
    <row r="170" spans="1:16">
      <c r="A170" s="1" t="s">
        <v>2</v>
      </c>
      <c r="B170" s="52"/>
      <c r="C170" s="516"/>
      <c r="D170" s="5"/>
      <c r="E170" s="5"/>
      <c r="F170" s="5"/>
      <c r="G170" s="21"/>
      <c r="H170" s="5"/>
      <c r="I170" s="5"/>
      <c r="J170" s="5"/>
      <c r="K170" s="5"/>
      <c r="L170" s="5"/>
      <c r="N170" s="5"/>
      <c r="O170" s="5"/>
      <c r="P170" s="4"/>
    </row>
    <row r="171" spans="1:16">
      <c r="A171" s="1">
        <v>28</v>
      </c>
      <c r="B171" s="51" t="s">
        <v>89</v>
      </c>
      <c r="C171" s="517"/>
      <c r="D171" s="5">
        <f>+$I232*D104</f>
        <v>11299760.567556432</v>
      </c>
      <c r="E171" s="5"/>
      <c r="F171" s="5" t="s">
        <v>44</v>
      </c>
      <c r="G171" s="56"/>
      <c r="H171" s="5"/>
      <c r="I171" s="5">
        <f>+$I232*I104</f>
        <v>1552522.9084478947</v>
      </c>
      <c r="J171" s="5"/>
      <c r="L171" s="4"/>
      <c r="N171" s="5"/>
      <c r="O171" s="14"/>
      <c r="P171" s="5" t="s">
        <v>2</v>
      </c>
    </row>
    <row r="172" spans="1:16">
      <c r="A172" s="1"/>
      <c r="B172" s="515" t="s">
        <v>891</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220</v>
      </c>
      <c r="C174" s="5"/>
      <c r="D174" s="6">
        <f>+D171+D169+D157+D146+D140</f>
        <v>37767822.900115728</v>
      </c>
      <c r="E174" s="5"/>
      <c r="F174" s="5"/>
      <c r="G174" s="5"/>
      <c r="H174" s="5"/>
      <c r="I174" s="6">
        <f>+I171+I169+I157+I146+I140</f>
        <v>5181648.2524549738</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254</v>
      </c>
      <c r="J176" s="12"/>
      <c r="K176" s="12"/>
      <c r="L176" s="12"/>
      <c r="N176" s="12"/>
      <c r="O176" s="33"/>
      <c r="P176" s="4"/>
    </row>
    <row r="177" spans="1:16">
      <c r="A177" s="1"/>
      <c r="B177" s="3" t="s">
        <v>194</v>
      </c>
      <c r="J177" s="12"/>
      <c r="K177" s="12"/>
      <c r="L177" s="12"/>
      <c r="N177" s="12"/>
      <c r="O177" s="33"/>
      <c r="P177" s="4"/>
    </row>
    <row r="178" spans="1:16">
      <c r="A178" s="1"/>
      <c r="B178" s="3" t="s">
        <v>195</v>
      </c>
      <c r="D178" s="539">
        <f>'Att GG_RPU'!N93</f>
        <v>1620071.4890287474</v>
      </c>
      <c r="E178" s="4"/>
      <c r="F178" s="4"/>
      <c r="G178" s="4"/>
      <c r="H178" s="4"/>
      <c r="I178" s="542">
        <f>D178</f>
        <v>1620071.4890287474</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257</v>
      </c>
      <c r="B180" s="52" t="s">
        <v>277</v>
      </c>
      <c r="C180" s="52"/>
      <c r="D180" s="52"/>
      <c r="J180" s="5"/>
      <c r="K180" s="5"/>
      <c r="L180" s="12"/>
      <c r="N180" s="5"/>
      <c r="O180" s="14"/>
      <c r="P180" s="5" t="s">
        <v>2</v>
      </c>
    </row>
    <row r="181" spans="1:16">
      <c r="A181" s="1"/>
      <c r="B181" s="3" t="s">
        <v>194</v>
      </c>
      <c r="J181" s="5"/>
      <c r="K181" s="5"/>
      <c r="L181" s="12"/>
      <c r="N181" s="5"/>
      <c r="O181" s="14"/>
      <c r="P181" s="5"/>
    </row>
    <row r="182" spans="1:16" ht="16.5" thickBot="1">
      <c r="A182" s="1"/>
      <c r="B182" s="3" t="s">
        <v>258</v>
      </c>
      <c r="D182" s="124">
        <v>0</v>
      </c>
      <c r="E182" s="4"/>
      <c r="F182" s="4"/>
      <c r="G182" s="4"/>
      <c r="H182" s="4"/>
      <c r="I182" s="124">
        <v>0</v>
      </c>
      <c r="J182" s="5"/>
      <c r="K182" s="5"/>
      <c r="L182" s="12"/>
      <c r="N182" s="5"/>
      <c r="O182" s="14"/>
      <c r="P182" s="5"/>
    </row>
    <row r="183" spans="1:16" ht="16.5" thickBot="1">
      <c r="A183" s="50">
        <v>31</v>
      </c>
      <c r="B183" s="52" t="s">
        <v>193</v>
      </c>
      <c r="C183" s="52"/>
      <c r="D183" s="131">
        <f>+D174-D178-D182</f>
        <v>36147751.411086984</v>
      </c>
      <c r="E183" s="52"/>
      <c r="F183" s="52"/>
      <c r="G183" s="52"/>
      <c r="H183" s="52"/>
      <c r="I183" s="131">
        <f>+I174-I178-I182</f>
        <v>3561576.7634262266</v>
      </c>
      <c r="J183" s="8"/>
      <c r="K183" s="8"/>
      <c r="L183" s="123"/>
      <c r="M183" s="52"/>
      <c r="N183" s="8"/>
      <c r="O183" s="14"/>
      <c r="P183" s="5"/>
    </row>
    <row r="184" spans="1:16" ht="16.5" thickTop="1">
      <c r="A184" s="1"/>
      <c r="B184" s="3" t="s">
        <v>259</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169</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12/31/15</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221</v>
      </c>
      <c r="C197" s="12"/>
      <c r="D197" s="5"/>
      <c r="E197" s="5"/>
      <c r="F197" s="5"/>
      <c r="G197" s="5"/>
      <c r="H197" s="5"/>
      <c r="I197" s="5">
        <f>D66</f>
        <v>28986576.249398757</v>
      </c>
      <c r="J197" s="5"/>
      <c r="K197" s="5"/>
      <c r="L197" s="4"/>
      <c r="N197" s="12"/>
      <c r="O197" s="5"/>
      <c r="P197" s="4"/>
    </row>
    <row r="198" spans="1:17">
      <c r="A198" s="1">
        <v>2</v>
      </c>
      <c r="B198" s="11" t="s">
        <v>222</v>
      </c>
      <c r="I198" s="43">
        <v>0</v>
      </c>
      <c r="J198" s="5"/>
      <c r="K198" s="5"/>
      <c r="L198" s="4"/>
      <c r="N198" s="12"/>
      <c r="O198" s="5"/>
      <c r="P198" s="4"/>
    </row>
    <row r="199" spans="1:17" ht="16.5" thickBot="1">
      <c r="A199" s="1">
        <v>3</v>
      </c>
      <c r="B199" s="66" t="s">
        <v>223</v>
      </c>
      <c r="C199" s="67"/>
      <c r="D199" s="6"/>
      <c r="E199" s="5"/>
      <c r="F199" s="5"/>
      <c r="G199" s="46"/>
      <c r="H199" s="5"/>
      <c r="I199" s="42">
        <v>1344800.64</v>
      </c>
      <c r="J199" s="5"/>
      <c r="K199" s="5"/>
      <c r="L199" s="4"/>
      <c r="N199" s="12"/>
      <c r="O199" s="5"/>
      <c r="P199" s="4"/>
    </row>
    <row r="200" spans="1:17">
      <c r="A200" s="1">
        <v>4</v>
      </c>
      <c r="B200" s="511" t="s">
        <v>988</v>
      </c>
      <c r="C200" s="123"/>
      <c r="D200" s="8"/>
      <c r="E200" s="5"/>
      <c r="F200" s="5"/>
      <c r="G200" s="46"/>
      <c r="H200" s="5"/>
      <c r="I200" s="5">
        <f>I197-I198-I199</f>
        <v>27641775.609398756</v>
      </c>
      <c r="J200" s="5"/>
      <c r="K200" s="5"/>
      <c r="L200" s="4"/>
      <c r="N200" s="12"/>
      <c r="O200" s="5"/>
      <c r="P200" s="4"/>
    </row>
    <row r="201" spans="1:17">
      <c r="A201" s="1"/>
      <c r="B201" s="52"/>
      <c r="C201" s="123"/>
      <c r="D201" s="8"/>
      <c r="E201" s="5"/>
      <c r="F201" s="5"/>
      <c r="G201" s="46"/>
      <c r="H201" s="5"/>
      <c r="J201" s="5"/>
      <c r="K201" s="5"/>
    </row>
    <row r="202" spans="1:17">
      <c r="A202" s="1">
        <v>5</v>
      </c>
      <c r="B202" s="511" t="s">
        <v>224</v>
      </c>
      <c r="C202" s="518"/>
      <c r="D202" s="519"/>
      <c r="E202" s="68"/>
      <c r="F202" s="68"/>
      <c r="G202" s="35"/>
      <c r="H202" s="5" t="s">
        <v>94</v>
      </c>
      <c r="I202" s="45">
        <f>IF(I197&gt;0,I200/I197,0)</f>
        <v>0.95360608895547316</v>
      </c>
      <c r="J202" s="5"/>
      <c r="K202" s="5"/>
    </row>
    <row r="203" spans="1:17">
      <c r="B203" s="52"/>
      <c r="C203" s="52"/>
      <c r="D203" s="52"/>
      <c r="J203" s="5"/>
      <c r="K203" s="5"/>
      <c r="M203" s="130" t="s">
        <v>253</v>
      </c>
    </row>
    <row r="204" spans="1:17">
      <c r="B204" s="51" t="s">
        <v>91</v>
      </c>
      <c r="C204" s="52"/>
      <c r="D204" s="52"/>
      <c r="J204" s="5"/>
      <c r="K204" s="5"/>
    </row>
    <row r="205" spans="1:17">
      <c r="A205" s="1">
        <v>6</v>
      </c>
      <c r="B205" s="52" t="s">
        <v>225</v>
      </c>
      <c r="C205" s="52"/>
      <c r="D205" s="123"/>
      <c r="E205" s="12"/>
      <c r="F205" s="12"/>
      <c r="G205" s="14"/>
      <c r="H205" s="12"/>
      <c r="I205" s="5">
        <f>D131</f>
        <v>8254753.3500000006</v>
      </c>
      <c r="J205" s="5"/>
      <c r="K205" s="5"/>
      <c r="L205" s="946" t="s">
        <v>771</v>
      </c>
      <c r="M205" s="947"/>
      <c r="N205" s="947"/>
      <c r="O205" s="947"/>
      <c r="P205" s="947"/>
      <c r="Q205" s="948"/>
    </row>
    <row r="206" spans="1:17" ht="16.5" thickBot="1">
      <c r="A206" s="1">
        <v>7</v>
      </c>
      <c r="B206" s="139" t="s">
        <v>226</v>
      </c>
      <c r="C206" s="520"/>
      <c r="D206" s="521"/>
      <c r="E206" s="6"/>
      <c r="F206" s="5"/>
      <c r="G206" s="5"/>
      <c r="H206" s="5"/>
      <c r="I206" s="538">
        <f>'Transmission O&amp;M'!C9+'Transmission O&amp;M'!C10+'Transmission O&amp;M'!C11</f>
        <v>205324.33999999997</v>
      </c>
      <c r="J206" s="5"/>
      <c r="K206" s="5"/>
      <c r="L206" s="127">
        <f>+I206</f>
        <v>205324.33999999997</v>
      </c>
      <c r="M206" s="72" t="s">
        <v>182</v>
      </c>
      <c r="N206" s="110"/>
      <c r="O206" s="6"/>
      <c r="P206" s="70"/>
      <c r="Q206" s="71"/>
    </row>
    <row r="207" spans="1:17">
      <c r="A207" s="1">
        <v>8</v>
      </c>
      <c r="B207" s="511" t="s">
        <v>989</v>
      </c>
      <c r="C207" s="518"/>
      <c r="D207" s="519"/>
      <c r="E207" s="68"/>
      <c r="F207" s="68"/>
      <c r="G207" s="35"/>
      <c r="H207" s="68"/>
      <c r="I207" s="5">
        <f>+I205-I206</f>
        <v>8049429.0100000007</v>
      </c>
      <c r="J207" s="5"/>
      <c r="K207" s="5"/>
      <c r="L207" s="126">
        <v>0</v>
      </c>
      <c r="M207" s="78" t="s">
        <v>184</v>
      </c>
      <c r="N207" s="69"/>
      <c r="O207" s="69"/>
      <c r="P207" s="69"/>
      <c r="Q207" s="71"/>
    </row>
    <row r="208" spans="1:17">
      <c r="A208" s="1"/>
      <c r="B208" s="511"/>
      <c r="C208" s="123"/>
      <c r="D208" s="8"/>
      <c r="E208" s="5"/>
      <c r="F208" s="5"/>
      <c r="G208" s="5"/>
      <c r="J208" s="5"/>
      <c r="K208" s="5"/>
      <c r="L208" s="127">
        <f>L206-L207</f>
        <v>205324.33999999997</v>
      </c>
      <c r="M208" s="78" t="s">
        <v>185</v>
      </c>
      <c r="N208" s="69"/>
      <c r="O208" s="69"/>
      <c r="P208" s="69"/>
      <c r="Q208" s="71"/>
    </row>
    <row r="209" spans="1:17">
      <c r="A209" s="1">
        <v>9</v>
      </c>
      <c r="B209" s="511" t="s">
        <v>227</v>
      </c>
      <c r="C209" s="123"/>
      <c r="D209" s="8"/>
      <c r="E209" s="5"/>
      <c r="F209" s="5"/>
      <c r="G209" s="5"/>
      <c r="H209" s="5"/>
      <c r="I209" s="41">
        <f>IF(I205&gt;0,I207/I205,0)</f>
        <v>0.97512653239966285</v>
      </c>
      <c r="J209" s="5"/>
      <c r="K209" s="5"/>
      <c r="L209" s="111"/>
      <c r="M209" s="74" t="s">
        <v>176</v>
      </c>
      <c r="N209" s="112"/>
      <c r="O209" s="112"/>
      <c r="P209" s="112"/>
      <c r="Q209" s="113"/>
    </row>
    <row r="210" spans="1:17">
      <c r="A210" s="1">
        <v>10</v>
      </c>
      <c r="B210" s="511" t="s">
        <v>228</v>
      </c>
      <c r="C210" s="123"/>
      <c r="D210" s="8"/>
      <c r="E210" s="5"/>
      <c r="F210" s="5"/>
      <c r="G210" s="5"/>
      <c r="H210" s="12" t="s">
        <v>12</v>
      </c>
      <c r="I210" s="73">
        <f>I202</f>
        <v>0.95360608895547316</v>
      </c>
      <c r="J210" s="5"/>
      <c r="K210" s="5"/>
      <c r="L210" s="125">
        <v>0</v>
      </c>
      <c r="M210" s="75" t="s">
        <v>177</v>
      </c>
      <c r="N210" s="6"/>
      <c r="O210" s="70"/>
      <c r="P210" s="69"/>
      <c r="Q210" s="71"/>
    </row>
    <row r="211" spans="1:17">
      <c r="A211" s="1">
        <v>11</v>
      </c>
      <c r="B211" s="511" t="s">
        <v>990</v>
      </c>
      <c r="C211" s="123"/>
      <c r="D211" s="123"/>
      <c r="E211" s="12"/>
      <c r="F211" s="12"/>
      <c r="G211" s="12"/>
      <c r="H211" s="12" t="s">
        <v>92</v>
      </c>
      <c r="I211" s="76">
        <f>+I210*I209</f>
        <v>0.929886598798355</v>
      </c>
      <c r="J211" s="5"/>
      <c r="K211" s="5"/>
      <c r="L211" s="125">
        <v>0</v>
      </c>
      <c r="M211" s="75" t="s">
        <v>178</v>
      </c>
      <c r="N211" s="6"/>
      <c r="O211" s="70"/>
      <c r="P211" s="69"/>
      <c r="Q211" s="71"/>
    </row>
    <row r="212" spans="1:17">
      <c r="A212" s="1"/>
      <c r="C212" s="12"/>
      <c r="D212" s="5"/>
      <c r="E212" s="5"/>
      <c r="F212" s="5"/>
      <c r="G212" s="46"/>
      <c r="H212" s="5"/>
      <c r="L212" s="126">
        <v>0</v>
      </c>
      <c r="M212" s="75" t="s">
        <v>179</v>
      </c>
      <c r="N212" s="6"/>
      <c r="O212" s="70"/>
      <c r="P212" s="69"/>
      <c r="Q212" s="71"/>
    </row>
    <row r="213" spans="1:17" ht="16.5" thickBot="1">
      <c r="A213" s="1" t="s">
        <v>2</v>
      </c>
      <c r="B213" s="4" t="s">
        <v>95</v>
      </c>
      <c r="C213" s="5"/>
      <c r="D213" s="77" t="s">
        <v>96</v>
      </c>
      <c r="E213" s="77" t="s">
        <v>12</v>
      </c>
      <c r="F213" s="5"/>
      <c r="G213" s="77" t="s">
        <v>97</v>
      </c>
      <c r="H213" s="5"/>
      <c r="I213" s="5"/>
      <c r="L213" s="128">
        <f>SUM(L210:L212)</f>
        <v>0</v>
      </c>
      <c r="M213" s="78" t="s">
        <v>180</v>
      </c>
      <c r="N213" s="69"/>
      <c r="O213" s="69"/>
      <c r="P213" s="69"/>
      <c r="Q213" s="71"/>
    </row>
    <row r="214" spans="1:17">
      <c r="A214" s="1">
        <v>12</v>
      </c>
      <c r="B214" s="4" t="s">
        <v>43</v>
      </c>
      <c r="C214" s="5"/>
      <c r="D214" s="8">
        <f>'Wages &amp; Salaries'!C8</f>
        <v>545668</v>
      </c>
      <c r="E214" s="79">
        <v>0</v>
      </c>
      <c r="F214" s="79"/>
      <c r="G214" s="5">
        <f>D214*E214</f>
        <v>0</v>
      </c>
      <c r="H214" s="5"/>
      <c r="I214" s="5"/>
      <c r="J214" s="5"/>
      <c r="K214" s="5"/>
      <c r="L214" s="129">
        <f>L208-L213</f>
        <v>205324.33999999997</v>
      </c>
      <c r="M214" s="80" t="s">
        <v>181</v>
      </c>
      <c r="N214" s="81"/>
      <c r="O214" s="81"/>
      <c r="P214" s="81"/>
      <c r="Q214" s="82"/>
    </row>
    <row r="215" spans="1:17">
      <c r="A215" s="1">
        <v>13</v>
      </c>
      <c r="B215" s="4" t="s">
        <v>45</v>
      </c>
      <c r="C215" s="5"/>
      <c r="D215" s="8">
        <f>'Wages &amp; Salaries'!C9</f>
        <v>415684</v>
      </c>
      <c r="E215" s="79">
        <f>+I202</f>
        <v>0.95360608895547316</v>
      </c>
      <c r="F215" s="79"/>
      <c r="G215" s="5">
        <f>D215*E215</f>
        <v>396398.79348136688</v>
      </c>
      <c r="H215" s="5"/>
      <c r="I215" s="5"/>
      <c r="J215" s="5"/>
      <c r="K215" s="5"/>
      <c r="L215" s="306"/>
      <c r="M215" s="78"/>
      <c r="N215" s="6"/>
      <c r="O215" s="70"/>
      <c r="P215" s="69"/>
      <c r="Q215" s="69"/>
    </row>
    <row r="216" spans="1:17">
      <c r="A216" s="1">
        <v>14</v>
      </c>
      <c r="B216" s="4" t="s">
        <v>46</v>
      </c>
      <c r="C216" s="5"/>
      <c r="D216" s="8">
        <f>'Wages &amp; Salaries'!C10</f>
        <v>3813259</v>
      </c>
      <c r="E216" s="79">
        <v>0</v>
      </c>
      <c r="F216" s="79"/>
      <c r="G216" s="5">
        <f>D216*E216</f>
        <v>0</v>
      </c>
      <c r="H216" s="5"/>
      <c r="I216" s="83" t="s">
        <v>98</v>
      </c>
      <c r="J216" s="5"/>
      <c r="K216" s="5"/>
      <c r="L216" s="51" t="s">
        <v>456</v>
      </c>
      <c r="N216" s="5"/>
      <c r="O216" s="5"/>
      <c r="P216" s="4"/>
    </row>
    <row r="217" spans="1:17" ht="16.5" thickBot="1">
      <c r="A217" s="1">
        <v>15</v>
      </c>
      <c r="B217" s="4" t="s">
        <v>99</v>
      </c>
      <c r="C217" s="5"/>
      <c r="D217" s="538">
        <f>'Wages &amp; Salaries'!C11</f>
        <v>1222631</v>
      </c>
      <c r="E217" s="79">
        <v>0</v>
      </c>
      <c r="F217" s="79"/>
      <c r="G217" s="24">
        <f>D217*E217</f>
        <v>0</v>
      </c>
      <c r="H217" s="5"/>
      <c r="I217" s="18" t="s">
        <v>100</v>
      </c>
      <c r="J217" s="5"/>
      <c r="K217" s="5"/>
      <c r="L217" s="51"/>
      <c r="N217" s="5"/>
      <c r="O217" s="5"/>
      <c r="P217" s="4"/>
    </row>
    <row r="218" spans="1:17">
      <c r="A218" s="1">
        <v>16</v>
      </c>
      <c r="B218" s="4" t="s">
        <v>230</v>
      </c>
      <c r="C218" s="5"/>
      <c r="D218" s="5">
        <f>SUM(D214:D217)</f>
        <v>5997242</v>
      </c>
      <c r="E218" s="5"/>
      <c r="F218" s="5"/>
      <c r="G218" s="5">
        <f>SUM(G214:G217)</f>
        <v>396398.79348136688</v>
      </c>
      <c r="H218" s="14" t="s">
        <v>101</v>
      </c>
      <c r="I218" s="41">
        <f>IF(G218&gt;0,G215/D218,0)</f>
        <v>6.6096848098070232E-2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229</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318581342.81016803</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6.6096848098070232E-2</v>
      </c>
      <c r="J222" s="56" t="s">
        <v>101</v>
      </c>
      <c r="K222" s="21">
        <f>I222*G222</f>
        <v>6.6096848098070232E-2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155</v>
      </c>
      <c r="C224" s="5"/>
      <c r="D224" s="5">
        <f>D221+D222+D223</f>
        <v>318581342.81016803</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250</v>
      </c>
      <c r="D227" s="540">
        <f>'Income Sched 3'!C24+'Income Sched 3'!C25</f>
        <v>4575085.0299999993</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685</v>
      </c>
      <c r="D230" s="8">
        <f>'Capital Structure'!H24+'Capital Structure'!I24-'Capital Structure'!J24</f>
        <v>117476048.68153846</v>
      </c>
      <c r="E230" s="86">
        <f>IF($D$232&gt;0,D230/$D$232,0)</f>
        <v>0.47968483591607491</v>
      </c>
      <c r="F230" s="87"/>
      <c r="G230" s="88">
        <f>IF(D230&gt;0,D227/D230,0)</f>
        <v>3.8944832426245718E-2</v>
      </c>
      <c r="I230" s="87">
        <f>G230*E230</f>
        <v>1.868124555216271E-2</v>
      </c>
      <c r="J230" s="89" t="s">
        <v>117</v>
      </c>
      <c r="K230" s="5"/>
      <c r="L230" s="52"/>
      <c r="N230" s="5"/>
      <c r="O230" s="5"/>
      <c r="P230" s="4"/>
    </row>
    <row r="231" spans="1:16" ht="16.5" thickBot="1">
      <c r="A231" s="1">
        <v>23</v>
      </c>
      <c r="B231" s="2" t="s">
        <v>118</v>
      </c>
      <c r="C231" s="11" t="s">
        <v>991</v>
      </c>
      <c r="D231" s="538">
        <f>'Capital Structure'!K24</f>
        <v>127426520.43384615</v>
      </c>
      <c r="E231" s="108">
        <f>IF($D$232&gt;0,D231/$D$232,0)</f>
        <v>0.52031516408392509</v>
      </c>
      <c r="F231" s="87"/>
      <c r="G231" s="505">
        <f>I234</f>
        <v>0.12379999999999999</v>
      </c>
      <c r="I231" s="480">
        <f>G231*E231</f>
        <v>6.4415017313589923E-2</v>
      </c>
      <c r="L231" s="52"/>
      <c r="N231" s="5"/>
      <c r="O231" s="5"/>
      <c r="P231" s="4"/>
    </row>
    <row r="232" spans="1:16">
      <c r="A232" s="1">
        <v>24</v>
      </c>
      <c r="B232" s="2" t="s">
        <v>992</v>
      </c>
      <c r="C232" s="11"/>
      <c r="D232" s="5">
        <f>D230+D231</f>
        <v>244902569.11538461</v>
      </c>
      <c r="E232" s="256">
        <f>SUM(E230+E231)</f>
        <v>1</v>
      </c>
      <c r="F232" s="87"/>
      <c r="G232" s="87"/>
      <c r="I232" s="87">
        <f>I230+I231</f>
        <v>8.309626286575264E-2</v>
      </c>
      <c r="J232" s="89" t="s">
        <v>119</v>
      </c>
      <c r="L232" s="52"/>
      <c r="N232" s="5"/>
      <c r="O232" s="5"/>
      <c r="P232" s="4"/>
    </row>
    <row r="233" spans="1:16">
      <c r="A233"/>
      <c r="B233"/>
      <c r="C233"/>
      <c r="D233"/>
      <c r="E233"/>
      <c r="F233"/>
      <c r="G233"/>
      <c r="L233" s="52"/>
      <c r="N233" s="5"/>
      <c r="O233" s="5"/>
      <c r="P233" s="4"/>
    </row>
    <row r="234" spans="1:16">
      <c r="A234" s="50">
        <v>25</v>
      </c>
      <c r="B234" s="863"/>
      <c r="C234" s="863"/>
      <c r="D234" s="868"/>
      <c r="E234" s="5"/>
      <c r="F234" s="5"/>
      <c r="G234" s="5"/>
      <c r="H234" s="867" t="s">
        <v>993</v>
      </c>
      <c r="I234" s="877">
        <v>0.12379999999999999</v>
      </c>
      <c r="L234" s="51"/>
      <c r="N234" s="5"/>
      <c r="O234" s="5"/>
      <c r="P234" s="4"/>
    </row>
    <row r="235" spans="1:16">
      <c r="A235" s="50">
        <v>26</v>
      </c>
      <c r="B235" s="863"/>
      <c r="C235" s="863"/>
      <c r="D235" s="868"/>
      <c r="E235" s="868"/>
      <c r="F235" s="868"/>
      <c r="G235" s="868"/>
      <c r="H235" s="64" t="s">
        <v>994</v>
      </c>
      <c r="I235" s="79">
        <f>IF(G230&gt;0,I232/G230,0)</f>
        <v>2.1336916270758524</v>
      </c>
      <c r="L235" s="51"/>
      <c r="N235" s="5"/>
      <c r="O235" s="5"/>
      <c r="P235" s="4"/>
    </row>
    <row r="236" spans="1:16">
      <c r="A236" s="1"/>
      <c r="B236" s="2" t="s">
        <v>120</v>
      </c>
      <c r="C236" s="11"/>
      <c r="D236" s="11"/>
      <c r="E236" s="11"/>
      <c r="F236" s="11"/>
      <c r="G236" s="11"/>
      <c r="H236" s="11"/>
      <c r="I236" s="11"/>
      <c r="K236" s="5"/>
      <c r="L236" s="51"/>
      <c r="N236" s="5"/>
      <c r="O236" s="5"/>
      <c r="P236" s="4"/>
    </row>
    <row r="237" spans="1:16" ht="16.5" thickBot="1">
      <c r="A237" s="1"/>
      <c r="B237" s="2"/>
      <c r="C237" s="2"/>
      <c r="D237" s="2"/>
      <c r="E237" s="2"/>
      <c r="F237" s="2"/>
      <c r="G237" s="2"/>
      <c r="H237" s="2"/>
      <c r="I237" s="18" t="s">
        <v>121</v>
      </c>
      <c r="J237" s="11"/>
      <c r="K237" s="11"/>
      <c r="L237" s="51"/>
      <c r="N237" s="5"/>
      <c r="O237" s="5"/>
      <c r="P237" s="4"/>
    </row>
    <row r="238" spans="1:16">
      <c r="A238" s="1"/>
      <c r="B238" s="2" t="s">
        <v>122</v>
      </c>
      <c r="C238" s="11"/>
      <c r="D238" s="11"/>
      <c r="E238" s="11"/>
      <c r="F238" s="11"/>
      <c r="G238" s="90" t="s">
        <v>2</v>
      </c>
      <c r="H238" s="60"/>
      <c r="I238" s="91"/>
      <c r="J238" s="2"/>
      <c r="K238" s="2"/>
      <c r="L238" s="51"/>
      <c r="N238" s="5"/>
      <c r="O238" s="5"/>
      <c r="P238" s="4"/>
    </row>
    <row r="239" spans="1:16">
      <c r="A239" s="1">
        <v>27</v>
      </c>
      <c r="B239" s="3" t="s">
        <v>123</v>
      </c>
      <c r="C239" s="11"/>
      <c r="D239" s="11"/>
      <c r="E239" s="11" t="s">
        <v>124</v>
      </c>
      <c r="F239" s="11"/>
      <c r="H239" s="60"/>
      <c r="I239" s="43">
        <v>0</v>
      </c>
      <c r="J239" s="2"/>
      <c r="K239" s="2"/>
      <c r="L239" s="51"/>
      <c r="N239" s="46"/>
      <c r="O239" s="5"/>
      <c r="P239" s="4"/>
    </row>
    <row r="240" spans="1:16" ht="16.5" thickBot="1">
      <c r="A240" s="1">
        <v>28</v>
      </c>
      <c r="B240" s="47" t="s">
        <v>156</v>
      </c>
      <c r="C240" s="67"/>
      <c r="D240" s="69"/>
      <c r="E240" s="95"/>
      <c r="F240" s="95"/>
      <c r="G240" s="95"/>
      <c r="H240" s="11"/>
      <c r="I240" s="42">
        <v>0</v>
      </c>
      <c r="J240" s="2"/>
      <c r="K240" s="2"/>
      <c r="L240" s="51"/>
      <c r="N240" s="2"/>
      <c r="O240" s="5"/>
      <c r="P240" s="4"/>
    </row>
    <row r="241" spans="1:17">
      <c r="A241" s="1">
        <v>29</v>
      </c>
      <c r="B241" s="3" t="s">
        <v>125</v>
      </c>
      <c r="C241" s="12"/>
      <c r="D241" s="69"/>
      <c r="E241" s="95"/>
      <c r="F241" s="95"/>
      <c r="G241" s="95"/>
      <c r="H241" s="11"/>
      <c r="I241" s="43">
        <f>+I239-I240</f>
        <v>0</v>
      </c>
      <c r="J241" s="2"/>
      <c r="K241" s="2"/>
      <c r="L241" s="51"/>
      <c r="N241" s="2"/>
      <c r="O241" s="5"/>
      <c r="P241" s="4"/>
    </row>
    <row r="242" spans="1:17">
      <c r="A242" s="1"/>
      <c r="B242" s="3" t="s">
        <v>2</v>
      </c>
      <c r="C242" s="12"/>
      <c r="D242" s="69"/>
      <c r="E242" s="95"/>
      <c r="F242" s="95"/>
      <c r="G242" s="109"/>
      <c r="H242" s="11"/>
      <c r="I242" s="92" t="s">
        <v>2</v>
      </c>
      <c r="J242" s="2"/>
      <c r="K242" s="2"/>
      <c r="L242" s="51"/>
      <c r="N242" s="2"/>
      <c r="O242" s="5"/>
      <c r="P242" s="4"/>
    </row>
    <row r="243" spans="1:17">
      <c r="A243" s="1">
        <v>30</v>
      </c>
      <c r="B243" s="2" t="s">
        <v>231</v>
      </c>
      <c r="C243" s="12"/>
      <c r="D243" s="69"/>
      <c r="E243" s="95"/>
      <c r="F243" s="95"/>
      <c r="G243" s="109"/>
      <c r="H243" s="11"/>
      <c r="I243" s="92">
        <f>'Account 454'!C16</f>
        <v>37170</v>
      </c>
      <c r="J243" s="2"/>
      <c r="K243" s="2"/>
      <c r="L243" s="52"/>
      <c r="N243" s="2"/>
      <c r="O243" s="5"/>
      <c r="P243" s="4"/>
    </row>
    <row r="244" spans="1:17">
      <c r="A244" s="1"/>
      <c r="C244" s="11"/>
      <c r="D244" s="95"/>
      <c r="E244" s="95"/>
      <c r="F244" s="95"/>
      <c r="G244" s="95"/>
      <c r="H244" s="11"/>
      <c r="I244" s="92"/>
      <c r="J244" s="2"/>
      <c r="K244" s="2"/>
      <c r="L244" s="52"/>
      <c r="N244" s="2"/>
      <c r="O244" s="5"/>
      <c r="P244" s="4"/>
    </row>
    <row r="245" spans="1:17">
      <c r="B245" s="2" t="s">
        <v>189</v>
      </c>
      <c r="C245" s="11"/>
      <c r="D245" s="95"/>
      <c r="E245" s="95"/>
      <c r="F245" s="95"/>
      <c r="G245" s="95"/>
      <c r="H245" s="11"/>
      <c r="J245" s="2"/>
      <c r="K245" s="2"/>
      <c r="L245" s="52"/>
      <c r="N245" s="2"/>
      <c r="O245" s="5"/>
      <c r="P245" s="4"/>
    </row>
    <row r="246" spans="1:17">
      <c r="A246" s="1">
        <v>31</v>
      </c>
      <c r="B246" s="2" t="s">
        <v>126</v>
      </c>
      <c r="C246" s="5"/>
      <c r="D246" s="6"/>
      <c r="E246" s="6"/>
      <c r="F246" s="6"/>
      <c r="G246" s="6"/>
      <c r="H246" s="5"/>
      <c r="I246" s="541">
        <f>+'Account 456.1'!D22</f>
        <v>1545984.21</v>
      </c>
      <c r="J246" s="2"/>
      <c r="K246" s="2"/>
      <c r="L246" s="93" t="s">
        <v>174</v>
      </c>
      <c r="N246" s="2"/>
      <c r="O246" s="5"/>
      <c r="P246" s="4"/>
    </row>
    <row r="247" spans="1:17">
      <c r="A247" s="1">
        <v>32</v>
      </c>
      <c r="B247" s="94" t="s">
        <v>157</v>
      </c>
      <c r="C247" s="95"/>
      <c r="D247" s="95"/>
      <c r="E247" s="95"/>
      <c r="F247" s="95"/>
      <c r="G247" s="95"/>
      <c r="H247" s="11"/>
      <c r="I247" s="792">
        <f>'Account 456.1'!D23</f>
        <v>184142.03</v>
      </c>
      <c r="J247" s="2"/>
      <c r="K247" s="2"/>
      <c r="L247" s="93" t="s">
        <v>175</v>
      </c>
      <c r="N247" s="2"/>
      <c r="O247" s="5"/>
      <c r="P247" s="4"/>
    </row>
    <row r="248" spans="1:17">
      <c r="A248" s="869" t="s">
        <v>995</v>
      </c>
      <c r="B248" s="136" t="s">
        <v>278</v>
      </c>
      <c r="C248" s="137"/>
      <c r="D248" s="95"/>
      <c r="E248" s="95"/>
      <c r="F248" s="95"/>
      <c r="G248" s="95"/>
      <c r="H248" s="11"/>
      <c r="I248" s="792">
        <f>'Account 456.1'!D24</f>
        <v>1315724.45</v>
      </c>
      <c r="J248" s="2"/>
      <c r="K248" s="2"/>
      <c r="L248" s="46"/>
      <c r="N248" s="2"/>
      <c r="O248" s="5"/>
      <c r="P248" s="4"/>
    </row>
    <row r="249" spans="1:17" ht="16.5" thickBot="1">
      <c r="A249" s="1" t="s">
        <v>996</v>
      </c>
      <c r="B249" s="138" t="s">
        <v>279</v>
      </c>
      <c r="C249" s="139"/>
      <c r="D249" s="95"/>
      <c r="E249" s="95"/>
      <c r="F249" s="95"/>
      <c r="G249" s="95"/>
      <c r="H249" s="11"/>
      <c r="I249" s="793">
        <f>'Account 456.1'!D25</f>
        <v>0</v>
      </c>
      <c r="J249" s="2"/>
      <c r="K249" s="2"/>
      <c r="L249" s="46"/>
      <c r="N249" s="2"/>
      <c r="O249" s="5"/>
      <c r="P249" s="4"/>
    </row>
    <row r="250" spans="1:17" s="60" customFormat="1">
      <c r="A250" s="1">
        <v>33</v>
      </c>
      <c r="B250" s="3" t="s">
        <v>260</v>
      </c>
      <c r="C250" s="1"/>
      <c r="D250" s="6"/>
      <c r="E250" s="6"/>
      <c r="F250" s="6"/>
      <c r="G250" s="6"/>
      <c r="H250" s="11"/>
      <c r="I250" s="97">
        <f>+I246-I247-I248-I249</f>
        <v>46117.729999999981</v>
      </c>
      <c r="J250" s="2"/>
      <c r="K250" s="2"/>
      <c r="M250" s="3"/>
      <c r="N250" s="2"/>
      <c r="O250" s="12"/>
      <c r="P250" s="4"/>
      <c r="Q250" s="3"/>
    </row>
    <row r="251" spans="1:17">
      <c r="A251" s="1"/>
      <c r="B251" s="99"/>
      <c r="C251" s="1"/>
      <c r="D251" s="6"/>
      <c r="E251" s="6"/>
      <c r="F251" s="6"/>
      <c r="G251" s="6"/>
      <c r="H251" s="11"/>
      <c r="I251" s="97"/>
      <c r="J251" s="2"/>
      <c r="K251" s="2"/>
      <c r="M251" s="60"/>
      <c r="N251" s="96"/>
      <c r="O251" s="62"/>
      <c r="P251" s="98"/>
      <c r="Q251" s="60"/>
    </row>
    <row r="252" spans="1:17">
      <c r="A252" s="1"/>
      <c r="B252" s="99"/>
      <c r="C252" s="1"/>
      <c r="D252" s="6"/>
      <c r="E252" s="6"/>
      <c r="F252" s="6"/>
      <c r="G252" s="6"/>
      <c r="H252" s="11"/>
      <c r="I252" s="97"/>
      <c r="J252" s="2"/>
      <c r="K252" s="2"/>
      <c r="L252" s="93"/>
      <c r="N252" s="2"/>
      <c r="O252" s="12"/>
      <c r="P252" s="4"/>
    </row>
    <row r="253" spans="1:17">
      <c r="A253" s="1"/>
      <c r="B253" s="99"/>
      <c r="C253" s="1"/>
      <c r="D253" s="6"/>
      <c r="E253" s="6"/>
      <c r="F253" s="6"/>
      <c r="G253" s="6"/>
      <c r="H253" s="11"/>
      <c r="I253" s="97"/>
      <c r="J253" s="2"/>
      <c r="K253" s="2"/>
      <c r="L253" s="93"/>
      <c r="N253" s="2"/>
      <c r="O253" s="12"/>
      <c r="P253" s="4"/>
    </row>
    <row r="254" spans="1:17">
      <c r="B254" s="2"/>
      <c r="C254" s="2"/>
      <c r="E254" s="2"/>
      <c r="F254" s="2"/>
      <c r="G254" s="2"/>
      <c r="H254" s="11"/>
      <c r="I254" s="11"/>
      <c r="K254" s="13" t="s">
        <v>170</v>
      </c>
      <c r="L254" s="12"/>
      <c r="N254" s="12"/>
      <c r="O254" s="12"/>
      <c r="P254" s="12"/>
    </row>
    <row r="255" spans="1:17">
      <c r="A255" s="1"/>
      <c r="B255" s="99" t="str">
        <f>B3</f>
        <v xml:space="preserve">Formula Rate - Non-Levelized </v>
      </c>
      <c r="C255" s="949" t="str">
        <f>D3</f>
        <v xml:space="preserve">   Rate Formula Template</v>
      </c>
      <c r="D255" s="949"/>
      <c r="E255" s="5"/>
      <c r="F255" s="5"/>
      <c r="G255" s="5"/>
      <c r="H255" s="100"/>
      <c r="J255" s="12"/>
      <c r="K255" s="101" t="str">
        <f>K3</f>
        <v>For the 12 months ended 12/31/15</v>
      </c>
      <c r="L255" s="12"/>
      <c r="N255" s="12"/>
      <c r="O255" s="12"/>
      <c r="P255" s="12"/>
    </row>
    <row r="256" spans="1:17">
      <c r="A256" s="1"/>
      <c r="B256" s="99"/>
      <c r="C256" s="1"/>
      <c r="D256" s="5" t="str">
        <f>D4</f>
        <v>Utilizing EIA Form 412 Data</v>
      </c>
      <c r="E256" s="5"/>
      <c r="F256" s="5"/>
      <c r="G256" s="5"/>
      <c r="H256" s="11"/>
      <c r="I256" s="102"/>
      <c r="J256" s="91"/>
      <c r="K256" s="103"/>
      <c r="L256" s="12"/>
      <c r="N256" s="12"/>
      <c r="O256" s="12"/>
      <c r="P256" s="12"/>
    </row>
    <row r="257" spans="1:16">
      <c r="A257" s="1"/>
      <c r="B257" s="99"/>
      <c r="C257" s="1"/>
      <c r="D257" s="5" t="str">
        <f>D6</f>
        <v>Rochester Public Utilities</v>
      </c>
      <c r="E257" s="5"/>
      <c r="F257" s="5"/>
      <c r="G257" s="5"/>
      <c r="H257" s="11"/>
      <c r="I257" s="102"/>
      <c r="J257" s="91"/>
      <c r="K257" s="103"/>
      <c r="L257" s="12"/>
      <c r="N257" s="12"/>
      <c r="O257" s="12"/>
      <c r="P257" s="12"/>
    </row>
    <row r="258" spans="1:16">
      <c r="A258" s="1"/>
      <c r="B258" s="2" t="s">
        <v>127</v>
      </c>
      <c r="C258" s="1"/>
      <c r="D258" s="5"/>
      <c r="E258" s="5"/>
      <c r="F258" s="5"/>
      <c r="G258" s="5"/>
      <c r="H258" s="11"/>
      <c r="I258" s="5"/>
      <c r="J258" s="91"/>
      <c r="K258" s="103"/>
      <c r="L258" s="12"/>
      <c r="N258" s="1"/>
      <c r="O258" s="12"/>
      <c r="P258" s="4"/>
    </row>
    <row r="259" spans="1:16">
      <c r="A259" s="1"/>
      <c r="B259" s="107" t="s">
        <v>200</v>
      </c>
      <c r="C259" s="1"/>
      <c r="D259" s="5"/>
      <c r="E259" s="5"/>
      <c r="F259" s="5"/>
      <c r="G259" s="5"/>
      <c r="H259" s="11"/>
      <c r="I259" s="5"/>
      <c r="J259" s="11"/>
      <c r="K259" s="5"/>
      <c r="L259" s="12"/>
      <c r="N259" s="1"/>
      <c r="O259" s="12"/>
      <c r="P259" s="4"/>
    </row>
    <row r="260" spans="1:16">
      <c r="B260" s="107" t="s">
        <v>199</v>
      </c>
      <c r="C260" s="1"/>
      <c r="D260" s="5"/>
      <c r="E260" s="5"/>
      <c r="F260" s="5"/>
      <c r="G260" s="5"/>
      <c r="H260" s="11"/>
      <c r="I260" s="5"/>
      <c r="J260" s="11"/>
      <c r="K260" s="5"/>
      <c r="L260" s="12"/>
      <c r="N260" s="1"/>
      <c r="O260" s="12"/>
      <c r="P260" s="12"/>
    </row>
    <row r="261" spans="1:16">
      <c r="A261" s="1" t="s">
        <v>128</v>
      </c>
      <c r="B261" s="2" t="s">
        <v>198</v>
      </c>
      <c r="C261" s="11"/>
      <c r="D261" s="5"/>
      <c r="E261" s="5"/>
      <c r="F261" s="5"/>
      <c r="G261" s="25"/>
      <c r="H261" s="11"/>
      <c r="I261" s="5"/>
      <c r="J261" s="11"/>
      <c r="K261" s="5"/>
      <c r="L261" s="12"/>
      <c r="N261" s="1"/>
      <c r="O261" s="12"/>
      <c r="P261" s="12"/>
    </row>
    <row r="262" spans="1:16" ht="16.5" thickBot="1">
      <c r="A262" s="18" t="s">
        <v>129</v>
      </c>
      <c r="C262" s="11"/>
      <c r="D262" s="5"/>
      <c r="E262" s="5"/>
      <c r="F262" s="5"/>
      <c r="G262" s="5"/>
      <c r="H262" s="11"/>
      <c r="I262" s="5"/>
      <c r="J262" s="11"/>
      <c r="K262" s="5"/>
      <c r="L262" s="12"/>
      <c r="N262" s="1"/>
      <c r="O262" s="12"/>
      <c r="P262" s="12"/>
    </row>
    <row r="263" spans="1:16" ht="34.35" customHeight="1">
      <c r="A263" s="699" t="s">
        <v>130</v>
      </c>
      <c r="B263" s="941" t="s">
        <v>997</v>
      </c>
      <c r="C263" s="941"/>
      <c r="D263" s="941"/>
      <c r="E263" s="941"/>
      <c r="F263" s="941"/>
      <c r="G263" s="941"/>
      <c r="H263" s="941"/>
      <c r="I263" s="941"/>
      <c r="J263" s="941"/>
      <c r="K263" s="941"/>
      <c r="L263" s="12"/>
      <c r="N263" s="1"/>
      <c r="O263" s="12"/>
      <c r="P263" s="12"/>
    </row>
    <row r="264" spans="1:16" ht="63" customHeight="1">
      <c r="A264" s="699" t="s">
        <v>131</v>
      </c>
      <c r="B264" s="941" t="s">
        <v>255</v>
      </c>
      <c r="C264" s="941"/>
      <c r="D264" s="941"/>
      <c r="E264" s="941"/>
      <c r="F264" s="941"/>
      <c r="G264" s="941"/>
      <c r="H264" s="941"/>
      <c r="I264" s="941"/>
      <c r="J264" s="941"/>
      <c r="K264" s="941"/>
      <c r="L264" s="12"/>
      <c r="N264" s="1"/>
      <c r="O264" s="12"/>
      <c r="P264" s="12"/>
    </row>
    <row r="265" spans="1:16">
      <c r="A265" s="114" t="s">
        <v>132</v>
      </c>
      <c r="B265" s="941" t="s">
        <v>256</v>
      </c>
      <c r="C265" s="941"/>
      <c r="D265" s="941"/>
      <c r="E265" s="941"/>
      <c r="F265" s="941"/>
      <c r="G265" s="941"/>
      <c r="H265" s="941"/>
      <c r="I265" s="941"/>
      <c r="J265" s="941"/>
      <c r="K265" s="941"/>
      <c r="L265" s="12"/>
      <c r="N265" s="1"/>
      <c r="O265" s="12"/>
      <c r="P265" s="12"/>
    </row>
    <row r="266" spans="1:16">
      <c r="A266" s="114" t="s">
        <v>133</v>
      </c>
      <c r="B266" s="941" t="s">
        <v>256</v>
      </c>
      <c r="C266" s="941"/>
      <c r="D266" s="941"/>
      <c r="E266" s="941"/>
      <c r="F266" s="941"/>
      <c r="G266" s="941"/>
      <c r="H266" s="941"/>
      <c r="I266" s="941"/>
      <c r="J266" s="941"/>
      <c r="K266" s="941"/>
      <c r="L266" s="12"/>
      <c r="N266" s="1"/>
      <c r="O266" s="12"/>
      <c r="P266" s="12"/>
    </row>
    <row r="267" spans="1:16">
      <c r="A267" s="114" t="s">
        <v>134</v>
      </c>
      <c r="B267" s="941" t="s">
        <v>998</v>
      </c>
      <c r="C267" s="941"/>
      <c r="D267" s="941"/>
      <c r="E267" s="941"/>
      <c r="F267" s="941"/>
      <c r="G267" s="941"/>
      <c r="H267" s="941"/>
      <c r="I267" s="941"/>
      <c r="J267" s="941"/>
      <c r="K267" s="941"/>
      <c r="L267" s="12"/>
      <c r="N267" s="1"/>
      <c r="O267" s="12"/>
      <c r="P267" s="12"/>
    </row>
    <row r="268" spans="1:16" ht="48" customHeight="1">
      <c r="A268" s="114" t="s">
        <v>135</v>
      </c>
      <c r="B268" s="940" t="s">
        <v>233</v>
      </c>
      <c r="C268" s="940"/>
      <c r="D268" s="940"/>
      <c r="E268" s="940"/>
      <c r="F268" s="940"/>
      <c r="G268" s="940"/>
      <c r="H268" s="940"/>
      <c r="I268" s="940"/>
      <c r="J268" s="940"/>
      <c r="K268" s="940"/>
      <c r="L268" s="12"/>
      <c r="N268" s="1"/>
      <c r="O268" s="12"/>
      <c r="P268" s="12"/>
    </row>
    <row r="269" spans="1:16">
      <c r="A269" s="114" t="s">
        <v>136</v>
      </c>
      <c r="B269" s="940" t="s">
        <v>162</v>
      </c>
      <c r="C269" s="940"/>
      <c r="D269" s="940"/>
      <c r="E269" s="940"/>
      <c r="F269" s="940"/>
      <c r="G269" s="940"/>
      <c r="H269" s="940"/>
      <c r="I269" s="940"/>
      <c r="J269" s="940"/>
      <c r="K269" s="940"/>
      <c r="L269" s="12"/>
      <c r="N269" s="1"/>
      <c r="O269" s="12"/>
      <c r="P269" s="12"/>
    </row>
    <row r="270" spans="1:16" ht="32.25" customHeight="1">
      <c r="A270" s="114" t="s">
        <v>137</v>
      </c>
      <c r="B270" s="940" t="s">
        <v>234</v>
      </c>
      <c r="C270" s="940"/>
      <c r="D270" s="940"/>
      <c r="E270" s="940"/>
      <c r="F270" s="940"/>
      <c r="G270" s="940"/>
      <c r="H270" s="940"/>
      <c r="I270" s="940"/>
      <c r="J270" s="940"/>
      <c r="K270" s="940"/>
      <c r="L270" s="12"/>
      <c r="N270" s="1"/>
      <c r="O270" s="12"/>
      <c r="P270" s="12"/>
    </row>
    <row r="271" spans="1:16" ht="32.25" customHeight="1">
      <c r="A271" s="114" t="s">
        <v>138</v>
      </c>
      <c r="B271" s="941" t="s">
        <v>235</v>
      </c>
      <c r="C271" s="941"/>
      <c r="D271" s="941"/>
      <c r="E271" s="941"/>
      <c r="F271" s="941"/>
      <c r="G271" s="941"/>
      <c r="H271" s="941"/>
      <c r="I271" s="941"/>
      <c r="J271" s="941"/>
      <c r="K271" s="941"/>
      <c r="L271" s="12"/>
      <c r="N271" s="1"/>
      <c r="O271" s="12"/>
      <c r="P271" s="12"/>
    </row>
    <row r="272" spans="1:16" ht="32.25" customHeight="1">
      <c r="A272" s="114" t="s">
        <v>139</v>
      </c>
      <c r="B272" s="940" t="s">
        <v>236</v>
      </c>
      <c r="C272" s="940"/>
      <c r="D272" s="940"/>
      <c r="E272" s="940"/>
      <c r="F272" s="940"/>
      <c r="G272" s="940"/>
      <c r="H272" s="940"/>
      <c r="I272" s="940"/>
      <c r="J272" s="940"/>
      <c r="K272" s="940"/>
      <c r="L272" s="12"/>
      <c r="N272" s="1"/>
      <c r="O272" s="33"/>
      <c r="P272" s="12"/>
    </row>
    <row r="273" spans="1:16" ht="63.95" customHeight="1">
      <c r="A273" s="114" t="s">
        <v>140</v>
      </c>
      <c r="B273" s="940" t="s">
        <v>237</v>
      </c>
      <c r="C273" s="940"/>
      <c r="D273" s="940"/>
      <c r="E273" s="940"/>
      <c r="F273" s="940"/>
      <c r="G273" s="940"/>
      <c r="H273" s="940"/>
      <c r="I273" s="940"/>
      <c r="J273" s="940"/>
      <c r="K273" s="940"/>
      <c r="L273" s="12"/>
      <c r="N273" s="1"/>
      <c r="O273" s="12"/>
      <c r="P273" s="12"/>
    </row>
    <row r="274" spans="1:16">
      <c r="A274" s="114" t="s">
        <v>2</v>
      </c>
      <c r="B274" s="122" t="s">
        <v>232</v>
      </c>
      <c r="C274" s="117" t="s">
        <v>141</v>
      </c>
      <c r="D274" s="118">
        <v>0</v>
      </c>
      <c r="E274" s="117"/>
      <c r="F274" s="116"/>
      <c r="G274" s="116"/>
      <c r="H274" s="115"/>
      <c r="I274" s="116"/>
      <c r="J274" s="115"/>
      <c r="K274" s="116"/>
      <c r="L274" s="12"/>
      <c r="N274" s="1"/>
      <c r="O274" s="12"/>
      <c r="P274" s="12"/>
    </row>
    <row r="275" spans="1:16">
      <c r="A275" s="114"/>
      <c r="B275" s="117"/>
      <c r="C275" s="117" t="s">
        <v>142</v>
      </c>
      <c r="D275" s="118">
        <v>0</v>
      </c>
      <c r="E275" s="940" t="s">
        <v>143</v>
      </c>
      <c r="F275" s="940"/>
      <c r="G275" s="940"/>
      <c r="H275" s="940"/>
      <c r="I275" s="940"/>
      <c r="J275" s="940"/>
      <c r="K275" s="940"/>
      <c r="L275" s="104" t="s">
        <v>173</v>
      </c>
      <c r="N275" s="1"/>
      <c r="O275" s="12"/>
      <c r="P275" s="12"/>
    </row>
    <row r="276" spans="1:16">
      <c r="A276" s="114"/>
      <c r="B276" s="117"/>
      <c r="C276" s="117" t="s">
        <v>144</v>
      </c>
      <c r="D276" s="118">
        <v>0</v>
      </c>
      <c r="E276" s="940" t="s">
        <v>145</v>
      </c>
      <c r="F276" s="940"/>
      <c r="G276" s="940"/>
      <c r="H276" s="940"/>
      <c r="I276" s="940"/>
      <c r="J276" s="940"/>
      <c r="K276" s="940"/>
      <c r="L276" s="12"/>
      <c r="N276" s="1"/>
      <c r="O276" s="12"/>
      <c r="P276" s="12"/>
    </row>
    <row r="277" spans="1:16">
      <c r="A277" s="114" t="s">
        <v>146</v>
      </c>
      <c r="B277" s="940" t="s">
        <v>190</v>
      </c>
      <c r="C277" s="940"/>
      <c r="D277" s="940"/>
      <c r="E277" s="940"/>
      <c r="F277" s="940"/>
      <c r="G277" s="940"/>
      <c r="H277" s="940"/>
      <c r="I277" s="940"/>
      <c r="J277" s="940"/>
      <c r="K277" s="940"/>
      <c r="L277" s="12"/>
      <c r="N277" s="1"/>
      <c r="O277" s="12"/>
      <c r="P277" s="12"/>
    </row>
    <row r="278" spans="1:16" ht="32.25" customHeight="1">
      <c r="A278" s="114" t="s">
        <v>147</v>
      </c>
      <c r="B278" s="940" t="s">
        <v>1020</v>
      </c>
      <c r="C278" s="940"/>
      <c r="D278" s="940"/>
      <c r="E278" s="940"/>
      <c r="F278" s="940"/>
      <c r="G278" s="940"/>
      <c r="H278" s="940"/>
      <c r="I278" s="940"/>
      <c r="J278" s="940"/>
      <c r="K278" s="940"/>
      <c r="N278" s="1"/>
      <c r="O278" s="12"/>
      <c r="P278" s="12"/>
    </row>
    <row r="279" spans="1:16" ht="34.35" customHeight="1">
      <c r="A279" s="114" t="s">
        <v>148</v>
      </c>
      <c r="B279" s="940" t="s">
        <v>252</v>
      </c>
      <c r="C279" s="940"/>
      <c r="D279" s="940"/>
      <c r="E279" s="940"/>
      <c r="F279" s="940"/>
      <c r="G279" s="940"/>
      <c r="H279" s="940"/>
      <c r="I279" s="940"/>
      <c r="J279" s="940"/>
      <c r="K279" s="940"/>
      <c r="L279" s="12"/>
      <c r="N279" s="1"/>
      <c r="O279" s="12"/>
      <c r="P279" s="12"/>
    </row>
    <row r="280" spans="1:16">
      <c r="A280" s="114" t="s">
        <v>149</v>
      </c>
      <c r="B280" s="940" t="s">
        <v>163</v>
      </c>
      <c r="C280" s="940"/>
      <c r="D280" s="940"/>
      <c r="E280" s="940"/>
      <c r="F280" s="940"/>
      <c r="G280" s="940"/>
      <c r="H280" s="940"/>
      <c r="I280" s="940"/>
      <c r="J280" s="940"/>
      <c r="K280" s="940"/>
      <c r="L280" s="12"/>
      <c r="N280" s="1"/>
      <c r="O280" s="33"/>
      <c r="P280" s="12"/>
    </row>
    <row r="281" spans="1:16" s="502" customFormat="1" ht="36.75" customHeight="1">
      <c r="A281" s="114" t="s">
        <v>150</v>
      </c>
      <c r="B281" s="940" t="s">
        <v>1008</v>
      </c>
      <c r="C281" s="940"/>
      <c r="D281" s="940"/>
      <c r="E281" s="940"/>
      <c r="F281" s="940"/>
      <c r="G281" s="940"/>
      <c r="H281" s="940"/>
      <c r="I281" s="940"/>
      <c r="J281" s="940"/>
      <c r="K281" s="940"/>
      <c r="L281" s="501"/>
      <c r="N281" s="503"/>
      <c r="O281" s="504"/>
      <c r="P281" s="501"/>
    </row>
    <row r="282" spans="1:16" ht="32.25" customHeight="1">
      <c r="A282" s="114" t="s">
        <v>151</v>
      </c>
      <c r="B282" s="940" t="s">
        <v>238</v>
      </c>
      <c r="C282" s="940"/>
      <c r="D282" s="940"/>
      <c r="E282" s="940"/>
      <c r="F282" s="940"/>
      <c r="G282" s="940"/>
      <c r="H282" s="940"/>
      <c r="I282" s="940"/>
      <c r="J282" s="940"/>
      <c r="K282" s="940"/>
      <c r="L282" s="12"/>
      <c r="N282" s="1"/>
      <c r="O282" s="12"/>
      <c r="P282" s="12"/>
    </row>
    <row r="283" spans="1:16">
      <c r="A283" s="114" t="s">
        <v>152</v>
      </c>
      <c r="B283" s="940" t="s">
        <v>153</v>
      </c>
      <c r="C283" s="940"/>
      <c r="D283" s="940"/>
      <c r="E283" s="940"/>
      <c r="F283" s="940"/>
      <c r="G283" s="940"/>
      <c r="H283" s="940"/>
      <c r="I283" s="940"/>
      <c r="J283" s="940"/>
      <c r="K283" s="940"/>
      <c r="L283" s="12"/>
      <c r="N283" s="1"/>
      <c r="O283" s="12"/>
      <c r="P283" s="12"/>
    </row>
    <row r="284" spans="1:16" ht="48" customHeight="1">
      <c r="A284" s="114" t="s">
        <v>164</v>
      </c>
      <c r="B284" s="940" t="s">
        <v>239</v>
      </c>
      <c r="C284" s="940"/>
      <c r="D284" s="940"/>
      <c r="E284" s="940"/>
      <c r="F284" s="940"/>
      <c r="G284" s="940"/>
      <c r="H284" s="940"/>
      <c r="I284" s="940"/>
      <c r="J284" s="940"/>
      <c r="K284" s="940"/>
      <c r="L284" s="12"/>
      <c r="N284" s="1"/>
      <c r="O284" s="12"/>
      <c r="P284" s="12"/>
    </row>
    <row r="285" spans="1:16" ht="49.5" customHeight="1">
      <c r="A285" s="119" t="s">
        <v>165</v>
      </c>
      <c r="B285" s="942" t="s">
        <v>251</v>
      </c>
      <c r="C285" s="942"/>
      <c r="D285" s="942"/>
      <c r="E285" s="942"/>
      <c r="F285" s="942"/>
      <c r="G285" s="942"/>
      <c r="H285" s="942"/>
      <c r="I285" s="942"/>
      <c r="J285" s="942"/>
      <c r="K285" s="942"/>
      <c r="L285" s="12"/>
      <c r="N285" s="1"/>
      <c r="O285" s="12"/>
      <c r="P285" s="12"/>
    </row>
    <row r="286" spans="1:16">
      <c r="A286" s="119" t="s">
        <v>183</v>
      </c>
      <c r="B286" s="942" t="s">
        <v>274</v>
      </c>
      <c r="C286" s="942"/>
      <c r="D286" s="942"/>
      <c r="E286" s="942"/>
      <c r="F286" s="942"/>
      <c r="G286" s="942"/>
      <c r="H286" s="942"/>
      <c r="I286" s="942"/>
      <c r="J286" s="942"/>
      <c r="K286" s="942"/>
      <c r="L286" s="12"/>
      <c r="N286" s="1"/>
      <c r="O286" s="12"/>
      <c r="P286" s="12"/>
    </row>
    <row r="287" spans="1:16">
      <c r="A287" s="120" t="s">
        <v>187</v>
      </c>
      <c r="B287" s="942" t="s">
        <v>275</v>
      </c>
      <c r="C287" s="942"/>
      <c r="D287" s="942"/>
      <c r="E287" s="942"/>
      <c r="F287" s="942"/>
      <c r="G287" s="942"/>
      <c r="H287" s="942"/>
      <c r="I287" s="942"/>
      <c r="J287" s="942"/>
      <c r="K287" s="942"/>
      <c r="L287" s="12"/>
      <c r="N287" s="46"/>
      <c r="O287" s="12"/>
      <c r="P287" s="12"/>
    </row>
    <row r="288" spans="1:16">
      <c r="A288" s="120" t="s">
        <v>191</v>
      </c>
      <c r="B288" s="942" t="s">
        <v>762</v>
      </c>
      <c r="C288" s="942"/>
      <c r="D288" s="942"/>
      <c r="E288" s="942"/>
      <c r="F288" s="942"/>
      <c r="G288" s="942"/>
      <c r="H288" s="942"/>
      <c r="I288" s="942"/>
      <c r="J288" s="942"/>
      <c r="K288" s="942"/>
      <c r="L288" s="12"/>
      <c r="N288" s="46"/>
      <c r="O288" s="12"/>
      <c r="P288" s="12"/>
    </row>
    <row r="289" spans="1:16" s="52" customFormat="1" ht="32.25" customHeight="1">
      <c r="A289" s="119" t="s">
        <v>192</v>
      </c>
      <c r="B289" s="942" t="s">
        <v>763</v>
      </c>
      <c r="C289" s="942"/>
      <c r="D289" s="942"/>
      <c r="E289" s="942"/>
      <c r="F289" s="942"/>
      <c r="G289" s="942"/>
      <c r="H289" s="942"/>
      <c r="I289" s="942"/>
      <c r="J289" s="942"/>
      <c r="K289" s="942"/>
      <c r="L289" s="123"/>
      <c r="N289" s="50"/>
      <c r="O289" s="123"/>
      <c r="P289" s="123"/>
    </row>
    <row r="290" spans="1:16" s="60" customFormat="1">
      <c r="A290" s="120" t="s">
        <v>261</v>
      </c>
      <c r="B290" s="942" t="s">
        <v>764</v>
      </c>
      <c r="C290" s="942"/>
      <c r="D290" s="942"/>
      <c r="E290" s="942"/>
      <c r="F290" s="942"/>
      <c r="G290" s="942"/>
      <c r="H290" s="942"/>
      <c r="I290" s="942"/>
      <c r="J290" s="942"/>
      <c r="K290" s="942"/>
      <c r="L290" s="62"/>
      <c r="N290" s="59"/>
      <c r="O290" s="62"/>
      <c r="P290" s="62"/>
    </row>
    <row r="291" spans="1:16" s="60" customFormat="1" ht="33" customHeight="1">
      <c r="A291" s="119" t="s">
        <v>262</v>
      </c>
      <c r="B291" s="942" t="s">
        <v>765</v>
      </c>
      <c r="C291" s="942"/>
      <c r="D291" s="942"/>
      <c r="E291" s="942"/>
      <c r="F291" s="942"/>
      <c r="G291" s="942"/>
      <c r="H291" s="942"/>
      <c r="I291" s="942"/>
      <c r="J291" s="942"/>
      <c r="K291" s="942"/>
      <c r="L291" s="62"/>
      <c r="N291" s="59"/>
      <c r="O291" s="62"/>
      <c r="P291" s="62"/>
    </row>
    <row r="292" spans="1:16" s="60" customFormat="1" ht="15" customHeight="1">
      <c r="A292" s="119" t="s">
        <v>263</v>
      </c>
      <c r="B292" s="134" t="s">
        <v>264</v>
      </c>
      <c r="C292" s="121"/>
      <c r="D292" s="121"/>
      <c r="E292" s="121"/>
      <c r="F292" s="121"/>
      <c r="G292" s="121"/>
      <c r="H292" s="121"/>
      <c r="I292" s="121"/>
      <c r="J292" s="121"/>
      <c r="K292" s="121"/>
      <c r="L292" s="62"/>
      <c r="N292" s="59"/>
      <c r="O292" s="62"/>
      <c r="P292" s="62"/>
    </row>
    <row r="293" spans="1:16" s="60" customFormat="1" ht="15" customHeight="1">
      <c r="A293" s="119" t="s">
        <v>265</v>
      </c>
      <c r="B293" s="135" t="s">
        <v>266</v>
      </c>
      <c r="C293" s="121"/>
      <c r="D293" s="121"/>
      <c r="E293" s="121"/>
      <c r="F293" s="121"/>
      <c r="G293" s="121"/>
      <c r="H293" s="121"/>
      <c r="I293" s="121"/>
      <c r="J293" s="121"/>
      <c r="K293" s="121"/>
      <c r="L293" s="62"/>
      <c r="N293" s="59"/>
      <c r="O293" s="62"/>
      <c r="P293" s="62"/>
    </row>
    <row r="294" spans="1:16" s="60" customFormat="1" ht="15" customHeight="1">
      <c r="A294" s="120" t="s">
        <v>686</v>
      </c>
      <c r="B294" s="135" t="s">
        <v>999</v>
      </c>
      <c r="C294" s="522"/>
      <c r="D294" s="522"/>
      <c r="E294" s="522"/>
      <c r="F294" s="522"/>
      <c r="G294" s="522"/>
      <c r="H294" s="522"/>
      <c r="I294" s="522"/>
      <c r="J294" s="121"/>
      <c r="K294" s="121"/>
      <c r="L294" s="62"/>
      <c r="N294" s="59"/>
      <c r="O294" s="62"/>
      <c r="P294" s="62"/>
    </row>
    <row r="295" spans="1:16" customFormat="1" ht="15"/>
    <row r="296" spans="1:16">
      <c r="A296" s="1"/>
      <c r="B296" s="11"/>
      <c r="C296" s="11"/>
      <c r="D296" s="11"/>
      <c r="E296" s="11"/>
      <c r="F296" s="11"/>
      <c r="G296" s="11"/>
      <c r="H296" s="11"/>
      <c r="I296" s="11"/>
      <c r="J296" s="11"/>
      <c r="K296" s="11"/>
      <c r="N296" s="1"/>
      <c r="O296" s="12"/>
      <c r="P296" s="12"/>
    </row>
    <row r="297" spans="1:16">
      <c r="A297" s="1"/>
      <c r="B297" s="11"/>
      <c r="C297" s="11"/>
      <c r="D297" s="11"/>
      <c r="E297" s="11"/>
      <c r="F297" s="11"/>
      <c r="G297" s="11"/>
      <c r="H297" s="11"/>
      <c r="I297" s="11"/>
      <c r="J297" s="11"/>
      <c r="K297" s="11"/>
      <c r="N297" s="1"/>
      <c r="O297" s="12"/>
      <c r="P297" s="12"/>
    </row>
    <row r="298" spans="1:16">
      <c r="A298"/>
      <c r="C298" s="493"/>
      <c r="D298" s="493"/>
      <c r="E298" s="11"/>
      <c r="F298" s="11"/>
      <c r="G298" s="11"/>
      <c r="H298" s="11"/>
      <c r="I298" s="11"/>
      <c r="J298" s="11"/>
      <c r="K298" s="11"/>
      <c r="N298" s="1"/>
      <c r="O298" s="12"/>
      <c r="P298" s="12"/>
    </row>
    <row r="299" spans="1:16">
      <c r="A299"/>
      <c r="C299" s="52"/>
      <c r="D299" s="52"/>
      <c r="E299" s="11"/>
      <c r="F299" s="11"/>
      <c r="G299" s="11"/>
      <c r="H299" s="11"/>
      <c r="I299" s="11"/>
      <c r="J299" s="11"/>
      <c r="K299" s="11"/>
      <c r="N299" s="1"/>
      <c r="O299" s="12"/>
      <c r="P299" s="12"/>
    </row>
    <row r="300" spans="1:16">
      <c r="A300"/>
      <c r="E300" s="11"/>
      <c r="F300" s="11"/>
      <c r="G300" s="11"/>
      <c r="H300" s="11"/>
      <c r="I300" s="11"/>
      <c r="J300" s="11"/>
      <c r="K300" s="11"/>
      <c r="N300" s="1"/>
      <c r="O300" s="12"/>
      <c r="P300" s="12"/>
    </row>
    <row r="301" spans="1:16">
      <c r="A301"/>
      <c r="C301" s="52"/>
      <c r="D301" s="52"/>
      <c r="E301" s="11"/>
      <c r="F301" s="11"/>
      <c r="G301" s="11"/>
      <c r="H301" s="11"/>
      <c r="I301" s="11"/>
      <c r="J301" s="11"/>
      <c r="K301" s="11"/>
      <c r="N301" s="1"/>
      <c r="O301" s="12"/>
      <c r="P301" s="12"/>
    </row>
    <row r="302" spans="1:16">
      <c r="A302" s="1"/>
      <c r="B302" s="11"/>
      <c r="C302" s="11"/>
      <c r="D302" s="11"/>
      <c r="E302" s="11"/>
      <c r="F302" s="11"/>
      <c r="G302" s="11"/>
      <c r="H302" s="11"/>
      <c r="I302" s="11"/>
      <c r="J302" s="11"/>
      <c r="K302" s="11"/>
      <c r="N302" s="1"/>
      <c r="O302" s="12"/>
      <c r="P302" s="12"/>
    </row>
    <row r="303" spans="1:16">
      <c r="A303" s="1"/>
      <c r="B303" s="11"/>
      <c r="C303" s="11"/>
      <c r="D303" s="11"/>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B307" s="12"/>
      <c r="C307" s="12"/>
      <c r="D307" s="12"/>
      <c r="E307" s="12"/>
      <c r="F307" s="12"/>
      <c r="G307" s="12"/>
      <c r="H307" s="12"/>
      <c r="I307" s="12"/>
      <c r="J307" s="11"/>
      <c r="K307" s="11"/>
      <c r="N307" s="1"/>
      <c r="O307" s="12"/>
      <c r="P307" s="12"/>
    </row>
    <row r="308" spans="1:16">
      <c r="B308" s="523" t="s">
        <v>848</v>
      </c>
      <c r="C308" s="123"/>
      <c r="D308" s="123"/>
      <c r="E308" s="123"/>
      <c r="F308" s="123"/>
      <c r="G308" s="123"/>
      <c r="H308" s="123"/>
      <c r="I308" s="123"/>
      <c r="J308" s="123"/>
      <c r="K308" s="123"/>
      <c r="N308" s="1"/>
      <c r="O308" s="12"/>
      <c r="P308" s="12"/>
    </row>
    <row r="309" spans="1:16" ht="16.5" thickBot="1">
      <c r="B309" s="123"/>
      <c r="C309" s="123"/>
      <c r="D309" s="123"/>
      <c r="E309" s="123"/>
      <c r="F309" s="123"/>
      <c r="G309" s="123"/>
      <c r="H309" s="123"/>
      <c r="I309" s="123"/>
      <c r="J309" s="123"/>
      <c r="K309" s="123"/>
      <c r="N309" s="1"/>
      <c r="O309" s="12"/>
      <c r="P309" s="12"/>
    </row>
    <row r="310" spans="1:16">
      <c r="B310" s="844" t="s">
        <v>886</v>
      </c>
      <c r="C310" s="845"/>
      <c r="D310" s="845"/>
      <c r="E310" s="846"/>
      <c r="F310" s="847"/>
      <c r="G310" s="855"/>
      <c r="H310" s="525"/>
      <c r="I310" s="525"/>
      <c r="J310" s="525"/>
      <c r="K310" s="123"/>
      <c r="N310" s="12"/>
      <c r="O310" s="12"/>
      <c r="P310" s="12"/>
    </row>
    <row r="311" spans="1:16">
      <c r="B311" s="848" t="s">
        <v>849</v>
      </c>
      <c r="C311" s="524"/>
      <c r="D311" s="524"/>
      <c r="E311" s="525"/>
      <c r="F311" s="849"/>
      <c r="G311" s="525"/>
      <c r="H311" s="525"/>
      <c r="I311" s="525"/>
      <c r="J311" s="525"/>
      <c r="K311" s="123"/>
      <c r="N311" s="12"/>
      <c r="O311" s="12"/>
      <c r="P311" s="12"/>
    </row>
    <row r="312" spans="1:16">
      <c r="B312" s="850" t="s">
        <v>892</v>
      </c>
      <c r="C312" s="524"/>
      <c r="D312" s="524"/>
      <c r="E312" s="525"/>
      <c r="F312" s="849"/>
      <c r="G312" s="525"/>
      <c r="H312" s="525"/>
      <c r="I312" s="525"/>
      <c r="J312" s="525"/>
      <c r="K312" s="123"/>
      <c r="N312" s="12"/>
      <c r="O312" s="12"/>
      <c r="P312" s="12"/>
    </row>
    <row r="313" spans="1:16">
      <c r="B313" s="850" t="s">
        <v>860</v>
      </c>
      <c r="C313" s="524"/>
      <c r="D313" s="524"/>
      <c r="E313" s="525"/>
      <c r="F313" s="849"/>
      <c r="G313" s="525"/>
      <c r="H313" s="525"/>
      <c r="I313" s="525"/>
      <c r="J313" s="525"/>
      <c r="K313" s="123"/>
      <c r="N313" s="12"/>
      <c r="O313" s="12"/>
      <c r="P313" s="12"/>
    </row>
    <row r="314" spans="1:16">
      <c r="B314" s="850"/>
      <c r="C314" s="524"/>
      <c r="D314" s="524"/>
      <c r="E314" s="525"/>
      <c r="F314" s="849"/>
      <c r="G314" s="525"/>
      <c r="H314" s="525"/>
      <c r="I314" s="525"/>
      <c r="J314" s="525"/>
      <c r="K314" s="123"/>
      <c r="N314" s="12"/>
      <c r="O314" s="12"/>
      <c r="P314" s="12"/>
    </row>
    <row r="315" spans="1:16">
      <c r="B315" s="850" t="s">
        <v>838</v>
      </c>
      <c r="C315" s="524"/>
      <c r="D315" s="524"/>
      <c r="E315" s="525"/>
      <c r="F315" s="849"/>
      <c r="G315" s="525"/>
      <c r="H315" s="525"/>
      <c r="I315" s="525"/>
      <c r="J315" s="525"/>
      <c r="K315" s="123"/>
      <c r="N315" s="12"/>
      <c r="O315" s="12"/>
      <c r="P315" s="12"/>
    </row>
    <row r="316" spans="1:16">
      <c r="B316" s="850" t="s">
        <v>861</v>
      </c>
      <c r="C316" s="524"/>
      <c r="D316" s="524"/>
      <c r="E316" s="525"/>
      <c r="F316" s="849"/>
      <c r="G316" s="525"/>
      <c r="H316" s="525"/>
      <c r="I316" s="525"/>
      <c r="J316" s="525"/>
      <c r="K316" s="123"/>
      <c r="N316" s="12"/>
      <c r="O316" s="12"/>
      <c r="P316" s="12"/>
    </row>
    <row r="317" spans="1:16">
      <c r="B317" s="851">
        <f>IF(OR(MOD(E318,400)=0,AND(MOD(E318,4)=0,MOD(E318,100)&lt;&gt;0)),DATEVALUE(RIGHT('Att O_RPU'!K3,8))-366, DATEVALUE(RIGHT('Att O_RPU'!K3,8))-365)</f>
        <v>42004</v>
      </c>
      <c r="C317" s="524" t="str">
        <f>TEXT(B317,"mm/dd/yyyy")</f>
        <v>12/31/2014</v>
      </c>
      <c r="D317" s="524"/>
      <c r="E317" s="526">
        <f>E318-1</f>
        <v>2014</v>
      </c>
      <c r="F317" s="849"/>
      <c r="G317" s="525"/>
      <c r="H317" s="525"/>
      <c r="I317" s="525"/>
      <c r="J317" s="525"/>
      <c r="K317" s="52"/>
      <c r="N317" s="12"/>
      <c r="O317" s="12"/>
      <c r="P317" s="12"/>
    </row>
    <row r="318" spans="1:16">
      <c r="B318" s="851">
        <f>DATEVALUE(RIGHT('Att O_RPU'!K3,8))</f>
        <v>42369</v>
      </c>
      <c r="C318" s="524" t="str">
        <f>TEXT(B318,"mm/dd/yyyy")</f>
        <v>12/31/2015</v>
      </c>
      <c r="D318" s="524"/>
      <c r="E318" s="526">
        <f>RIGHT('Att O_RPU'!K3,2)+2000</f>
        <v>2015</v>
      </c>
      <c r="F318" s="849"/>
      <c r="G318" s="525"/>
      <c r="H318" s="525"/>
      <c r="I318" s="525"/>
      <c r="J318" s="525"/>
      <c r="K318" s="52"/>
      <c r="N318" s="12"/>
      <c r="O318" s="12"/>
      <c r="P318" s="12"/>
    </row>
    <row r="319" spans="1:16">
      <c r="B319" s="851">
        <f>IF(OR(MOD(E319,400)=0,AND(MOD(E319,4)=0,MOD(E319,100)&lt;&gt;0)),DATEVALUE(RIGHT('Att O_RPU'!K3,8))+366, DATEVALUE(RIGHT('Att O_RPU'!K3,8))+365)</f>
        <v>42735</v>
      </c>
      <c r="C319" s="524" t="str">
        <f>TEXT(B319,"mm/dd/yyyy")</f>
        <v>12/31/2016</v>
      </c>
      <c r="D319" s="524"/>
      <c r="E319" s="526">
        <f>E318+1</f>
        <v>2016</v>
      </c>
      <c r="F319" s="849"/>
      <c r="G319" s="525"/>
      <c r="H319" s="525"/>
      <c r="I319" s="525"/>
      <c r="J319" s="525"/>
      <c r="K319" s="52"/>
    </row>
    <row r="320" spans="1:16" ht="16.5" thickBot="1">
      <c r="B320" s="852"/>
      <c r="C320" s="853"/>
      <c r="D320" s="853"/>
      <c r="E320" s="853"/>
      <c r="F320" s="854"/>
      <c r="G320" s="525"/>
      <c r="H320" s="525"/>
      <c r="I320" s="525"/>
      <c r="J320" s="525"/>
      <c r="K320" s="52"/>
    </row>
    <row r="321" spans="2:11">
      <c r="B321" s="856"/>
      <c r="C321" s="524"/>
      <c r="D321" s="524"/>
      <c r="E321" s="497"/>
      <c r="F321" s="525"/>
      <c r="G321" s="525"/>
      <c r="H321" s="525"/>
      <c r="I321" s="525"/>
      <c r="J321" s="525"/>
      <c r="K321" s="52"/>
    </row>
    <row r="322" spans="2:11">
      <c r="B322" s="524"/>
      <c r="C322" s="524"/>
      <c r="D322" s="524"/>
      <c r="E322" s="525"/>
      <c r="F322" s="525"/>
      <c r="G322" s="525"/>
      <c r="H322" s="525"/>
      <c r="I322" s="525"/>
      <c r="J322" s="525"/>
      <c r="K322" s="52"/>
    </row>
    <row r="323" spans="2:11">
      <c r="B323" s="524"/>
      <c r="C323" s="524"/>
      <c r="D323" s="524"/>
      <c r="E323" s="525"/>
      <c r="F323" s="525"/>
      <c r="G323" s="525"/>
      <c r="H323" s="525"/>
      <c r="I323" s="525"/>
      <c r="J323" s="525"/>
      <c r="K323" s="52"/>
    </row>
    <row r="324" spans="2:11">
      <c r="B324" s="52"/>
      <c r="C324" s="52"/>
      <c r="D324" s="52"/>
      <c r="E324" s="52"/>
      <c r="F324" s="52"/>
      <c r="G324" s="52"/>
      <c r="H324" s="52"/>
      <c r="I324" s="52"/>
      <c r="J324" s="52"/>
      <c r="K324" s="52"/>
    </row>
  </sheetData>
  <mergeCells count="32">
    <mergeCell ref="M44:O44"/>
    <mergeCell ref="B272:K272"/>
    <mergeCell ref="B271:K271"/>
    <mergeCell ref="B270:K270"/>
    <mergeCell ref="B269:K269"/>
    <mergeCell ref="L205:Q205"/>
    <mergeCell ref="B265:K265"/>
    <mergeCell ref="C255:D255"/>
    <mergeCell ref="B264:K264"/>
    <mergeCell ref="B263:K263"/>
    <mergeCell ref="B291:K291"/>
    <mergeCell ref="B285:K285"/>
    <mergeCell ref="B284:K284"/>
    <mergeCell ref="B283:K283"/>
    <mergeCell ref="B289:K289"/>
    <mergeCell ref="B287:K287"/>
    <mergeCell ref="B286:K286"/>
    <mergeCell ref="B290:K290"/>
    <mergeCell ref="B288:K288"/>
    <mergeCell ref="C31:D31"/>
    <mergeCell ref="E276:K276"/>
    <mergeCell ref="E275:K275"/>
    <mergeCell ref="B282:K282"/>
    <mergeCell ref="B281:K281"/>
    <mergeCell ref="B280:K280"/>
    <mergeCell ref="B279:K279"/>
    <mergeCell ref="B278:K278"/>
    <mergeCell ref="B277:K277"/>
    <mergeCell ref="B268:K268"/>
    <mergeCell ref="B267:K267"/>
    <mergeCell ref="B266:K266"/>
    <mergeCell ref="B273:K273"/>
  </mergeCells>
  <phoneticPr fontId="0" type="noConversion"/>
  <pageMargins left="0.5" right="0.25" top="0.5" bottom="0.75" header="0.09" footer="0.5"/>
  <pageSetup scale="62" fitToHeight="5" orientation="portrait" r:id="rId1"/>
  <headerFooter alignWithMargins="0">
    <oddHeader>&amp;L&amp;"Arial MT,Bold"Rochester Public Utilities
2015 Attachment O-RPU&amp;R&amp;"Arial MT,Bold"Exhibit RPU-9
&amp;P of &amp;N</oddHeader>
    <oddFooter>&amp;L&amp;8&amp;Z&amp;F&amp;A&amp;R&amp;8&amp;D</oddFooter>
  </headerFooter>
  <rowBreaks count="4" manualBreakCount="4">
    <brk id="54" max="10" man="1"/>
    <brk id="120" max="10" man="1"/>
    <brk id="187" max="10" man="1"/>
    <brk id="253" max="10" man="1"/>
  </rowBreaks>
  <ignoredErrors>
    <ignoredError sqref="I247 I249"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topLeftCell="A7" zoomScale="90" zoomScaleNormal="90" zoomScaleSheetLayoutView="80" workbookViewId="0">
      <selection activeCell="D24" sqref="D24"/>
    </sheetView>
  </sheetViews>
  <sheetFormatPr defaultColWidth="8.88671875" defaultRowHeight="15"/>
  <cols>
    <col min="1" max="1" width="54.88671875" style="319" customWidth="1"/>
    <col min="2" max="2" width="10.33203125" style="319" customWidth="1"/>
    <col min="3" max="3" width="14.5546875" style="319" bestFit="1" customWidth="1"/>
    <col min="4" max="16384" width="8.88671875" style="319"/>
  </cols>
  <sheetData>
    <row r="1" spans="1:4" ht="18.75">
      <c r="A1" s="992" t="str">
        <f>Coversheet!B3</f>
        <v>Rochester Public Utilities</v>
      </c>
      <c r="B1" s="992"/>
      <c r="C1" s="992"/>
      <c r="D1" s="346"/>
    </row>
    <row r="2" spans="1:4" ht="18.75">
      <c r="A2" s="992" t="s">
        <v>936</v>
      </c>
      <c r="B2" s="992"/>
      <c r="C2" s="992"/>
      <c r="D2" s="346"/>
    </row>
    <row r="3" spans="1:4" ht="18.75">
      <c r="A3" s="992" t="str">
        <f>'Transmission O&amp;M'!A3</f>
        <v>True-up Actual for 12 Months Ended December 31, 2015</v>
      </c>
      <c r="B3" s="992"/>
      <c r="C3" s="992"/>
      <c r="D3" s="346"/>
    </row>
    <row r="4" spans="1:4" ht="18.75">
      <c r="A4" s="317"/>
    </row>
    <row r="5" spans="1:4" ht="18.75">
      <c r="A5" s="317"/>
    </row>
    <row r="6" spans="1:4" ht="15.75">
      <c r="A6" s="332" t="s">
        <v>935</v>
      </c>
      <c r="C6" s="622" t="s">
        <v>7</v>
      </c>
    </row>
    <row r="7" spans="1:4" ht="15.75">
      <c r="A7" s="332"/>
      <c r="C7" s="594"/>
      <c r="D7" s="333"/>
    </row>
    <row r="8" spans="1:4" ht="15.75">
      <c r="A8" s="341" t="s">
        <v>564</v>
      </c>
      <c r="B8" s="335"/>
      <c r="C8" s="623"/>
    </row>
    <row r="9" spans="1:4" ht="15.75">
      <c r="A9" s="336" t="s">
        <v>565</v>
      </c>
      <c r="B9" s="335"/>
      <c r="C9" s="587">
        <v>23900.7</v>
      </c>
    </row>
    <row r="10" spans="1:4" ht="15.75">
      <c r="A10" s="336" t="s">
        <v>566</v>
      </c>
      <c r="B10" s="335"/>
      <c r="C10" s="588">
        <v>107139.01</v>
      </c>
    </row>
    <row r="11" spans="1:4" ht="15.75">
      <c r="A11" s="336" t="s">
        <v>567</v>
      </c>
      <c r="B11" s="335"/>
      <c r="C11" s="588">
        <v>1455271.19</v>
      </c>
    </row>
    <row r="12" spans="1:4" ht="15.75">
      <c r="A12" s="336" t="s">
        <v>568</v>
      </c>
      <c r="B12" s="335"/>
      <c r="C12" s="588">
        <v>119706.22</v>
      </c>
    </row>
    <row r="13" spans="1:4" ht="15.75">
      <c r="A13" s="336" t="s">
        <v>569</v>
      </c>
      <c r="B13" s="335"/>
      <c r="C13" s="588">
        <v>0</v>
      </c>
    </row>
    <row r="14" spans="1:4" ht="15.75">
      <c r="A14" s="342" t="s">
        <v>570</v>
      </c>
      <c r="B14" s="335"/>
      <c r="C14" s="624">
        <f>SUM(C8:C13)</f>
        <v>1706017.1199999999</v>
      </c>
      <c r="D14" s="745" t="s">
        <v>571</v>
      </c>
    </row>
    <row r="15" spans="1:4" ht="15.75">
      <c r="A15" s="336"/>
      <c r="B15" s="335"/>
      <c r="C15" s="625"/>
    </row>
    <row r="16" spans="1:4" ht="15.75">
      <c r="A16" s="341" t="s">
        <v>572</v>
      </c>
      <c r="B16" s="335"/>
      <c r="C16" s="625"/>
    </row>
    <row r="17" spans="1:4" ht="15.75">
      <c r="A17" s="336" t="s">
        <v>573</v>
      </c>
      <c r="B17" s="335"/>
      <c r="C17" s="587">
        <v>0</v>
      </c>
    </row>
    <row r="18" spans="1:4" ht="15.75">
      <c r="A18" s="336" t="s">
        <v>574</v>
      </c>
      <c r="B18" s="335"/>
      <c r="C18" s="588">
        <v>571452.31999999995</v>
      </c>
    </row>
    <row r="19" spans="1:4" ht="15.75">
      <c r="A19" s="336" t="s">
        <v>575</v>
      </c>
      <c r="B19" s="335"/>
      <c r="C19" s="588">
        <v>209730.46</v>
      </c>
    </row>
    <row r="20" spans="1:4" ht="15.75">
      <c r="A20" s="336" t="s">
        <v>576</v>
      </c>
      <c r="B20" s="335"/>
      <c r="C20" s="588">
        <v>220386.53</v>
      </c>
    </row>
    <row r="21" spans="1:4" ht="15.75">
      <c r="A21" s="342" t="s">
        <v>577</v>
      </c>
      <c r="B21" s="335"/>
      <c r="C21" s="624">
        <f>SUM(C17:C20)</f>
        <v>1001569.3099999999</v>
      </c>
      <c r="D21" s="745" t="s">
        <v>578</v>
      </c>
    </row>
    <row r="22" spans="1:4" ht="18" customHeight="1">
      <c r="A22" s="336"/>
      <c r="B22" s="335"/>
      <c r="C22" s="625"/>
    </row>
    <row r="23" spans="1:4" ht="15.75">
      <c r="A23" s="341" t="s">
        <v>579</v>
      </c>
      <c r="B23" s="335"/>
      <c r="C23" s="625"/>
    </row>
    <row r="24" spans="1:4" ht="15.75">
      <c r="A24" s="336" t="s">
        <v>580</v>
      </c>
      <c r="B24" s="335"/>
      <c r="C24" s="587">
        <v>0</v>
      </c>
    </row>
    <row r="25" spans="1:4" ht="15.75">
      <c r="A25" s="336" t="s">
        <v>581</v>
      </c>
      <c r="B25" s="335"/>
      <c r="C25" s="588">
        <v>170946.31</v>
      </c>
    </row>
    <row r="26" spans="1:4" ht="15.75">
      <c r="A26" s="336" t="s">
        <v>582</v>
      </c>
      <c r="B26" s="335"/>
      <c r="C26" s="588">
        <v>170354.66</v>
      </c>
    </row>
    <row r="27" spans="1:4" ht="15.75">
      <c r="A27" s="336" t="s">
        <v>583</v>
      </c>
      <c r="B27" s="335"/>
      <c r="C27" s="588">
        <v>62114.879999999997</v>
      </c>
    </row>
    <row r="28" spans="1:4" ht="15.75">
      <c r="A28" s="341" t="s">
        <v>579</v>
      </c>
      <c r="B28" s="335"/>
      <c r="C28" s="624">
        <f>SUM(C24:C27)</f>
        <v>403415.85</v>
      </c>
      <c r="D28" s="745" t="s">
        <v>584</v>
      </c>
    </row>
    <row r="29" spans="1:4" ht="15.75">
      <c r="A29" s="336"/>
      <c r="B29" s="335"/>
      <c r="C29" s="625"/>
    </row>
    <row r="30" spans="1:4" ht="15.75">
      <c r="A30" s="341" t="s">
        <v>551</v>
      </c>
      <c r="B30" s="335"/>
      <c r="C30" s="625"/>
    </row>
    <row r="31" spans="1:4" ht="15.75">
      <c r="A31" s="336" t="s">
        <v>537</v>
      </c>
      <c r="B31" s="335"/>
      <c r="C31" s="587">
        <v>3076018.4</v>
      </c>
    </row>
    <row r="32" spans="1:4" ht="15.75">
      <c r="A32" s="336" t="s">
        <v>538</v>
      </c>
      <c r="B32" s="335"/>
      <c r="C32" s="588">
        <v>1455583.3</v>
      </c>
    </row>
    <row r="33" spans="1:4" ht="15.75">
      <c r="A33" s="336" t="s">
        <v>539</v>
      </c>
      <c r="B33" s="335"/>
      <c r="C33" s="626">
        <v>0</v>
      </c>
    </row>
    <row r="34" spans="1:4" ht="15.75">
      <c r="A34" s="336" t="s">
        <v>540</v>
      </c>
      <c r="B34" s="335"/>
      <c r="C34" s="588">
        <v>1465594.98</v>
      </c>
    </row>
    <row r="35" spans="1:4" ht="15.75">
      <c r="A35" s="336" t="s">
        <v>541</v>
      </c>
      <c r="B35" s="335"/>
      <c r="C35" s="588">
        <v>417907.45</v>
      </c>
    </row>
    <row r="36" spans="1:4" ht="15.75">
      <c r="A36" s="336" t="s">
        <v>542</v>
      </c>
      <c r="B36" s="335"/>
      <c r="C36" s="588">
        <v>705475.96</v>
      </c>
    </row>
    <row r="37" spans="1:4" ht="15.75">
      <c r="A37" s="336" t="s">
        <v>543</v>
      </c>
      <c r="B37" s="335"/>
      <c r="C37" s="588">
        <v>2988983.82</v>
      </c>
    </row>
    <row r="38" spans="1:4" ht="15.75">
      <c r="A38" s="336" t="s">
        <v>544</v>
      </c>
      <c r="B38" s="335"/>
      <c r="C38" s="588">
        <v>0</v>
      </c>
    </row>
    <row r="39" spans="1:4" ht="15.75">
      <c r="A39" s="336" t="s">
        <v>545</v>
      </c>
      <c r="B39" s="335"/>
      <c r="C39" s="588">
        <v>362886.44</v>
      </c>
    </row>
    <row r="40" spans="1:4" ht="15.75">
      <c r="A40" s="336" t="s">
        <v>546</v>
      </c>
      <c r="B40" s="335"/>
      <c r="C40" s="588">
        <v>0</v>
      </c>
    </row>
    <row r="41" spans="1:4" ht="15.75">
      <c r="A41" s="336" t="s">
        <v>547</v>
      </c>
      <c r="B41" s="335"/>
      <c r="C41" s="588">
        <v>71490.31</v>
      </c>
    </row>
    <row r="42" spans="1:4" ht="15.75">
      <c r="A42" s="336" t="s">
        <v>548</v>
      </c>
      <c r="C42" s="588">
        <v>561294.31000000006</v>
      </c>
    </row>
    <row r="43" spans="1:4" ht="15.75">
      <c r="A43" s="336" t="s">
        <v>549</v>
      </c>
      <c r="C43" s="588">
        <v>44000</v>
      </c>
    </row>
    <row r="44" spans="1:4" ht="15.75">
      <c r="A44" s="336" t="s">
        <v>550</v>
      </c>
      <c r="C44" s="588">
        <v>2087431.45</v>
      </c>
    </row>
    <row r="45" spans="1:4" ht="15.75">
      <c r="A45" s="341" t="s">
        <v>551</v>
      </c>
      <c r="C45" s="627">
        <f>SUM(C31:C44)</f>
        <v>13236666.42</v>
      </c>
      <c r="D45" s="745" t="s">
        <v>585</v>
      </c>
    </row>
    <row r="48" spans="1:4">
      <c r="A48" s="337" t="s">
        <v>557</v>
      </c>
    </row>
    <row r="49" spans="1:5">
      <c r="A49" s="343" t="s">
        <v>586</v>
      </c>
      <c r="B49" s="356" t="s">
        <v>674</v>
      </c>
    </row>
    <row r="50" spans="1:5">
      <c r="A50" s="343" t="s">
        <v>559</v>
      </c>
    </row>
    <row r="51" spans="1:5" ht="15.75">
      <c r="A51" s="336"/>
    </row>
    <row r="52" spans="1:5">
      <c r="A52" s="343" t="s">
        <v>587</v>
      </c>
      <c r="B52" s="343"/>
      <c r="C52" s="343"/>
      <c r="D52" s="343"/>
      <c r="E52" s="356" t="s">
        <v>675</v>
      </c>
    </row>
    <row r="53" spans="1:5">
      <c r="A53" s="343" t="s">
        <v>559</v>
      </c>
    </row>
    <row r="54" spans="1:5" ht="15.75">
      <c r="A54" s="336"/>
    </row>
    <row r="55" spans="1:5" ht="15.75">
      <c r="A55" s="336"/>
    </row>
    <row r="56" spans="1:5" ht="15.75">
      <c r="A56" s="341"/>
    </row>
    <row r="57" spans="1:5" ht="15.75">
      <c r="A57" s="336"/>
    </row>
    <row r="58" spans="1:5" ht="15.75">
      <c r="A58" s="336"/>
    </row>
    <row r="59" spans="1:5" ht="15.75">
      <c r="A59" s="336"/>
    </row>
    <row r="60" spans="1:5" ht="15.75">
      <c r="A60" s="336"/>
    </row>
    <row r="61" spans="1:5" ht="15.75">
      <c r="A61" s="341"/>
    </row>
    <row r="62" spans="1:5" ht="15.75">
      <c r="A62" s="336"/>
    </row>
    <row r="63" spans="1:5" ht="15.75">
      <c r="A63" s="336"/>
    </row>
    <row r="64" spans="1:5" ht="15.75">
      <c r="A64" s="336"/>
    </row>
    <row r="65" spans="1:1" ht="15.75">
      <c r="A65" s="336"/>
    </row>
    <row r="66" spans="1:1" ht="15.75">
      <c r="A66" s="341"/>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row r="76" spans="1:1" ht="15.75">
      <c r="A76" s="336"/>
    </row>
    <row r="77" spans="1:1" ht="15.75">
      <c r="A77" s="336"/>
    </row>
    <row r="78" spans="1:1" ht="15.75">
      <c r="A78" s="336"/>
    </row>
    <row r="79" spans="1:1" ht="15.75">
      <c r="A79" s="336"/>
    </row>
    <row r="80" spans="1:1" ht="15.75">
      <c r="A80" s="336"/>
    </row>
  </sheetData>
  <mergeCells count="3">
    <mergeCell ref="A3:C3"/>
    <mergeCell ref="A1:C1"/>
    <mergeCell ref="A2:C2"/>
  </mergeCells>
  <pageMargins left="0.2" right="0.2" top="0.5" bottom="0.5" header="0.05" footer="0.05"/>
  <pageSetup scale="98" orientation="portrait" r:id="rId1"/>
  <headerFooter>
    <oddHeader>&amp;L&amp;"Arial MT,Bold"Rochester Public Utilities
2015 Work Papers&amp;R&amp;"Arial MT,Bold"Exhibit RPU-8
Page 13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zoomScaleNormal="100" zoomScaleSheetLayoutView="100" workbookViewId="0">
      <selection activeCell="D24" sqref="D24"/>
    </sheetView>
  </sheetViews>
  <sheetFormatPr defaultColWidth="8.88671875" defaultRowHeight="15"/>
  <cols>
    <col min="1" max="1" width="37.44140625" style="354" customWidth="1"/>
    <col min="2" max="2" width="13.109375" style="354" customWidth="1"/>
    <col min="3" max="3" width="10.33203125" style="354" customWidth="1"/>
    <col min="4" max="4" width="11" style="354" customWidth="1"/>
    <col min="5" max="7" width="8.88671875" style="354"/>
    <col min="8" max="8" width="5.44140625" style="354" customWidth="1"/>
    <col min="9" max="16384" width="8.88671875" style="354"/>
  </cols>
  <sheetData>
    <row r="1" spans="1:9" ht="15.75">
      <c r="A1" s="994" t="str">
        <f>Coversheet!B3</f>
        <v>Rochester Public Utilities</v>
      </c>
      <c r="B1" s="994"/>
      <c r="C1" s="994"/>
      <c r="D1" s="994"/>
      <c r="E1" s="733"/>
      <c r="F1" s="733"/>
    </row>
    <row r="2" spans="1:9" ht="15.75">
      <c r="A2" s="994" t="s">
        <v>937</v>
      </c>
      <c r="B2" s="994"/>
      <c r="C2" s="994"/>
      <c r="D2" s="994"/>
      <c r="E2" s="733"/>
      <c r="F2" s="733"/>
    </row>
    <row r="3" spans="1:9" ht="15.75">
      <c r="A3" s="995" t="str">
        <f>IF('Att O_RPU'!$I$19&gt;0.5,CONCATENATE("FLTY Forecast for 12 Months Ended December 31, ",'Att O_RPU'!E318),CONCATENATE("True-up Actual for 12 Months Ended December 31, ",'Att O_RPU'!E318))</f>
        <v>True-up Actual for 12 Months Ended December 31, 2015</v>
      </c>
      <c r="B3" s="995"/>
      <c r="C3" s="995"/>
      <c r="D3" s="995"/>
      <c r="E3" s="733"/>
      <c r="F3" s="733"/>
    </row>
    <row r="4" spans="1:9" ht="15.75">
      <c r="A4" s="605"/>
      <c r="B4" s="605"/>
      <c r="C4" s="605"/>
      <c r="D4" s="605"/>
      <c r="E4" s="605"/>
      <c r="F4" s="605"/>
    </row>
    <row r="5" spans="1:9" ht="15.75">
      <c r="A5" s="993" t="s">
        <v>938</v>
      </c>
      <c r="B5" s="993"/>
      <c r="C5" s="993"/>
      <c r="D5" s="605"/>
      <c r="E5" s="605"/>
      <c r="F5" s="605"/>
    </row>
    <row r="6" spans="1:9" ht="15.75">
      <c r="A6" s="605"/>
      <c r="B6" s="605"/>
      <c r="C6" s="605"/>
      <c r="D6" s="605"/>
      <c r="E6" s="605"/>
      <c r="F6" s="605"/>
    </row>
    <row r="7" spans="1:9" ht="15.75">
      <c r="A7" s="605"/>
      <c r="B7" s="605"/>
      <c r="C7" s="605"/>
      <c r="D7" s="605"/>
      <c r="E7" s="605"/>
      <c r="F7" s="605"/>
    </row>
    <row r="8" spans="1:9" ht="15.75">
      <c r="A8" s="733" t="s">
        <v>475</v>
      </c>
      <c r="C8" s="616">
        <f>C29</f>
        <v>545668</v>
      </c>
      <c r="E8" s="746" t="s">
        <v>639</v>
      </c>
      <c r="F8" s="605"/>
      <c r="I8" s="355"/>
    </row>
    <row r="9" spans="1:9" ht="15.75">
      <c r="A9" s="733" t="s">
        <v>39</v>
      </c>
      <c r="C9" s="613">
        <f>C31</f>
        <v>415684</v>
      </c>
      <c r="E9" s="746" t="s">
        <v>640</v>
      </c>
      <c r="F9" s="605"/>
    </row>
    <row r="10" spans="1:9" ht="15.75">
      <c r="A10" s="733" t="s">
        <v>455</v>
      </c>
      <c r="C10" s="613">
        <f>C33</f>
        <v>3813259</v>
      </c>
      <c r="E10" s="746" t="s">
        <v>641</v>
      </c>
      <c r="F10" s="605"/>
    </row>
    <row r="11" spans="1:9" ht="15.75">
      <c r="A11" s="733" t="s">
        <v>642</v>
      </c>
      <c r="C11" s="617">
        <f>C38</f>
        <v>1222631</v>
      </c>
      <c r="E11" s="746" t="s">
        <v>643</v>
      </c>
      <c r="F11" s="605"/>
    </row>
    <row r="12" spans="1:9" ht="15.75">
      <c r="A12" s="605"/>
      <c r="C12" s="604">
        <f>SUM(C8:C11)</f>
        <v>5997242</v>
      </c>
      <c r="E12" s="746" t="s">
        <v>644</v>
      </c>
      <c r="F12" s="605"/>
    </row>
    <row r="13" spans="1:9" ht="15.75">
      <c r="A13" s="605"/>
      <c r="B13" s="605"/>
      <c r="C13" s="605"/>
      <c r="E13" s="746" t="s">
        <v>1014</v>
      </c>
      <c r="F13" s="605"/>
    </row>
    <row r="14" spans="1:9" ht="15.75">
      <c r="A14" s="605"/>
      <c r="B14" s="605"/>
      <c r="C14" s="605"/>
      <c r="E14" s="747" t="s">
        <v>645</v>
      </c>
      <c r="F14" s="605"/>
    </row>
    <row r="15" spans="1:9" ht="15.75">
      <c r="A15" s="605"/>
      <c r="B15" s="605"/>
      <c r="C15" s="605"/>
      <c r="D15" s="606"/>
      <c r="E15" s="605"/>
      <c r="F15" s="605"/>
    </row>
    <row r="16" spans="1:9" ht="15.75">
      <c r="A16" s="605"/>
      <c r="B16" s="605"/>
      <c r="C16" s="605"/>
      <c r="D16" s="605"/>
      <c r="E16" s="605"/>
      <c r="F16" s="605"/>
    </row>
    <row r="17" spans="1:6" ht="15.75">
      <c r="A17" s="605" t="s">
        <v>873</v>
      </c>
      <c r="B17" s="605"/>
      <c r="C17" s="607"/>
      <c r="D17" s="605"/>
      <c r="E17" s="605"/>
      <c r="F17" s="605"/>
    </row>
    <row r="18" spans="1:6" ht="15.75">
      <c r="A18" s="605" t="s">
        <v>1013</v>
      </c>
      <c r="B18" s="605"/>
      <c r="C18" s="605"/>
      <c r="D18" s="605"/>
      <c r="E18" s="605"/>
      <c r="F18" s="605"/>
    </row>
    <row r="19" spans="1:6" ht="15.75">
      <c r="A19" s="608"/>
      <c r="B19" s="605"/>
      <c r="C19" s="605"/>
      <c r="D19" s="605"/>
      <c r="E19" s="605"/>
      <c r="F19" s="605"/>
    </row>
    <row r="20" spans="1:6" ht="15.75">
      <c r="A20" s="605" t="s">
        <v>646</v>
      </c>
      <c r="B20" s="605"/>
      <c r="C20" s="605"/>
      <c r="D20" s="605"/>
      <c r="E20" s="605"/>
      <c r="F20" s="605"/>
    </row>
    <row r="21" spans="1:6" ht="15.75">
      <c r="A21" s="609" t="s">
        <v>647</v>
      </c>
      <c r="B21" s="605"/>
      <c r="C21" s="605"/>
      <c r="D21" s="605"/>
      <c r="E21" s="605"/>
      <c r="F21" s="605"/>
    </row>
    <row r="22" spans="1:6" ht="15.75">
      <c r="A22" s="605"/>
      <c r="B22" s="605"/>
      <c r="C22" s="605"/>
      <c r="D22" s="605"/>
      <c r="E22" s="605"/>
      <c r="F22" s="605"/>
    </row>
    <row r="23" spans="1:6" ht="15.75">
      <c r="A23" s="611"/>
      <c r="B23" s="612" t="s">
        <v>648</v>
      </c>
      <c r="C23" s="612" t="s">
        <v>649</v>
      </c>
      <c r="D23" s="612" t="s">
        <v>650</v>
      </c>
      <c r="E23" s="605"/>
      <c r="F23" s="605"/>
    </row>
    <row r="24" spans="1:6" ht="15.75">
      <c r="A24" s="611"/>
      <c r="B24" s="611"/>
      <c r="C24" s="611"/>
      <c r="D24" s="611"/>
      <c r="E24" s="605"/>
      <c r="F24" s="605"/>
    </row>
    <row r="25" spans="1:6" ht="15.75">
      <c r="A25" s="611" t="s">
        <v>425</v>
      </c>
      <c r="B25" s="613">
        <f>D25-C25</f>
        <v>383561.89</v>
      </c>
      <c r="C25" s="618">
        <v>198823</v>
      </c>
      <c r="D25" s="613">
        <f>'Op &amp; Maint Sched 7'!F10</f>
        <v>582384.89</v>
      </c>
      <c r="E25" s="610"/>
      <c r="F25" s="605"/>
    </row>
    <row r="26" spans="1:6" ht="15.75">
      <c r="A26" s="611" t="s">
        <v>428</v>
      </c>
      <c r="B26" s="613">
        <f>D26-C26</f>
        <v>61451.820000000007</v>
      </c>
      <c r="C26" s="618">
        <v>62446</v>
      </c>
      <c r="D26" s="613">
        <f>'Op &amp; Maint Sched 7'!F13</f>
        <v>123897.82</v>
      </c>
      <c r="E26" s="610"/>
      <c r="F26" s="605"/>
    </row>
    <row r="27" spans="1:6" ht="15.75">
      <c r="A27" s="611" t="s">
        <v>430</v>
      </c>
      <c r="B27" s="613">
        <f>D27-C27</f>
        <v>1580720.43</v>
      </c>
      <c r="C27" s="618">
        <v>284399</v>
      </c>
      <c r="D27" s="613">
        <f>'Op &amp; Maint Sched 7'!F15</f>
        <v>1865119.43</v>
      </c>
      <c r="E27" s="610"/>
      <c r="F27" s="605"/>
    </row>
    <row r="28" spans="1:6" ht="15.75">
      <c r="A28" s="611" t="s">
        <v>651</v>
      </c>
      <c r="B28" s="613">
        <f>D28-C28</f>
        <v>79129355.269999996</v>
      </c>
      <c r="C28" s="618">
        <v>0</v>
      </c>
      <c r="D28" s="613">
        <f>'Op &amp; Maint Sched 7'!F16</f>
        <v>79129355.269999996</v>
      </c>
      <c r="E28" s="610"/>
      <c r="F28" s="605"/>
    </row>
    <row r="29" spans="1:6" ht="15.75">
      <c r="A29" s="611" t="s">
        <v>435</v>
      </c>
      <c r="B29" s="614">
        <f t="shared" ref="B29:C29" si="0">SUM(B25:B28)</f>
        <v>81155089.409999996</v>
      </c>
      <c r="C29" s="614">
        <f t="shared" si="0"/>
        <v>545668</v>
      </c>
      <c r="D29" s="614">
        <f>SUM(D25:D28)</f>
        <v>81700757.409999996</v>
      </c>
      <c r="E29" s="610"/>
      <c r="F29" s="605"/>
    </row>
    <row r="30" spans="1:6" ht="15.75">
      <c r="A30" s="611"/>
      <c r="B30" s="611"/>
      <c r="C30" s="611"/>
      <c r="D30" s="611"/>
      <c r="E30" s="610"/>
      <c r="F30" s="605"/>
    </row>
    <row r="31" spans="1:6" ht="15.75">
      <c r="A31" s="611" t="s">
        <v>436</v>
      </c>
      <c r="B31" s="613">
        <f>D31-C31</f>
        <v>7839069.3500000006</v>
      </c>
      <c r="C31" s="618">
        <v>415684</v>
      </c>
      <c r="D31" s="613">
        <f>'Op &amp; Maint Sched 7'!F21</f>
        <v>8254753.3500000006</v>
      </c>
      <c r="E31" s="610"/>
      <c r="F31" s="605"/>
    </row>
    <row r="32" spans="1:6" ht="15.75">
      <c r="A32" s="611"/>
      <c r="B32" s="611"/>
      <c r="C32" s="615"/>
      <c r="D32" s="611"/>
      <c r="E32" s="610"/>
      <c r="F32" s="605"/>
    </row>
    <row r="33" spans="1:6" ht="15.75">
      <c r="A33" s="611" t="s">
        <v>439</v>
      </c>
      <c r="B33" s="613">
        <f>D33-C33</f>
        <v>1852978.2400000002</v>
      </c>
      <c r="C33" s="618">
        <v>3813259</v>
      </c>
      <c r="D33" s="613">
        <f>'Op &amp; Maint Sched 7'!F23</f>
        <v>5666237.2400000002</v>
      </c>
      <c r="E33" s="610"/>
      <c r="F33" s="605"/>
    </row>
    <row r="34" spans="1:6" ht="15.75">
      <c r="A34" s="611"/>
      <c r="B34" s="611"/>
      <c r="C34" s="615"/>
      <c r="D34" s="611"/>
      <c r="E34" s="610"/>
      <c r="F34" s="605"/>
    </row>
    <row r="35" spans="1:6" ht="15.75">
      <c r="A35" s="611" t="s">
        <v>441</v>
      </c>
      <c r="B35" s="613">
        <f t="shared" ref="B35:B37" si="1">D35-C35</f>
        <v>1008406.1199999999</v>
      </c>
      <c r="C35" s="618">
        <v>697611</v>
      </c>
      <c r="D35" s="613">
        <f>'Op &amp; Maint Sched 7'!F25</f>
        <v>1706017.1199999999</v>
      </c>
      <c r="E35" s="610"/>
      <c r="F35" s="605"/>
    </row>
    <row r="36" spans="1:6" ht="15.75">
      <c r="A36" s="611" t="s">
        <v>652</v>
      </c>
      <c r="B36" s="613">
        <f t="shared" si="1"/>
        <v>590678.30999999994</v>
      </c>
      <c r="C36" s="618">
        <v>410891</v>
      </c>
      <c r="D36" s="613">
        <f>'Op &amp; Maint Sched 7'!F27</f>
        <v>1001569.3099999999</v>
      </c>
      <c r="E36" s="610"/>
      <c r="F36" s="605"/>
    </row>
    <row r="37" spans="1:6" ht="15.75">
      <c r="A37" s="611" t="s">
        <v>579</v>
      </c>
      <c r="B37" s="613">
        <f t="shared" si="1"/>
        <v>289286.84999999998</v>
      </c>
      <c r="C37" s="618">
        <v>114129</v>
      </c>
      <c r="D37" s="613">
        <f>'Op &amp; Maint Sched 7'!F28</f>
        <v>403415.85</v>
      </c>
      <c r="E37" s="610"/>
      <c r="F37" s="605"/>
    </row>
    <row r="38" spans="1:6" ht="15.75">
      <c r="A38" s="611" t="s">
        <v>653</v>
      </c>
      <c r="B38" s="614">
        <f t="shared" ref="B38:C38" si="2">SUM(B35:B37)</f>
        <v>1888371.2799999998</v>
      </c>
      <c r="C38" s="614">
        <f t="shared" si="2"/>
        <v>1222631</v>
      </c>
      <c r="D38" s="614">
        <f>SUM(D35:D37)</f>
        <v>3111002.28</v>
      </c>
      <c r="E38" s="610"/>
      <c r="F38" s="605"/>
    </row>
    <row r="39" spans="1:6">
      <c r="E39" s="357"/>
    </row>
  </sheetData>
  <mergeCells count="4">
    <mergeCell ref="A5:C5"/>
    <mergeCell ref="A2:D2"/>
    <mergeCell ref="A1:D1"/>
    <mergeCell ref="A3:D3"/>
  </mergeCells>
  <pageMargins left="0.45" right="0.45" top="0.5" bottom="0.5" header="0.3" footer="0.3"/>
  <pageSetup orientation="portrait" r:id="rId1"/>
  <headerFooter>
    <oddHeader>&amp;L&amp;"Arial MT,Bold"Rochester Public Utilities
2015 Work Papers&amp;R&amp;"Arial MT,Bold"Exhibit RPU-8
Page 14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18"/>
  <sheetViews>
    <sheetView zoomScaleNormal="100" zoomScaleSheetLayoutView="100" workbookViewId="0">
      <selection activeCell="D24" sqref="D24"/>
    </sheetView>
  </sheetViews>
  <sheetFormatPr defaultColWidth="8.88671875" defaultRowHeight="15"/>
  <cols>
    <col min="1" max="1" width="56.109375" style="319" bestFit="1" customWidth="1"/>
    <col min="2" max="2" width="8.109375" style="319" customWidth="1"/>
    <col min="3" max="3" width="8.44140625" style="319" customWidth="1"/>
    <col min="4" max="16384" width="8.88671875" style="319"/>
  </cols>
  <sheetData>
    <row r="1" spans="1:7" ht="18.75">
      <c r="A1" s="992" t="str">
        <f>Coversheet!B3</f>
        <v>Rochester Public Utilities</v>
      </c>
      <c r="B1" s="992"/>
      <c r="C1" s="992"/>
      <c r="D1" s="335"/>
      <c r="E1" s="335"/>
      <c r="F1" s="335"/>
      <c r="G1" s="335"/>
    </row>
    <row r="2" spans="1:7" ht="18.75">
      <c r="A2" s="992" t="s">
        <v>940</v>
      </c>
      <c r="B2" s="992"/>
      <c r="C2" s="992"/>
      <c r="D2" s="335"/>
      <c r="E2" s="335"/>
      <c r="F2" s="335"/>
      <c r="G2" s="335"/>
    </row>
    <row r="3" spans="1:7" ht="18.75">
      <c r="A3" s="992" t="str">
        <f>'Admin &amp; General'!A3</f>
        <v>True-up Actual for 12 Months Ended December 31, 2015</v>
      </c>
      <c r="B3" s="992"/>
      <c r="C3" s="992"/>
      <c r="D3" s="335"/>
      <c r="E3" s="335"/>
      <c r="F3" s="335"/>
      <c r="G3" s="335"/>
    </row>
    <row r="5" spans="1:7" ht="15.75">
      <c r="A5" s="996" t="s">
        <v>939</v>
      </c>
      <c r="B5" s="996"/>
      <c r="C5" s="996"/>
      <c r="D5" s="337"/>
    </row>
    <row r="6" spans="1:7">
      <c r="E6" s="373"/>
    </row>
    <row r="7" spans="1:7" ht="15.75">
      <c r="A7" s="685"/>
      <c r="B7" s="685" t="s">
        <v>588</v>
      </c>
      <c r="C7" s="676"/>
      <c r="D7" s="344"/>
    </row>
    <row r="8" spans="1:7" ht="15.75">
      <c r="A8" s="332" t="s">
        <v>589</v>
      </c>
      <c r="B8" s="332" t="s">
        <v>590</v>
      </c>
      <c r="C8" s="332" t="s">
        <v>7</v>
      </c>
    </row>
    <row r="9" spans="1:7" ht="15.75">
      <c r="A9" s="676"/>
      <c r="B9" s="676"/>
      <c r="C9" s="676"/>
    </row>
    <row r="10" spans="1:7" ht="15.75">
      <c r="A10" s="334" t="s">
        <v>591</v>
      </c>
      <c r="B10" s="748">
        <v>0</v>
      </c>
      <c r="C10" s="623">
        <v>0</v>
      </c>
    </row>
    <row r="11" spans="1:7" ht="15.75">
      <c r="A11" s="334" t="s">
        <v>592</v>
      </c>
      <c r="B11" s="748">
        <v>0</v>
      </c>
      <c r="C11" s="623">
        <v>0</v>
      </c>
    </row>
    <row r="12" spans="1:7" ht="18">
      <c r="A12" s="334" t="s">
        <v>593</v>
      </c>
      <c r="B12" s="749">
        <v>0</v>
      </c>
      <c r="C12" s="750">
        <v>0</v>
      </c>
    </row>
    <row r="13" spans="1:7" ht="15.75">
      <c r="A13" s="676"/>
      <c r="B13" s="676"/>
      <c r="C13" s="676"/>
    </row>
    <row r="14" spans="1:7" ht="15.75">
      <c r="A14" s="334" t="s">
        <v>9</v>
      </c>
      <c r="B14" s="751">
        <f>SUM(B10:B13)</f>
        <v>0</v>
      </c>
      <c r="C14" s="752">
        <f>SUM(C10:C13)</f>
        <v>0</v>
      </c>
    </row>
    <row r="17" spans="1:1">
      <c r="A17" s="338"/>
    </row>
    <row r="18" spans="1:1">
      <c r="A18" s="338"/>
    </row>
  </sheetData>
  <mergeCells count="4">
    <mergeCell ref="A1:C1"/>
    <mergeCell ref="A3:C3"/>
    <mergeCell ref="A5:C5"/>
    <mergeCell ref="A2:C2"/>
  </mergeCells>
  <pageMargins left="0.7" right="0.7" top="0.75" bottom="0.75" header="0.3" footer="0.3"/>
  <pageSetup scale="105" orientation="landscape" r:id="rId1"/>
  <headerFooter>
    <oddHeader>&amp;L&amp;"Arial MT,Bold"Rochester Public Utilities
2015 Work Papers&amp;R&amp;"Arial MT,Bold"Exhibit RPU-8
Page 15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topLeftCell="A4" zoomScaleNormal="100" zoomScaleSheetLayoutView="100" workbookViewId="0">
      <selection activeCell="D24" sqref="D24"/>
    </sheetView>
  </sheetViews>
  <sheetFormatPr defaultColWidth="8.88671875" defaultRowHeight="15"/>
  <cols>
    <col min="1" max="1" width="71.5546875" style="319" customWidth="1"/>
    <col min="2" max="2" width="9.77734375" style="319" bestFit="1" customWidth="1"/>
    <col min="3" max="3" width="9" style="319" bestFit="1" customWidth="1"/>
    <col min="4" max="4" width="2.21875" style="319" customWidth="1"/>
    <col min="5" max="5" width="8.21875" style="319" bestFit="1" customWidth="1"/>
    <col min="6" max="16384" width="8.88671875" style="319"/>
  </cols>
  <sheetData>
    <row r="1" spans="1:9" ht="18.75">
      <c r="A1" s="992" t="str">
        <f>Coversheet!B3</f>
        <v>Rochester Public Utilities</v>
      </c>
      <c r="B1" s="992"/>
      <c r="C1" s="992"/>
      <c r="D1" s="335"/>
      <c r="E1" s="335"/>
      <c r="F1" s="335"/>
      <c r="G1" s="335"/>
      <c r="H1" s="335"/>
    </row>
    <row r="2" spans="1:9" ht="18.75">
      <c r="A2" s="992" t="s">
        <v>942</v>
      </c>
      <c r="B2" s="992"/>
      <c r="C2" s="992"/>
      <c r="D2" s="335"/>
      <c r="E2" s="335"/>
      <c r="F2" s="335"/>
      <c r="G2" s="335"/>
      <c r="H2" s="335"/>
    </row>
    <row r="3" spans="1:9" ht="18.75">
      <c r="A3" s="992" t="str">
        <f>'FERC Fees'!A3</f>
        <v>True-up Actual for 12 Months Ended December 31, 2015</v>
      </c>
      <c r="B3" s="992"/>
      <c r="C3" s="992"/>
      <c r="D3" s="335"/>
      <c r="E3" s="335"/>
      <c r="F3" s="335"/>
      <c r="G3" s="335"/>
      <c r="H3" s="335"/>
      <c r="I3" s="335"/>
    </row>
    <row r="5" spans="1:9" ht="18.75">
      <c r="A5" s="992" t="s">
        <v>941</v>
      </c>
      <c r="B5" s="992"/>
      <c r="C5" s="992"/>
      <c r="D5" s="337"/>
      <c r="E5" s="337"/>
    </row>
    <row r="8" spans="1:9" ht="15.75">
      <c r="A8" s="676" t="s">
        <v>594</v>
      </c>
      <c r="B8" s="623">
        <v>0</v>
      </c>
      <c r="D8" s="736" t="s">
        <v>1012</v>
      </c>
      <c r="E8" s="676"/>
      <c r="F8" s="676"/>
    </row>
    <row r="9" spans="1:9" ht="15.75">
      <c r="A9" s="676"/>
      <c r="B9" s="676"/>
      <c r="D9" s="736"/>
      <c r="E9" s="676"/>
      <c r="F9" s="676"/>
    </row>
    <row r="10" spans="1:9" ht="15.75">
      <c r="A10" s="676"/>
      <c r="B10" s="676"/>
      <c r="D10" s="736"/>
      <c r="E10" s="676"/>
      <c r="F10" s="676"/>
    </row>
    <row r="11" spans="1:9" ht="15.75">
      <c r="A11" s="676"/>
      <c r="B11" s="676"/>
      <c r="D11" s="736"/>
      <c r="E11" s="676"/>
      <c r="F11" s="676"/>
    </row>
    <row r="12" spans="1:9" ht="15.75">
      <c r="A12" s="676"/>
      <c r="B12" s="676"/>
      <c r="D12" s="736"/>
      <c r="E12" s="676"/>
      <c r="F12" s="676"/>
    </row>
    <row r="13" spans="1:9" ht="15.75">
      <c r="A13" s="676" t="s">
        <v>945</v>
      </c>
      <c r="B13" s="676"/>
      <c r="D13" s="736"/>
      <c r="E13" s="736" t="s">
        <v>946</v>
      </c>
      <c r="F13" s="676"/>
    </row>
    <row r="14" spans="1:9" ht="15.75">
      <c r="A14" s="753" t="s">
        <v>870</v>
      </c>
      <c r="B14" s="587">
        <v>362886</v>
      </c>
      <c r="D14" s="736" t="s">
        <v>947</v>
      </c>
      <c r="E14" s="676"/>
      <c r="F14" s="676"/>
    </row>
    <row r="15" spans="1:9" ht="15.75">
      <c r="A15" s="334" t="s">
        <v>595</v>
      </c>
      <c r="B15" s="596">
        <v>0</v>
      </c>
      <c r="D15" s="736" t="s">
        <v>871</v>
      </c>
      <c r="E15" s="676"/>
      <c r="F15" s="676"/>
    </row>
    <row r="16" spans="1:9" ht="15.75">
      <c r="A16" s="676"/>
      <c r="B16" s="754">
        <f>SUM(B14:B15)</f>
        <v>362886</v>
      </c>
      <c r="D16" s="736"/>
      <c r="E16" s="676"/>
      <c r="F16" s="676"/>
    </row>
    <row r="17" spans="1:6" ht="15.75">
      <c r="A17" s="676"/>
      <c r="B17" s="676"/>
      <c r="D17" s="736"/>
      <c r="E17" s="676"/>
      <c r="F17" s="676"/>
    </row>
    <row r="18" spans="1:6" ht="15.75">
      <c r="A18" s="676"/>
      <c r="B18" s="676"/>
      <c r="D18" s="736"/>
      <c r="E18" s="676"/>
      <c r="F18" s="676"/>
    </row>
    <row r="19" spans="1:6" ht="15.75">
      <c r="A19" s="676" t="s">
        <v>596</v>
      </c>
      <c r="B19" s="676"/>
      <c r="D19" s="736"/>
      <c r="E19" s="676"/>
      <c r="F19" s="676"/>
    </row>
    <row r="20" spans="1:6" ht="15.75">
      <c r="A20" s="606" t="s">
        <v>665</v>
      </c>
      <c r="B20" s="587">
        <v>71490</v>
      </c>
      <c r="D20" s="746" t="s">
        <v>666</v>
      </c>
      <c r="E20" s="676"/>
      <c r="F20" s="676"/>
    </row>
    <row r="21" spans="1:6" ht="15.75">
      <c r="A21" s="334" t="s">
        <v>597</v>
      </c>
      <c r="B21" s="596">
        <v>0</v>
      </c>
      <c r="D21" s="736" t="s">
        <v>872</v>
      </c>
      <c r="E21" s="676"/>
      <c r="F21" s="676"/>
    </row>
    <row r="22" spans="1:6" ht="18" customHeight="1">
      <c r="A22" s="676"/>
      <c r="B22" s="597">
        <f>SUM(B20:B21)</f>
        <v>71490</v>
      </c>
      <c r="C22" s="676"/>
      <c r="D22" s="676"/>
      <c r="E22" s="676"/>
      <c r="F22" s="676"/>
    </row>
    <row r="23" spans="1:6" ht="15.75">
      <c r="A23" s="676"/>
      <c r="B23" s="676"/>
      <c r="C23" s="676"/>
      <c r="D23" s="676"/>
      <c r="E23" s="676"/>
      <c r="F23" s="676"/>
    </row>
    <row r="24" spans="1:6" ht="15.75">
      <c r="A24" s="676"/>
      <c r="B24" s="676"/>
      <c r="C24" s="676"/>
      <c r="D24" s="676"/>
      <c r="E24" s="676"/>
      <c r="F24" s="676"/>
    </row>
    <row r="25" spans="1:6" ht="15.75">
      <c r="A25" s="341" t="s">
        <v>927</v>
      </c>
      <c r="B25" s="341"/>
      <c r="C25" s="341"/>
      <c r="D25" s="341"/>
      <c r="E25" s="341"/>
      <c r="F25" s="341"/>
    </row>
    <row r="26" spans="1:6" ht="15.75">
      <c r="A26" s="676"/>
      <c r="B26" s="676"/>
      <c r="C26" s="676"/>
      <c r="D26" s="676"/>
      <c r="E26" s="676"/>
      <c r="F26" s="676"/>
    </row>
    <row r="27" spans="1:6" ht="15.75">
      <c r="A27" s="676"/>
      <c r="B27" s="676"/>
      <c r="C27" s="676"/>
      <c r="D27" s="676"/>
      <c r="E27" s="676"/>
      <c r="F27" s="676"/>
    </row>
    <row r="28" spans="1:6" ht="15.75">
      <c r="A28" s="605" t="s">
        <v>673</v>
      </c>
      <c r="B28" s="676"/>
      <c r="C28" s="676"/>
      <c r="D28" s="676"/>
      <c r="E28" s="676"/>
      <c r="F28" s="676"/>
    </row>
    <row r="29" spans="1:6" ht="15.75">
      <c r="A29" s="676"/>
      <c r="B29" s="676"/>
      <c r="C29" s="676"/>
      <c r="D29" s="676"/>
      <c r="E29" s="676"/>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2015 Work Papers&amp;R&amp;"Arial MT,Bold"Exhibit RPU-8
Page 16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16"/>
  <sheetViews>
    <sheetView zoomScaleNormal="100" zoomScaleSheetLayoutView="100" workbookViewId="0">
      <selection sqref="A1:D1"/>
    </sheetView>
  </sheetViews>
  <sheetFormatPr defaultColWidth="8.88671875" defaultRowHeight="15"/>
  <cols>
    <col min="1" max="1" width="32.33203125" style="319" bestFit="1" customWidth="1"/>
    <col min="2" max="3" width="6.5546875" style="319" customWidth="1"/>
    <col min="4" max="4" width="11.5546875" style="319" bestFit="1" customWidth="1"/>
    <col min="5" max="5" width="2.109375" style="319" customWidth="1"/>
    <col min="6" max="16384" width="8.88671875" style="319"/>
  </cols>
  <sheetData>
    <row r="1" spans="1:7" ht="22.5">
      <c r="A1" s="992" t="str">
        <f>Coversheet!B3</f>
        <v>Rochester Public Utilities</v>
      </c>
      <c r="B1" s="992"/>
      <c r="C1" s="992"/>
      <c r="D1" s="992"/>
      <c r="E1" s="755"/>
      <c r="F1" s="755"/>
      <c r="G1" s="755"/>
    </row>
    <row r="2" spans="1:7" ht="22.5">
      <c r="A2" s="992" t="s">
        <v>943</v>
      </c>
      <c r="B2" s="992"/>
      <c r="C2" s="992"/>
      <c r="D2" s="992"/>
      <c r="E2" s="755"/>
      <c r="F2" s="755"/>
      <c r="G2" s="755"/>
    </row>
    <row r="3" spans="1:7" ht="22.5">
      <c r="A3" s="997" t="str">
        <f>'EPRI Reg Comm Non Safety'!A3</f>
        <v>True-up Actual for 12 Months Ended December 31, 2015</v>
      </c>
      <c r="B3" s="997"/>
      <c r="C3" s="997"/>
      <c r="D3" s="997"/>
      <c r="E3" s="755"/>
      <c r="F3" s="755"/>
      <c r="G3" s="755"/>
    </row>
    <row r="4" spans="1:7">
      <c r="A4" s="594"/>
      <c r="B4" s="594"/>
      <c r="C4" s="594"/>
      <c r="D4" s="594"/>
      <c r="E4" s="594"/>
      <c r="F4" s="594"/>
      <c r="G4" s="594"/>
    </row>
    <row r="5" spans="1:7" ht="15.75">
      <c r="A5" s="997" t="s">
        <v>598</v>
      </c>
      <c r="B5" s="997"/>
      <c r="C5" s="997"/>
      <c r="D5" s="997"/>
      <c r="E5" s="594"/>
      <c r="F5" s="594"/>
      <c r="G5" s="594"/>
    </row>
    <row r="6" spans="1:7">
      <c r="A6" s="594"/>
      <c r="B6" s="594"/>
      <c r="C6" s="594"/>
      <c r="D6" s="594"/>
      <c r="E6" s="594"/>
      <c r="F6" s="594"/>
      <c r="G6" s="594"/>
    </row>
    <row r="7" spans="1:7" ht="15.75">
      <c r="A7" s="756" t="s">
        <v>599</v>
      </c>
      <c r="B7" s="594"/>
      <c r="C7" s="594"/>
      <c r="D7" s="587">
        <v>956119</v>
      </c>
      <c r="E7" s="594"/>
      <c r="F7" s="759" t="s">
        <v>600</v>
      </c>
      <c r="G7" s="759"/>
    </row>
    <row r="8" spans="1:7" ht="15.75">
      <c r="A8" s="594" t="s">
        <v>601</v>
      </c>
      <c r="B8" s="594"/>
      <c r="C8" s="594"/>
      <c r="D8" s="767">
        <v>0</v>
      </c>
      <c r="E8" s="594"/>
      <c r="F8" s="759" t="s">
        <v>602</v>
      </c>
      <c r="G8" s="759"/>
    </row>
    <row r="9" spans="1:7" ht="15.75">
      <c r="A9" s="594" t="s">
        <v>603</v>
      </c>
      <c r="B9" s="594"/>
      <c r="C9" s="594"/>
      <c r="D9" s="767">
        <v>0</v>
      </c>
      <c r="E9" s="594"/>
      <c r="F9" s="759" t="s">
        <v>604</v>
      </c>
      <c r="G9" s="759"/>
    </row>
    <row r="10" spans="1:7" ht="15.75">
      <c r="A10" s="594" t="s">
        <v>605</v>
      </c>
      <c r="B10" s="594"/>
      <c r="C10" s="594"/>
      <c r="D10" s="767">
        <v>0</v>
      </c>
      <c r="E10" s="594"/>
      <c r="F10" s="759" t="s">
        <v>606</v>
      </c>
      <c r="G10" s="759"/>
    </row>
    <row r="11" spans="1:7" ht="15.75">
      <c r="A11" s="757" t="s">
        <v>454</v>
      </c>
      <c r="B11" s="594"/>
      <c r="C11" s="594"/>
      <c r="D11" s="794">
        <v>8383748</v>
      </c>
      <c r="E11" s="594"/>
      <c r="F11" s="759" t="s">
        <v>607</v>
      </c>
      <c r="G11" s="759"/>
    </row>
    <row r="12" spans="1:7" ht="15.75">
      <c r="A12" s="594" t="s">
        <v>608</v>
      </c>
      <c r="B12" s="594"/>
      <c r="C12" s="594"/>
      <c r="D12" s="758">
        <v>0</v>
      </c>
      <c r="E12" s="594"/>
      <c r="F12" s="759" t="s">
        <v>609</v>
      </c>
      <c r="G12" s="759"/>
    </row>
    <row r="13" spans="1:7" ht="15.75">
      <c r="A13" s="594" t="s">
        <v>9</v>
      </c>
      <c r="B13" s="594"/>
      <c r="C13" s="594"/>
      <c r="D13" s="623">
        <f>SUM(D7:D12)</f>
        <v>9339867</v>
      </c>
      <c r="E13" s="594"/>
      <c r="F13" s="759" t="s">
        <v>610</v>
      </c>
      <c r="G13" s="759"/>
    </row>
    <row r="14" spans="1:7">
      <c r="A14" s="594"/>
      <c r="B14" s="594"/>
      <c r="C14" s="594"/>
      <c r="D14" s="594"/>
      <c r="E14" s="594"/>
      <c r="F14" s="759" t="s">
        <v>611</v>
      </c>
      <c r="G14" s="759"/>
    </row>
    <row r="15" spans="1:7">
      <c r="A15" s="594"/>
      <c r="B15" s="594"/>
      <c r="C15" s="594"/>
      <c r="D15" s="594"/>
      <c r="E15" s="594"/>
      <c r="F15" s="759" t="s">
        <v>612</v>
      </c>
      <c r="G15" s="759"/>
    </row>
    <row r="16" spans="1:7">
      <c r="A16" s="594"/>
      <c r="B16" s="594"/>
      <c r="C16" s="594"/>
      <c r="D16" s="594"/>
      <c r="E16" s="594"/>
      <c r="F16" s="759" t="s">
        <v>613</v>
      </c>
      <c r="G16" s="759"/>
    </row>
  </sheetData>
  <mergeCells count="4">
    <mergeCell ref="A1:D1"/>
    <mergeCell ref="A3:D3"/>
    <mergeCell ref="A5:D5"/>
    <mergeCell ref="A2:D2"/>
  </mergeCells>
  <pageMargins left="0.45" right="0.2" top="0.75" bottom="0.75" header="0.3" footer="0.3"/>
  <pageSetup scale="108" orientation="landscape" r:id="rId1"/>
  <headerFooter>
    <oddHeader>&amp;L&amp;"Arial MT,Bold"Rochester Public Utilities
2015 Work Papers&amp;R&amp;"Arial MT,Bold"Exhibit RPU-8
Page 17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activeCell="C16" sqref="C16"/>
    </sheetView>
  </sheetViews>
  <sheetFormatPr defaultColWidth="8.88671875" defaultRowHeight="15"/>
  <cols>
    <col min="1" max="1" width="5.5546875" style="319" customWidth="1"/>
    <col min="2" max="2" width="60.6640625" style="319" customWidth="1"/>
    <col min="3" max="3" width="8.77734375" style="319" customWidth="1"/>
    <col min="4" max="4" width="0.6640625" style="319" customWidth="1"/>
    <col min="5" max="5" width="57.21875" style="319" bestFit="1" customWidth="1"/>
    <col min="6" max="16384" width="8.88671875" style="319"/>
  </cols>
  <sheetData>
    <row r="1" spans="1:5" ht="15.75">
      <c r="B1" s="685" t="str">
        <f>Coversheet!B3</f>
        <v>Rochester Public Utilities</v>
      </c>
      <c r="C1" s="678"/>
      <c r="D1" s="678"/>
      <c r="E1" s="678"/>
    </row>
    <row r="2" spans="1:5" ht="15.4" customHeight="1">
      <c r="A2" s="997" t="s">
        <v>1010</v>
      </c>
      <c r="B2" s="997"/>
      <c r="C2" s="997"/>
      <c r="D2" s="678"/>
      <c r="E2" s="678"/>
    </row>
    <row r="3" spans="1:5" ht="15.75">
      <c r="B3" s="989" t="str">
        <f>IF('Att O_RPU'!$I$19&gt;0.5,CONCATENATE("FLTY Forecast for 12 Months Ended December 31, ",'Att O_RPU'!E318),CONCATENATE("True-up Actual for 12 Months Ended December 31, ",'Att O_RPU'!E318))</f>
        <v>True-up Actual for 12 Months Ended December 31, 2015</v>
      </c>
      <c r="C3" s="989"/>
      <c r="D3" s="989"/>
      <c r="E3" s="679"/>
    </row>
    <row r="4" spans="1:5">
      <c r="B4" s="680"/>
      <c r="C4" s="678"/>
      <c r="D4" s="678"/>
    </row>
    <row r="5" spans="1:5">
      <c r="B5" s="698" t="s">
        <v>614</v>
      </c>
      <c r="C5" s="594"/>
      <c r="D5" s="594"/>
      <c r="E5" s="594"/>
    </row>
    <row r="6" spans="1:5">
      <c r="C6" s="681"/>
      <c r="D6" s="681"/>
      <c r="E6" s="594"/>
    </row>
    <row r="7" spans="1:5" ht="18.75">
      <c r="B7" s="686" t="s">
        <v>1009</v>
      </c>
      <c r="C7" s="594"/>
      <c r="D7" s="594"/>
      <c r="E7" s="594"/>
    </row>
    <row r="8" spans="1:5">
      <c r="B8" s="594"/>
      <c r="C8" s="594"/>
      <c r="D8" s="594"/>
      <c r="E8" s="594"/>
    </row>
    <row r="9" spans="1:5" ht="15.75">
      <c r="B9" s="622" t="s">
        <v>615</v>
      </c>
      <c r="C9" s="622" t="s">
        <v>7</v>
      </c>
      <c r="D9" s="594"/>
      <c r="E9" s="736" t="s">
        <v>617</v>
      </c>
    </row>
    <row r="10" spans="1:5" ht="15.75">
      <c r="A10" s="687" t="s">
        <v>452</v>
      </c>
      <c r="B10" s="682"/>
      <c r="C10" s="622"/>
      <c r="D10" s="594"/>
      <c r="E10" s="737" t="s">
        <v>618</v>
      </c>
    </row>
    <row r="11" spans="1:5" ht="15.75">
      <c r="A11" s="688" t="s">
        <v>6</v>
      </c>
      <c r="B11"/>
      <c r="C11" s="594"/>
      <c r="D11" s="594"/>
      <c r="E11" s="736" t="s">
        <v>619</v>
      </c>
    </row>
    <row r="12" spans="1:5" ht="15.75">
      <c r="A12" s="687">
        <v>1</v>
      </c>
      <c r="B12" s="608" t="s">
        <v>662</v>
      </c>
      <c r="C12" s="766">
        <v>750</v>
      </c>
      <c r="D12" s="594"/>
      <c r="E12" s="736" t="s">
        <v>1011</v>
      </c>
    </row>
    <row r="13" spans="1:5" ht="15.75">
      <c r="A13" s="687">
        <f>A12+1</f>
        <v>2</v>
      </c>
      <c r="B13" s="605" t="s">
        <v>667</v>
      </c>
      <c r="C13" s="618">
        <v>36420</v>
      </c>
      <c r="D13" s="594"/>
      <c r="E13" s="736" t="s">
        <v>620</v>
      </c>
    </row>
    <row r="14" spans="1:5" ht="15.75">
      <c r="A14" s="687">
        <f t="shared" ref="A14:A16" si="0">A13+1</f>
        <v>3</v>
      </c>
      <c r="B14" s="676" t="s">
        <v>616</v>
      </c>
      <c r="C14" s="767">
        <v>0</v>
      </c>
      <c r="D14" s="594"/>
      <c r="E14" s="736" t="s">
        <v>621</v>
      </c>
    </row>
    <row r="15" spans="1:5" ht="15.75">
      <c r="A15" s="687">
        <f t="shared" si="0"/>
        <v>4</v>
      </c>
      <c r="B15" s="676" t="s">
        <v>616</v>
      </c>
      <c r="C15" s="768">
        <v>0</v>
      </c>
      <c r="D15" s="594"/>
    </row>
    <row r="16" spans="1:5" ht="15.75">
      <c r="A16" s="687">
        <f t="shared" si="0"/>
        <v>5</v>
      </c>
      <c r="B16" s="594" t="s">
        <v>926</v>
      </c>
      <c r="C16" s="769">
        <f>SUM(C12:C15)</f>
        <v>37170</v>
      </c>
      <c r="D16" s="594"/>
      <c r="E16" s="736" t="s">
        <v>1006</v>
      </c>
    </row>
    <row r="17" spans="2:5" ht="15.75">
      <c r="B17" s="676"/>
      <c r="C17" s="677"/>
      <c r="D17" s="594"/>
    </row>
    <row r="18" spans="2:5" ht="15.75">
      <c r="B18" s="676"/>
      <c r="C18" s="677"/>
      <c r="D18" s="594"/>
      <c r="E18" s="676"/>
    </row>
    <row r="19" spans="2:5">
      <c r="B19" s="594"/>
      <c r="C19" s="594"/>
      <c r="D19" s="594"/>
    </row>
    <row r="20" spans="2:5" ht="15" customHeight="1">
      <c r="B20" s="683" t="s">
        <v>663</v>
      </c>
      <c r="C20" s="770">
        <f>216199-C12</f>
        <v>215449</v>
      </c>
      <c r="D20" s="594"/>
    </row>
    <row r="21" spans="2:5" ht="15.75" thickBot="1">
      <c r="B21" s="684" t="s">
        <v>664</v>
      </c>
      <c r="C21" s="735">
        <f>C16+C20</f>
        <v>252619</v>
      </c>
      <c r="D21" s="594"/>
    </row>
    <row r="22" spans="2:5" ht="15.75" thickTop="1">
      <c r="B22" s="594"/>
      <c r="C22" s="594"/>
      <c r="D22" s="594"/>
    </row>
    <row r="23" spans="2:5">
      <c r="B23" s="594"/>
      <c r="C23" s="594"/>
      <c r="D23" s="594"/>
      <c r="E23" s="594"/>
    </row>
  </sheetData>
  <mergeCells count="2">
    <mergeCell ref="B3:D3"/>
    <mergeCell ref="A2:C2"/>
  </mergeCells>
  <pageMargins left="0.7" right="0.45" top="0.75" bottom="0.75" header="0.3" footer="0.3"/>
  <pageSetup orientation="landscape" r:id="rId1"/>
  <headerFooter>
    <oddHeader>&amp;L&amp;"Arial MT,Bold"Rochester Public Utilities
2015 Work Papers&amp;R&amp;"Arial MT,Bold"Exhibit RPU-8
Page 18 of 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44"/>
  <sheetViews>
    <sheetView topLeftCell="B1" zoomScale="90" zoomScaleNormal="90" zoomScaleSheetLayoutView="100" workbookViewId="0">
      <selection activeCell="G32" sqref="G32"/>
    </sheetView>
  </sheetViews>
  <sheetFormatPr defaultColWidth="8.88671875" defaultRowHeight="15"/>
  <cols>
    <col min="1" max="1" width="15.77734375" style="319" customWidth="1"/>
    <col min="2" max="2" width="5" style="319" customWidth="1"/>
    <col min="3" max="3" width="63.6640625" style="319" customWidth="1"/>
    <col min="4" max="4" width="19" style="319" customWidth="1"/>
    <col min="5" max="5" width="1.5546875" style="319" customWidth="1"/>
    <col min="6" max="6" width="21.21875" style="319" bestFit="1" customWidth="1"/>
    <col min="7" max="16384" width="8.88671875" style="319"/>
  </cols>
  <sheetData>
    <row r="1" spans="1:9" ht="20.25" customHeight="1">
      <c r="B1" s="997" t="str">
        <f>Coversheet!B3</f>
        <v>Rochester Public Utilities</v>
      </c>
      <c r="C1" s="997"/>
      <c r="D1" s="997"/>
      <c r="E1" s="678"/>
      <c r="F1" s="335"/>
      <c r="G1" s="335"/>
      <c r="H1" s="335"/>
      <c r="I1" s="335"/>
    </row>
    <row r="2" spans="1:9" ht="20.25" customHeight="1">
      <c r="B2" s="997" t="s">
        <v>944</v>
      </c>
      <c r="C2" s="997"/>
      <c r="D2" s="997"/>
      <c r="E2" s="678"/>
      <c r="F2" s="335"/>
      <c r="G2" s="335"/>
      <c r="H2" s="335"/>
      <c r="I2" s="335"/>
    </row>
    <row r="3" spans="1:9" ht="15.75">
      <c r="B3" s="989" t="str">
        <f>IF('Att O_RPU'!$I$19&gt;0.5,CONCATENATE("FLTY Forecast for 12 Months Ended December 31, ",'Att O_RPU'!E318),CONCATENATE("True-up Actual for 12 Months Ended December 31, ",'Att O_RPU'!E318))</f>
        <v>True-up Actual for 12 Months Ended December 31, 2015</v>
      </c>
      <c r="C3" s="989"/>
      <c r="D3" s="989"/>
      <c r="E3" s="732"/>
      <c r="F3" s="347"/>
      <c r="G3" s="347"/>
      <c r="H3" s="347"/>
    </row>
    <row r="4" spans="1:9" ht="15.75">
      <c r="A4" s="345"/>
      <c r="B4" s="335"/>
      <c r="D4" s="734"/>
      <c r="E4" s="689"/>
      <c r="F4" s="689"/>
    </row>
    <row r="5" spans="1:9" ht="15.75">
      <c r="A5" s="335"/>
      <c r="B5" s="335"/>
      <c r="C5" s="678"/>
      <c r="D5" s="689"/>
      <c r="E5" s="689"/>
      <c r="F5" s="689"/>
      <c r="G5" s="335"/>
      <c r="H5" s="335"/>
    </row>
    <row r="6" spans="1:9" ht="15.75">
      <c r="A6" s="335"/>
      <c r="B6" s="687" t="s">
        <v>4</v>
      </c>
      <c r="D6" s="690" t="s">
        <v>622</v>
      </c>
      <c r="E6" s="689"/>
      <c r="F6" s="696"/>
      <c r="G6" s="335"/>
      <c r="H6" s="335"/>
    </row>
    <row r="7" spans="1:9" ht="15.75">
      <c r="A7" s="335"/>
      <c r="B7" s="688" t="s">
        <v>6</v>
      </c>
      <c r="C7" s="762" t="s">
        <v>622</v>
      </c>
      <c r="D7" s="691" t="s">
        <v>623</v>
      </c>
      <c r="E7" s="676"/>
      <c r="F7" s="689"/>
      <c r="G7" s="335"/>
      <c r="H7" s="335"/>
    </row>
    <row r="8" spans="1:9" ht="15.75">
      <c r="A8" s="335"/>
      <c r="B8" s="687"/>
      <c r="C8" s="689"/>
      <c r="D8" s="689"/>
      <c r="E8" s="689"/>
      <c r="F8" s="689"/>
      <c r="G8" s="335"/>
      <c r="H8" s="335"/>
    </row>
    <row r="9" spans="1:9" ht="15.75">
      <c r="A9" s="335"/>
      <c r="B9" s="687">
        <v>1</v>
      </c>
      <c r="C9" s="689" t="s">
        <v>948</v>
      </c>
      <c r="D9" s="763">
        <f>49993.13-3875.4</f>
        <v>46117.729999999996</v>
      </c>
      <c r="E9" s="689"/>
      <c r="F9" s="689"/>
      <c r="G9" s="335"/>
      <c r="H9" s="335"/>
    </row>
    <row r="10" spans="1:9" ht="15.75">
      <c r="A10" s="335"/>
      <c r="B10" s="687">
        <f>+B9+1</f>
        <v>2</v>
      </c>
      <c r="C10" s="689" t="s">
        <v>949</v>
      </c>
      <c r="D10" s="764">
        <f>187453.01-3310.98</f>
        <v>184142.03</v>
      </c>
      <c r="E10" s="689"/>
      <c r="F10" s="689"/>
      <c r="G10" s="335"/>
      <c r="H10" s="335"/>
    </row>
    <row r="11" spans="1:9" ht="15.75">
      <c r="A11" s="335"/>
      <c r="B11" s="687">
        <f t="shared" ref="B11:B18" si="0">+B10+1</f>
        <v>3</v>
      </c>
      <c r="C11" s="689" t="s">
        <v>624</v>
      </c>
      <c r="D11" s="764">
        <v>0</v>
      </c>
      <c r="E11" s="689"/>
      <c r="F11" s="689"/>
      <c r="G11" s="335"/>
      <c r="H11" s="335"/>
    </row>
    <row r="12" spans="1:9" ht="15.75">
      <c r="A12" s="335"/>
      <c r="B12" s="687">
        <f t="shared" si="0"/>
        <v>4</v>
      </c>
      <c r="C12" s="689" t="s">
        <v>625</v>
      </c>
      <c r="D12" s="764">
        <v>0</v>
      </c>
      <c r="E12" s="689"/>
      <c r="F12" s="689"/>
      <c r="G12" s="335"/>
      <c r="H12" s="335"/>
    </row>
    <row r="13" spans="1:9" ht="15.75">
      <c r="A13" s="335"/>
      <c r="B13" s="687">
        <f t="shared" si="0"/>
        <v>5</v>
      </c>
      <c r="C13" s="689" t="s">
        <v>626</v>
      </c>
      <c r="D13" s="764">
        <v>0</v>
      </c>
      <c r="E13" s="689"/>
      <c r="F13" s="689"/>
      <c r="G13" s="335"/>
      <c r="H13" s="335"/>
    </row>
    <row r="14" spans="1:9" ht="15.75">
      <c r="A14" s="335"/>
      <c r="B14" s="687">
        <f t="shared" si="0"/>
        <v>6</v>
      </c>
      <c r="C14" s="689" t="s">
        <v>627</v>
      </c>
      <c r="D14" s="764">
        <v>1325488.3899999999</v>
      </c>
      <c r="E14" s="689"/>
      <c r="F14" s="689"/>
      <c r="G14" s="335"/>
      <c r="H14" s="335"/>
    </row>
    <row r="15" spans="1:9" ht="15.75">
      <c r="A15" s="335"/>
      <c r="B15" s="858" t="s">
        <v>632</v>
      </c>
      <c r="C15" s="689" t="s">
        <v>969</v>
      </c>
      <c r="D15" s="764">
        <v>-9763.94</v>
      </c>
      <c r="E15" s="689"/>
      <c r="F15" s="689"/>
      <c r="G15" s="335"/>
      <c r="H15" s="335"/>
    </row>
    <row r="16" spans="1:9" ht="15.75">
      <c r="A16" s="335"/>
      <c r="B16" s="687">
        <f>+B14+1</f>
        <v>7</v>
      </c>
      <c r="C16" s="689" t="s">
        <v>628</v>
      </c>
      <c r="D16" s="764">
        <v>0</v>
      </c>
      <c r="E16" s="689"/>
      <c r="F16" s="697"/>
      <c r="G16" s="335"/>
      <c r="H16" s="335"/>
    </row>
    <row r="17" spans="1:8" ht="15.75">
      <c r="A17" s="335"/>
      <c r="B17" s="687">
        <f t="shared" si="0"/>
        <v>8</v>
      </c>
      <c r="C17" s="689" t="s">
        <v>874</v>
      </c>
      <c r="D17" s="764">
        <v>0</v>
      </c>
      <c r="E17" s="689"/>
      <c r="F17" s="697"/>
      <c r="G17" s="335"/>
      <c r="H17" s="335"/>
    </row>
    <row r="18" spans="1:8" ht="15.75">
      <c r="A18" s="335"/>
      <c r="B18" s="687">
        <f t="shared" si="0"/>
        <v>9</v>
      </c>
      <c r="C18" s="676" t="s">
        <v>1021</v>
      </c>
      <c r="D18" s="764">
        <v>0</v>
      </c>
      <c r="E18" s="689"/>
      <c r="F18" s="697"/>
      <c r="G18" s="335"/>
      <c r="H18" s="335"/>
    </row>
    <row r="19" spans="1:8" ht="15.75">
      <c r="A19" s="335"/>
      <c r="B19" s="335"/>
      <c r="C19" s="689" t="s">
        <v>1022</v>
      </c>
      <c r="D19" s="692">
        <f>SUM(D9:D18)</f>
        <v>1545984.21</v>
      </c>
      <c r="E19" s="689"/>
      <c r="F19" s="697"/>
      <c r="G19" s="335"/>
      <c r="H19" s="335"/>
    </row>
    <row r="20" spans="1:8" ht="15.75">
      <c r="A20" s="335"/>
      <c r="B20" s="335"/>
      <c r="C20" s="335"/>
      <c r="D20" s="693"/>
      <c r="E20" s="689"/>
      <c r="F20" s="697"/>
      <c r="G20" s="335"/>
      <c r="H20" s="335"/>
    </row>
    <row r="21" spans="1:8" ht="15.75">
      <c r="A21" s="335"/>
      <c r="C21" s="335"/>
      <c r="D21" s="694"/>
      <c r="E21" s="689"/>
      <c r="F21" s="697"/>
      <c r="G21" s="335"/>
      <c r="H21" s="335"/>
    </row>
    <row r="22" spans="1:8" ht="15.75">
      <c r="A22" s="348"/>
      <c r="B22" s="348">
        <f>B18+1</f>
        <v>10</v>
      </c>
      <c r="C22" s="349" t="s">
        <v>126</v>
      </c>
      <c r="D22" s="694">
        <f>D19</f>
        <v>1545984.21</v>
      </c>
      <c r="E22" s="689"/>
      <c r="F22" s="760" t="s">
        <v>1002</v>
      </c>
      <c r="G22" s="335"/>
      <c r="H22" s="335"/>
    </row>
    <row r="23" spans="1:8" ht="15.75">
      <c r="A23" s="348"/>
      <c r="B23" s="687">
        <f t="shared" ref="B23:B26" si="1">+B22+1</f>
        <v>11</v>
      </c>
      <c r="C23" s="350" t="s">
        <v>629</v>
      </c>
      <c r="D23" s="694">
        <f>D10+D11+D12+D13+D18</f>
        <v>184142.03</v>
      </c>
      <c r="E23" s="689"/>
      <c r="F23" s="760" t="s">
        <v>630</v>
      </c>
      <c r="G23" s="335"/>
      <c r="H23" s="335"/>
    </row>
    <row r="24" spans="1:8" ht="15.75">
      <c r="A24" s="351"/>
      <c r="B24" s="687">
        <f t="shared" si="1"/>
        <v>12</v>
      </c>
      <c r="C24" s="352" t="s">
        <v>278</v>
      </c>
      <c r="D24" s="694">
        <f>D14+D15</f>
        <v>1315724.45</v>
      </c>
      <c r="E24" s="689"/>
      <c r="F24" s="760" t="s">
        <v>1003</v>
      </c>
      <c r="G24" s="335"/>
      <c r="H24" s="335"/>
    </row>
    <row r="25" spans="1:8" ht="15.75">
      <c r="A25" s="351"/>
      <c r="B25" s="687">
        <f t="shared" si="1"/>
        <v>13</v>
      </c>
      <c r="C25" s="352" t="s">
        <v>279</v>
      </c>
      <c r="D25" s="694">
        <f>D16</f>
        <v>0</v>
      </c>
      <c r="E25" s="689"/>
      <c r="F25" s="760" t="s">
        <v>1004</v>
      </c>
      <c r="G25" s="335"/>
      <c r="H25" s="335"/>
    </row>
    <row r="26" spans="1:8" ht="15.75">
      <c r="A26" s="348"/>
      <c r="B26" s="687">
        <f t="shared" si="1"/>
        <v>14</v>
      </c>
      <c r="C26" s="352" t="s">
        <v>631</v>
      </c>
      <c r="D26" s="695">
        <f>D22-D23-D24-D25</f>
        <v>46117.729999999981</v>
      </c>
      <c r="E26" s="689"/>
      <c r="F26" s="760" t="s">
        <v>1005</v>
      </c>
      <c r="G26" s="335"/>
      <c r="H26" s="335"/>
    </row>
    <row r="29" spans="1:8" ht="15.75">
      <c r="C29" s="998" t="s">
        <v>909</v>
      </c>
      <c r="D29" s="998"/>
    </row>
    <row r="30" spans="1:8" ht="15.75">
      <c r="C30" s="765" t="s">
        <v>950</v>
      </c>
      <c r="D30" s="676"/>
    </row>
    <row r="31" spans="1:8" ht="15.75">
      <c r="C31" s="765" t="s">
        <v>951</v>
      </c>
      <c r="D31" s="676"/>
    </row>
    <row r="32" spans="1:8" ht="15.75">
      <c r="C32" s="765" t="s">
        <v>952</v>
      </c>
      <c r="D32" s="676"/>
    </row>
    <row r="33" spans="3:4" ht="31.5" customHeight="1">
      <c r="C33" s="999" t="s">
        <v>1025</v>
      </c>
      <c r="D33" s="999"/>
    </row>
    <row r="34" spans="3:4" ht="15.75">
      <c r="C34" s="676" t="s">
        <v>1026</v>
      </c>
    </row>
    <row r="36" spans="3:4" ht="15.75">
      <c r="C36" s="676" t="s">
        <v>1027</v>
      </c>
      <c r="D36" s="892">
        <f>D19</f>
        <v>1545984.21</v>
      </c>
    </row>
    <row r="37" spans="3:4" ht="15.75">
      <c r="C37" s="765" t="s">
        <v>1023</v>
      </c>
      <c r="D37" s="764">
        <v>71670.539999999994</v>
      </c>
    </row>
    <row r="38" spans="3:4" ht="16.5" thickBot="1">
      <c r="C38" s="676" t="s">
        <v>1024</v>
      </c>
      <c r="D38" s="893">
        <f>D36+D37</f>
        <v>1617654.75</v>
      </c>
    </row>
    <row r="39" spans="3:4" ht="15.75" thickTop="1"/>
    <row r="44" spans="3:4" ht="15.75">
      <c r="C44" s="689"/>
    </row>
  </sheetData>
  <mergeCells count="5">
    <mergeCell ref="B1:D1"/>
    <mergeCell ref="B2:D2"/>
    <mergeCell ref="B3:D3"/>
    <mergeCell ref="C29:D29"/>
    <mergeCell ref="C33:D33"/>
  </mergeCells>
  <pageMargins left="0.45" right="0.45" top="0.75" bottom="0.5" header="0.3" footer="0.3"/>
  <pageSetup scale="92" orientation="portrait" r:id="rId1"/>
  <headerFooter>
    <oddHeader>&amp;L&amp;"Arial MT,Bold"Rochester Public Utilities
2015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zoomScale="80" zoomScaleNormal="80" zoomScaleSheetLayoutView="70" workbookViewId="0"/>
  </sheetViews>
  <sheetFormatPr defaultColWidth="8.88671875" defaultRowHeight="12.75"/>
  <cols>
    <col min="1" max="1" width="6" style="382" customWidth="1"/>
    <col min="2" max="2" width="1.44140625" style="382" customWidth="1"/>
    <col min="3" max="3" width="39.109375" style="382" customWidth="1"/>
    <col min="4" max="4" width="12" style="382" customWidth="1"/>
    <col min="5" max="5" width="14.44140625" style="382" customWidth="1"/>
    <col min="6" max="6" width="11.88671875" style="382" customWidth="1"/>
    <col min="7" max="7" width="14.109375" style="382" customWidth="1"/>
    <col min="8" max="8" width="13.88671875" style="382" customWidth="1"/>
    <col min="9" max="10" width="12.77734375" style="382" customWidth="1"/>
    <col min="11" max="11" width="13.5546875" style="382" customWidth="1"/>
    <col min="12" max="12" width="16" style="382" customWidth="1"/>
    <col min="13" max="13" width="12.77734375" style="382" customWidth="1"/>
    <col min="14" max="14" width="23.5546875" style="382" customWidth="1"/>
    <col min="15" max="15" width="1.88671875" style="382" customWidth="1"/>
    <col min="16" max="16" width="13" style="382" customWidth="1"/>
    <col min="17" max="17" width="8.88671875" style="382"/>
    <col min="18" max="18" width="16.88671875" style="382" customWidth="1"/>
    <col min="19" max="16384" width="8.88671875" style="382"/>
  </cols>
  <sheetData>
    <row r="1" spans="1:65">
      <c r="N1" s="383"/>
    </row>
    <row r="2" spans="1:65">
      <c r="N2" s="383"/>
    </row>
    <row r="4" spans="1:65" ht="18">
      <c r="N4" s="471" t="s">
        <v>766</v>
      </c>
    </row>
    <row r="5" spans="1:65" ht="15">
      <c r="C5" s="384" t="s">
        <v>687</v>
      </c>
      <c r="D5" s="384"/>
      <c r="E5" s="384"/>
      <c r="F5" s="384"/>
      <c r="G5" s="385" t="s">
        <v>688</v>
      </c>
      <c r="H5" s="384"/>
      <c r="I5" s="384"/>
      <c r="J5" s="384"/>
      <c r="K5" s="386"/>
      <c r="M5" s="387"/>
      <c r="N5" s="388" t="s">
        <v>689</v>
      </c>
      <c r="O5" s="389"/>
      <c r="P5" s="390"/>
      <c r="Q5" s="390"/>
      <c r="R5" s="389"/>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row>
    <row r="6" spans="1:65" ht="15">
      <c r="C6" s="384"/>
      <c r="D6" s="384"/>
      <c r="E6" s="392" t="s">
        <v>2</v>
      </c>
      <c r="F6" s="392"/>
      <c r="G6" s="392" t="s">
        <v>690</v>
      </c>
      <c r="H6" s="392"/>
      <c r="I6" s="392"/>
      <c r="J6" s="392"/>
      <c r="K6" s="386"/>
      <c r="M6" s="387"/>
      <c r="N6" s="386"/>
      <c r="O6" s="389"/>
      <c r="P6" s="393"/>
      <c r="Q6" s="390"/>
      <c r="R6" s="389"/>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row>
    <row r="7" spans="1:65" ht="15">
      <c r="C7" s="387"/>
      <c r="D7" s="387"/>
      <c r="E7" s="387"/>
      <c r="F7" s="387"/>
      <c r="G7" s="387"/>
      <c r="H7" s="387"/>
      <c r="I7" s="387"/>
      <c r="J7" s="387"/>
      <c r="K7" s="387"/>
      <c r="M7" s="387"/>
      <c r="N7" s="387" t="s">
        <v>691</v>
      </c>
      <c r="O7" s="389"/>
      <c r="P7" s="390"/>
      <c r="Q7" s="390"/>
      <c r="R7" s="389"/>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row>
    <row r="8" spans="1:65" ht="15">
      <c r="A8" s="394"/>
      <c r="C8" s="387"/>
      <c r="D8" s="387"/>
      <c r="E8" s="387"/>
      <c r="F8" s="387"/>
      <c r="G8" s="398" t="s">
        <v>638</v>
      </c>
      <c r="H8" s="387"/>
      <c r="I8" s="387"/>
      <c r="J8" s="387"/>
      <c r="K8" s="387"/>
      <c r="L8" s="387"/>
      <c r="M8" s="387"/>
      <c r="N8" s="387"/>
      <c r="O8" s="389"/>
      <c r="P8" s="390"/>
      <c r="Q8" s="390"/>
      <c r="R8" s="389"/>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row>
    <row r="9" spans="1:65" ht="15">
      <c r="A9" s="394"/>
      <c r="C9" s="387"/>
      <c r="D9" s="387"/>
      <c r="E9" s="387"/>
      <c r="F9" s="387"/>
      <c r="G9" s="395"/>
      <c r="H9" s="387"/>
      <c r="I9" s="387"/>
      <c r="J9" s="387"/>
      <c r="K9" s="387"/>
      <c r="L9" s="387"/>
      <c r="M9" s="387"/>
      <c r="N9" s="387"/>
      <c r="O9" s="389"/>
      <c r="P9" s="390"/>
      <c r="Q9" s="390"/>
      <c r="R9" s="389"/>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row>
    <row r="10" spans="1:65" ht="15">
      <c r="A10" s="394"/>
      <c r="C10" s="387" t="s">
        <v>778</v>
      </c>
      <c r="D10" s="387"/>
      <c r="E10" s="387"/>
      <c r="F10" s="387"/>
      <c r="G10" s="395"/>
      <c r="H10" s="387"/>
      <c r="I10" s="387"/>
      <c r="J10" s="387"/>
      <c r="K10" s="387"/>
      <c r="L10" s="387"/>
      <c r="M10" s="387"/>
      <c r="N10" s="387"/>
      <c r="O10" s="389"/>
      <c r="P10" s="390"/>
      <c r="Q10" s="390"/>
      <c r="R10" s="389"/>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row>
    <row r="11" spans="1:65" ht="15">
      <c r="A11" s="394"/>
      <c r="C11" s="387"/>
      <c r="D11" s="387"/>
      <c r="E11" s="387"/>
      <c r="F11" s="387"/>
      <c r="G11" s="395"/>
      <c r="L11" s="387"/>
      <c r="M11" s="387"/>
      <c r="N11" s="387"/>
      <c r="O11" s="389"/>
      <c r="P11" s="389"/>
      <c r="Q11" s="389"/>
      <c r="R11" s="389"/>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row>
    <row r="12" spans="1:65" ht="15">
      <c r="A12" s="394"/>
      <c r="C12" s="387"/>
      <c r="D12" s="387"/>
      <c r="E12" s="387"/>
      <c r="F12" s="387"/>
      <c r="G12" s="387"/>
      <c r="L12" s="396"/>
      <c r="M12" s="387"/>
      <c r="N12" s="387"/>
      <c r="O12" s="389"/>
      <c r="P12" s="389"/>
      <c r="Q12" s="389"/>
      <c r="R12" s="389"/>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row>
    <row r="13" spans="1:65" ht="15">
      <c r="C13" s="397" t="s">
        <v>33</v>
      </c>
      <c r="D13" s="397"/>
      <c r="E13" s="397" t="s">
        <v>34</v>
      </c>
      <c r="F13" s="397"/>
      <c r="G13" s="397" t="s">
        <v>35</v>
      </c>
      <c r="L13" s="398" t="s">
        <v>36</v>
      </c>
      <c r="M13" s="392"/>
      <c r="N13" s="398"/>
      <c r="O13" s="399"/>
      <c r="P13" s="398"/>
      <c r="Q13" s="399"/>
      <c r="R13" s="400"/>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row>
    <row r="14" spans="1:65" ht="15.75">
      <c r="C14" s="401"/>
      <c r="D14" s="401"/>
      <c r="E14" s="402" t="s">
        <v>692</v>
      </c>
      <c r="F14" s="402"/>
      <c r="G14" s="392"/>
      <c r="M14" s="392"/>
      <c r="O14" s="399"/>
      <c r="P14" s="403"/>
      <c r="Q14" s="403"/>
      <c r="R14" s="400"/>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row>
    <row r="15" spans="1:65" ht="15.75">
      <c r="A15" s="575" t="s">
        <v>4</v>
      </c>
      <c r="C15" s="401"/>
      <c r="D15" s="401"/>
      <c r="E15" s="404" t="s">
        <v>693</v>
      </c>
      <c r="F15" s="404"/>
      <c r="G15" s="405" t="s">
        <v>39</v>
      </c>
      <c r="L15" s="405" t="s">
        <v>10</v>
      </c>
      <c r="M15" s="392"/>
      <c r="O15" s="389"/>
      <c r="P15" s="406"/>
      <c r="Q15" s="403"/>
      <c r="R15" s="400"/>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row>
    <row r="16" spans="1:65" ht="15.75">
      <c r="A16" s="575" t="s">
        <v>6</v>
      </c>
      <c r="C16" s="407"/>
      <c r="D16" s="407"/>
      <c r="E16" s="392"/>
      <c r="F16" s="392"/>
      <c r="G16" s="392"/>
      <c r="L16" s="392"/>
      <c r="M16" s="392"/>
      <c r="N16" s="392"/>
      <c r="O16" s="389"/>
      <c r="P16" s="399"/>
      <c r="Q16" s="399"/>
      <c r="R16" s="400"/>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row>
    <row r="17" spans="1:65" ht="15.75">
      <c r="A17" s="408"/>
      <c r="C17" s="401"/>
      <c r="D17" s="401"/>
      <c r="E17" s="392"/>
      <c r="F17" s="392"/>
      <c r="G17" s="392"/>
      <c r="L17" s="392"/>
      <c r="M17" s="392"/>
      <c r="N17" s="392"/>
      <c r="O17" s="389"/>
      <c r="P17" s="399"/>
      <c r="Q17" s="399"/>
      <c r="R17" s="400"/>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row>
    <row r="18" spans="1:65" ht="15">
      <c r="A18" s="409">
        <v>1</v>
      </c>
      <c r="C18" s="401" t="s">
        <v>694</v>
      </c>
      <c r="D18" s="401"/>
      <c r="E18" s="409" t="s">
        <v>695</v>
      </c>
      <c r="F18" s="409"/>
      <c r="G18" s="392">
        <f>'Att O_RPU'!I66</f>
        <v>27641775.609398756</v>
      </c>
      <c r="M18" s="392"/>
      <c r="N18" s="392"/>
      <c r="O18" s="389"/>
      <c r="P18" s="399"/>
      <c r="Q18" s="399"/>
      <c r="R18" s="400"/>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row>
    <row r="19" spans="1:65" ht="15">
      <c r="A19" s="409">
        <v>2</v>
      </c>
      <c r="C19" s="401" t="s">
        <v>696</v>
      </c>
      <c r="D19" s="401"/>
      <c r="E19" s="409" t="s">
        <v>697</v>
      </c>
      <c r="F19" s="409"/>
      <c r="G19" s="545">
        <f>'Att O_RPU'!I82</f>
        <v>16977113.628150698</v>
      </c>
      <c r="M19" s="392"/>
      <c r="N19" s="392"/>
      <c r="O19" s="389"/>
      <c r="P19" s="399"/>
      <c r="Q19" s="399"/>
      <c r="R19" s="400"/>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row>
    <row r="20" spans="1:65" ht="15">
      <c r="A20" s="409"/>
      <c r="E20" s="409"/>
      <c r="F20" s="409"/>
      <c r="M20" s="392"/>
      <c r="N20" s="392"/>
      <c r="O20" s="389"/>
      <c r="P20" s="399"/>
      <c r="Q20" s="399"/>
      <c r="R20" s="400"/>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row>
    <row r="21" spans="1:65" ht="15">
      <c r="A21" s="409"/>
      <c r="C21" s="401" t="s">
        <v>698</v>
      </c>
      <c r="D21" s="401"/>
      <c r="E21" s="409"/>
      <c r="F21" s="409"/>
      <c r="G21" s="392"/>
      <c r="L21" s="392"/>
      <c r="M21" s="392"/>
      <c r="N21" s="392"/>
      <c r="O21" s="399"/>
      <c r="P21" s="399"/>
      <c r="Q21" s="399"/>
      <c r="R21" s="400"/>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row>
    <row r="22" spans="1:65" ht="15">
      <c r="A22" s="409">
        <v>3</v>
      </c>
      <c r="C22" s="401" t="s">
        <v>699</v>
      </c>
      <c r="D22" s="401"/>
      <c r="E22" s="409" t="s">
        <v>700</v>
      </c>
      <c r="F22" s="409"/>
      <c r="G22" s="392">
        <f>'Att O_RPU'!I140</f>
        <v>1875422.8790542146</v>
      </c>
      <c r="M22" s="392"/>
      <c r="N22" s="392"/>
      <c r="O22" s="399"/>
      <c r="P22" s="399"/>
      <c r="Q22" s="399"/>
      <c r="R22" s="400"/>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row>
    <row r="23" spans="1:65" ht="15.75">
      <c r="A23" s="409">
        <v>4</v>
      </c>
      <c r="C23" s="401" t="s">
        <v>701</v>
      </c>
      <c r="D23" s="401"/>
      <c r="E23" s="409" t="s">
        <v>702</v>
      </c>
      <c r="F23" s="409"/>
      <c r="G23" s="410">
        <f>IF(G22=0,0,G22/G18)</f>
        <v>6.7847409860911159E-2</v>
      </c>
      <c r="L23" s="411">
        <f>G23</f>
        <v>6.7847409860911159E-2</v>
      </c>
      <c r="M23" s="392"/>
      <c r="N23" s="412"/>
      <c r="O23" s="413"/>
      <c r="P23" s="414"/>
      <c r="Q23" s="399"/>
      <c r="R23" s="400"/>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row>
    <row r="24" spans="1:65" ht="15.75">
      <c r="A24" s="409"/>
      <c r="C24" s="401"/>
      <c r="D24" s="401"/>
      <c r="E24" s="409"/>
      <c r="F24" s="409"/>
      <c r="G24" s="410"/>
      <c r="L24" s="411"/>
      <c r="M24" s="392"/>
      <c r="N24" s="412"/>
      <c r="O24" s="413"/>
      <c r="P24" s="414"/>
      <c r="Q24" s="399"/>
      <c r="R24" s="400"/>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row>
    <row r="25" spans="1:65" ht="15.75">
      <c r="A25" s="398"/>
      <c r="B25" s="391"/>
      <c r="C25" s="401" t="s">
        <v>703</v>
      </c>
      <c r="D25" s="401"/>
      <c r="E25" s="416"/>
      <c r="F25" s="416"/>
      <c r="G25" s="392"/>
      <c r="H25" s="391"/>
      <c r="I25" s="391"/>
      <c r="J25" s="391"/>
      <c r="K25" s="391"/>
      <c r="L25" s="392"/>
      <c r="M25" s="392"/>
      <c r="N25" s="412"/>
      <c r="O25" s="413"/>
      <c r="P25" s="414"/>
      <c r="Q25" s="399"/>
      <c r="R25" s="400"/>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row>
    <row r="26" spans="1:65" ht="15.75">
      <c r="A26" s="398" t="s">
        <v>704</v>
      </c>
      <c r="B26" s="391"/>
      <c r="C26" s="401" t="s">
        <v>705</v>
      </c>
      <c r="D26" s="401"/>
      <c r="E26" s="409" t="s">
        <v>706</v>
      </c>
      <c r="F26" s="409"/>
      <c r="G26" s="392">
        <f>'Att O_RPU'!I144+'Att O_RPU'!I145</f>
        <v>162415.40459326454</v>
      </c>
      <c r="H26" s="391"/>
      <c r="I26" s="391"/>
      <c r="J26" s="391"/>
      <c r="K26" s="391"/>
      <c r="L26" s="391"/>
      <c r="M26" s="392"/>
      <c r="N26" s="412"/>
      <c r="O26" s="413"/>
      <c r="P26" s="414"/>
      <c r="Q26" s="399"/>
      <c r="R26" s="400"/>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row>
    <row r="27" spans="1:65" ht="15.75">
      <c r="A27" s="398" t="s">
        <v>707</v>
      </c>
      <c r="B27" s="391"/>
      <c r="C27" s="401" t="s">
        <v>708</v>
      </c>
      <c r="D27" s="401"/>
      <c r="E27" s="409" t="s">
        <v>709</v>
      </c>
      <c r="F27" s="409"/>
      <c r="G27" s="410">
        <f>IF(G26=0,0,G26/G18)</f>
        <v>5.875722561688116E-3</v>
      </c>
      <c r="H27" s="391"/>
      <c r="I27" s="391"/>
      <c r="J27" s="391"/>
      <c r="K27" s="391"/>
      <c r="L27" s="411">
        <f>G27</f>
        <v>5.875722561688116E-3</v>
      </c>
      <c r="M27" s="392"/>
      <c r="N27" s="412"/>
      <c r="O27" s="413"/>
      <c r="P27" s="414"/>
      <c r="Q27" s="399"/>
      <c r="R27" s="400"/>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row>
    <row r="28" spans="1:65" ht="15.75">
      <c r="A28" s="409"/>
      <c r="C28" s="401"/>
      <c r="D28" s="401"/>
      <c r="E28" s="409"/>
      <c r="F28" s="409"/>
      <c r="G28" s="410"/>
      <c r="L28" s="411"/>
      <c r="M28" s="392"/>
      <c r="N28" s="412"/>
      <c r="O28" s="413"/>
      <c r="P28" s="414"/>
      <c r="Q28" s="399"/>
      <c r="R28" s="400"/>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row>
    <row r="29" spans="1:65" ht="15">
      <c r="A29" s="398"/>
      <c r="C29" s="401" t="s">
        <v>710</v>
      </c>
      <c r="D29" s="401"/>
      <c r="E29" s="416"/>
      <c r="F29" s="416"/>
      <c r="G29" s="392"/>
      <c r="L29" s="392"/>
      <c r="M29" s="392"/>
      <c r="N29" s="392"/>
      <c r="O29" s="399"/>
      <c r="P29" s="392"/>
      <c r="Q29" s="399"/>
      <c r="R29" s="400"/>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row>
    <row r="30" spans="1:65" ht="15.75">
      <c r="A30" s="398" t="s">
        <v>711</v>
      </c>
      <c r="C30" s="401" t="s">
        <v>712</v>
      </c>
      <c r="D30" s="401"/>
      <c r="E30" s="409" t="s">
        <v>713</v>
      </c>
      <c r="F30" s="409"/>
      <c r="G30" s="392">
        <f>'Att O_RPU'!I157</f>
        <v>864873.45239860564</v>
      </c>
      <c r="M30" s="392"/>
      <c r="N30" s="417"/>
      <c r="O30" s="399"/>
      <c r="P30" s="418"/>
      <c r="Q30" s="403"/>
      <c r="R30" s="400"/>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row>
    <row r="31" spans="1:65" ht="15.75">
      <c r="A31" s="398" t="s">
        <v>714</v>
      </c>
      <c r="C31" s="401" t="s">
        <v>715</v>
      </c>
      <c r="D31" s="401"/>
      <c r="E31" s="409" t="s">
        <v>716</v>
      </c>
      <c r="F31" s="409"/>
      <c r="G31" s="410">
        <f>IF(G30=0,0,G30/G18)</f>
        <v>3.1288635890110161E-2</v>
      </c>
      <c r="L31" s="411">
        <f>G31</f>
        <v>3.1288635890110161E-2</v>
      </c>
      <c r="M31" s="392"/>
      <c r="N31" s="412"/>
      <c r="O31" s="399"/>
      <c r="P31" s="414"/>
      <c r="Q31" s="403"/>
      <c r="R31" s="400"/>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row>
    <row r="32" spans="1:65" ht="15">
      <c r="A32" s="398"/>
      <c r="C32" s="401"/>
      <c r="D32" s="401"/>
      <c r="E32" s="409"/>
      <c r="F32" s="409"/>
      <c r="G32" s="392"/>
      <c r="L32" s="392"/>
      <c r="M32" s="392"/>
      <c r="Q32" s="399"/>
      <c r="R32" s="400"/>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row>
    <row r="33" spans="1:65" ht="15.75">
      <c r="A33" s="419" t="s">
        <v>717</v>
      </c>
      <c r="B33" s="420"/>
      <c r="C33" s="407" t="s">
        <v>718</v>
      </c>
      <c r="D33" s="407"/>
      <c r="E33" s="402" t="s">
        <v>719</v>
      </c>
      <c r="F33" s="402"/>
      <c r="G33" s="421"/>
      <c r="L33" s="422">
        <f>L23+L27+L31</f>
        <v>0.10501176831270943</v>
      </c>
      <c r="M33" s="392"/>
      <c r="Q33" s="399"/>
      <c r="R33" s="400"/>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row>
    <row r="34" spans="1:65" ht="15">
      <c r="A34" s="398"/>
      <c r="C34" s="401"/>
      <c r="D34" s="401"/>
      <c r="E34" s="409"/>
      <c r="F34" s="409"/>
      <c r="G34" s="392"/>
      <c r="L34" s="392"/>
      <c r="M34" s="392"/>
      <c r="N34" s="392"/>
      <c r="O34" s="399"/>
      <c r="P34" s="423"/>
      <c r="Q34" s="399"/>
      <c r="R34" s="400"/>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row>
    <row r="35" spans="1:65" ht="15">
      <c r="A35" s="398"/>
      <c r="B35" s="424"/>
      <c r="C35" s="392" t="s">
        <v>720</v>
      </c>
      <c r="D35" s="392"/>
      <c r="E35" s="409"/>
      <c r="F35" s="409"/>
      <c r="G35" s="392"/>
      <c r="L35" s="392"/>
      <c r="M35" s="425"/>
      <c r="N35" s="424"/>
      <c r="Q35" s="403"/>
      <c r="R35" s="399" t="s">
        <v>2</v>
      </c>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row>
    <row r="36" spans="1:65" ht="15">
      <c r="A36" s="398" t="s">
        <v>721</v>
      </c>
      <c r="B36" s="424"/>
      <c r="C36" s="392" t="s">
        <v>88</v>
      </c>
      <c r="D36" s="392"/>
      <c r="E36" s="409" t="s">
        <v>722</v>
      </c>
      <c r="F36" s="409"/>
      <c r="G36" s="392">
        <f>'Att O_RPU'!I169</f>
        <v>0</v>
      </c>
      <c r="L36" s="392"/>
      <c r="M36" s="425"/>
      <c r="N36" s="424"/>
      <c r="Q36" s="403"/>
      <c r="R36" s="399"/>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row>
    <row r="37" spans="1:65" ht="15">
      <c r="A37" s="398" t="s">
        <v>723</v>
      </c>
      <c r="B37" s="424"/>
      <c r="C37" s="392" t="s">
        <v>724</v>
      </c>
      <c r="D37" s="392"/>
      <c r="E37" s="409" t="s">
        <v>725</v>
      </c>
      <c r="F37" s="409"/>
      <c r="G37" s="410">
        <f>IF(G36=0,0,G36/G19)</f>
        <v>0</v>
      </c>
      <c r="L37" s="411">
        <f>G37</f>
        <v>0</v>
      </c>
      <c r="M37" s="425"/>
      <c r="N37" s="424"/>
      <c r="O37" s="399"/>
      <c r="P37" s="399"/>
      <c r="Q37" s="403"/>
      <c r="R37" s="399"/>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row>
    <row r="38" spans="1:65" ht="15">
      <c r="A38" s="398"/>
      <c r="C38" s="392"/>
      <c r="D38" s="392"/>
      <c r="E38" s="409"/>
      <c r="F38" s="409"/>
      <c r="G38" s="392"/>
      <c r="L38" s="392"/>
      <c r="M38" s="392"/>
      <c r="O38" s="389"/>
      <c r="P38" s="399"/>
      <c r="Q38" s="389"/>
      <c r="R38" s="400"/>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c r="BH38" s="391"/>
      <c r="BI38" s="391"/>
      <c r="BJ38" s="391"/>
      <c r="BK38" s="391"/>
      <c r="BL38" s="391"/>
      <c r="BM38" s="391"/>
    </row>
    <row r="39" spans="1:65" ht="15">
      <c r="A39" s="398"/>
      <c r="C39" s="401" t="s">
        <v>89</v>
      </c>
      <c r="D39" s="401"/>
      <c r="E39" s="426"/>
      <c r="F39" s="426"/>
      <c r="M39" s="392"/>
      <c r="O39" s="399"/>
      <c r="P39" s="399"/>
      <c r="Q39" s="399"/>
      <c r="R39" s="400"/>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row>
    <row r="40" spans="1:65" ht="15">
      <c r="A40" s="398" t="s">
        <v>726</v>
      </c>
      <c r="C40" s="401" t="s">
        <v>727</v>
      </c>
      <c r="D40" s="401"/>
      <c r="E40" s="409" t="s">
        <v>728</v>
      </c>
      <c r="F40" s="409"/>
      <c r="G40" s="392">
        <f>'Att O_RPU'!I171</f>
        <v>1552522.9084478947</v>
      </c>
      <c r="L40" s="392"/>
      <c r="M40" s="392"/>
      <c r="O40" s="399"/>
      <c r="P40" s="399"/>
      <c r="Q40" s="399"/>
      <c r="R40" s="400"/>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1"/>
      <c r="AZ40" s="391"/>
      <c r="BA40" s="391"/>
      <c r="BB40" s="391"/>
      <c r="BC40" s="391"/>
      <c r="BD40" s="391"/>
      <c r="BE40" s="391"/>
      <c r="BF40" s="391"/>
      <c r="BG40" s="391"/>
      <c r="BH40" s="391"/>
      <c r="BI40" s="391"/>
      <c r="BJ40" s="391"/>
      <c r="BK40" s="391"/>
      <c r="BL40" s="391"/>
      <c r="BM40" s="391"/>
    </row>
    <row r="41" spans="1:65" ht="15">
      <c r="A41" s="398" t="s">
        <v>729</v>
      </c>
      <c r="B41" s="424"/>
      <c r="C41" s="392" t="s">
        <v>730</v>
      </c>
      <c r="D41" s="392"/>
      <c r="E41" s="409" t="s">
        <v>731</v>
      </c>
      <c r="F41" s="409"/>
      <c r="G41" s="427">
        <f>IF(G40=0,0,G40/G19)</f>
        <v>9.1447989478822239E-2</v>
      </c>
      <c r="L41" s="411">
        <f>G41</f>
        <v>9.1447989478822239E-2</v>
      </c>
      <c r="M41" s="392"/>
      <c r="P41" s="428"/>
      <c r="Q41" s="403"/>
      <c r="R41" s="399"/>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row>
    <row r="42" spans="1:65" ht="15">
      <c r="A42" s="398"/>
      <c r="C42" s="401"/>
      <c r="D42" s="401"/>
      <c r="E42" s="409"/>
      <c r="F42" s="409"/>
      <c r="G42" s="392"/>
      <c r="L42" s="392"/>
      <c r="M42" s="392"/>
      <c r="N42" s="426"/>
      <c r="O42" s="399"/>
      <c r="P42" s="399"/>
      <c r="Q42" s="399"/>
      <c r="R42" s="400"/>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1"/>
      <c r="BG42" s="391"/>
      <c r="BH42" s="391"/>
      <c r="BI42" s="391"/>
      <c r="BJ42" s="391"/>
      <c r="BK42" s="391"/>
      <c r="BL42" s="391"/>
      <c r="BM42" s="391"/>
    </row>
    <row r="43" spans="1:65" ht="15.75">
      <c r="A43" s="419" t="s">
        <v>732</v>
      </c>
      <c r="B43" s="420"/>
      <c r="C43" s="407" t="s">
        <v>733</v>
      </c>
      <c r="D43" s="407"/>
      <c r="E43" s="402" t="s">
        <v>734</v>
      </c>
      <c r="F43" s="402"/>
      <c r="G43" s="421"/>
      <c r="L43" s="422">
        <f>L37+L41</f>
        <v>9.1447989478822239E-2</v>
      </c>
      <c r="M43" s="392"/>
      <c r="N43" s="426"/>
      <c r="O43" s="399"/>
      <c r="P43" s="399"/>
      <c r="Q43" s="399"/>
      <c r="R43" s="400"/>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1"/>
      <c r="BK43" s="391"/>
      <c r="BL43" s="391"/>
      <c r="BM43" s="391"/>
    </row>
    <row r="44" spans="1:65" ht="15">
      <c r="M44" s="429"/>
      <c r="N44" s="429"/>
      <c r="O44" s="399"/>
      <c r="P44" s="399"/>
      <c r="Q44" s="399"/>
      <c r="R44" s="400"/>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c r="BH44" s="391"/>
      <c r="BI44" s="391"/>
      <c r="BJ44" s="391"/>
      <c r="BK44" s="391"/>
      <c r="BL44" s="391"/>
      <c r="BM44" s="391"/>
    </row>
    <row r="45" spans="1:65" ht="15">
      <c r="M45" s="429"/>
      <c r="N45" s="429"/>
      <c r="O45" s="399"/>
      <c r="P45" s="399"/>
      <c r="Q45" s="399"/>
      <c r="R45" s="400"/>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c r="BK45" s="391"/>
      <c r="BL45" s="391"/>
      <c r="BM45" s="391"/>
    </row>
    <row r="46" spans="1:65" ht="15">
      <c r="M46" s="429"/>
      <c r="N46" s="429"/>
      <c r="O46" s="399"/>
      <c r="P46" s="399"/>
      <c r="Q46" s="399"/>
      <c r="R46" s="400"/>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row>
    <row r="47" spans="1:65" ht="15">
      <c r="M47" s="387"/>
      <c r="N47" s="387"/>
      <c r="O47" s="400"/>
      <c r="P47" s="400"/>
      <c r="Q47" s="400"/>
      <c r="R47" s="400"/>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row>
    <row r="48" spans="1:65" ht="15">
      <c r="M48" s="392"/>
      <c r="N48" s="392"/>
      <c r="O48" s="399"/>
      <c r="P48" s="389"/>
      <c r="Q48" s="399"/>
      <c r="R48" s="400"/>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row>
    <row r="49" spans="1:65" ht="15.75">
      <c r="M49" s="392"/>
      <c r="N49" s="412"/>
      <c r="O49" s="399"/>
      <c r="P49" s="399"/>
      <c r="Q49" s="418"/>
      <c r="R49" s="399"/>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row>
    <row r="50" spans="1:65" ht="15.75">
      <c r="M50" s="392"/>
      <c r="N50" s="412"/>
      <c r="O50" s="399"/>
      <c r="P50" s="399"/>
      <c r="Q50" s="418"/>
      <c r="R50" s="399"/>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row>
    <row r="51" spans="1:65" ht="15.75">
      <c r="M51" s="392"/>
      <c r="N51" s="412"/>
      <c r="O51" s="399"/>
      <c r="P51" s="399"/>
      <c r="Q51" s="418"/>
      <c r="R51" s="399"/>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row>
    <row r="52" spans="1:65" ht="15.75">
      <c r="A52" s="415"/>
      <c r="B52" s="424"/>
      <c r="C52" s="430"/>
      <c r="D52" s="430"/>
      <c r="E52" s="416"/>
      <c r="F52" s="416"/>
      <c r="G52" s="392"/>
      <c r="H52" s="430"/>
      <c r="I52" s="430"/>
      <c r="J52" s="410"/>
      <c r="K52" s="430"/>
      <c r="L52" s="392"/>
      <c r="M52" s="392"/>
      <c r="N52" s="412"/>
      <c r="O52" s="399"/>
      <c r="P52" s="399"/>
      <c r="Q52" s="418"/>
      <c r="R52" s="399"/>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row>
    <row r="53" spans="1:65" ht="15.75">
      <c r="A53" s="415"/>
      <c r="B53" s="424"/>
      <c r="C53" s="430"/>
      <c r="D53" s="430"/>
      <c r="E53" s="416"/>
      <c r="F53" s="416"/>
      <c r="G53" s="392"/>
      <c r="H53" s="430"/>
      <c r="I53" s="430"/>
      <c r="J53" s="410"/>
      <c r="K53" s="430"/>
      <c r="L53" s="392"/>
      <c r="M53" s="392"/>
      <c r="N53" s="412"/>
      <c r="O53" s="399"/>
      <c r="P53" s="399"/>
      <c r="Q53" s="418"/>
      <c r="R53" s="399"/>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1"/>
      <c r="BK53" s="391"/>
      <c r="BL53" s="391"/>
      <c r="BM53" s="391"/>
    </row>
    <row r="54" spans="1:65" ht="15.75">
      <c r="A54" s="431"/>
      <c r="B54" s="391"/>
      <c r="C54" s="415"/>
      <c r="D54" s="415"/>
      <c r="E54" s="416"/>
      <c r="F54" s="416"/>
      <c r="G54" s="392"/>
      <c r="H54" s="430"/>
      <c r="I54" s="430"/>
      <c r="J54" s="410"/>
      <c r="K54" s="430"/>
      <c r="M54" s="392"/>
      <c r="N54" s="432"/>
      <c r="O54" s="433"/>
      <c r="P54" s="399"/>
      <c r="Q54" s="418"/>
      <c r="R54" s="399"/>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row>
    <row r="55" spans="1:65" ht="15.75">
      <c r="A55" s="431"/>
      <c r="B55" s="391"/>
      <c r="C55" s="415"/>
      <c r="D55" s="415"/>
      <c r="E55" s="416"/>
      <c r="F55" s="416"/>
      <c r="G55" s="392"/>
      <c r="H55" s="430"/>
      <c r="I55" s="430"/>
      <c r="J55" s="410"/>
      <c r="K55" s="430"/>
      <c r="M55" s="392"/>
      <c r="N55" s="412"/>
      <c r="O55" s="433"/>
      <c r="P55" s="399"/>
      <c r="Q55" s="418"/>
      <c r="R55" s="399"/>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c r="BH55" s="391"/>
      <c r="BI55" s="391"/>
      <c r="BJ55" s="391"/>
      <c r="BK55" s="391"/>
      <c r="BL55" s="391"/>
      <c r="BM55" s="391"/>
    </row>
    <row r="56" spans="1:65" ht="15.75">
      <c r="A56" s="434"/>
      <c r="B56" s="391"/>
      <c r="C56" s="415"/>
      <c r="D56" s="415"/>
      <c r="E56" s="416"/>
      <c r="F56" s="416"/>
      <c r="G56" s="392"/>
      <c r="H56" s="430"/>
      <c r="I56" s="430"/>
      <c r="J56" s="410"/>
      <c r="K56" s="430"/>
      <c r="M56" s="392"/>
      <c r="N56" s="412"/>
      <c r="O56" s="433"/>
      <c r="P56" s="399"/>
      <c r="Q56" s="418"/>
      <c r="R56" s="399"/>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row>
    <row r="57" spans="1:65" ht="15">
      <c r="A57" s="394"/>
      <c r="C57" s="430"/>
      <c r="D57" s="430"/>
      <c r="E57" s="430"/>
      <c r="F57" s="430"/>
      <c r="G57" s="392"/>
      <c r="H57" s="430"/>
      <c r="I57" s="430"/>
      <c r="J57" s="430"/>
      <c r="K57" s="430"/>
      <c r="M57" s="392"/>
      <c r="N57" s="392"/>
      <c r="O57" s="399"/>
      <c r="P57" s="399"/>
      <c r="Q57" s="403"/>
      <c r="R57" s="399" t="s">
        <v>2</v>
      </c>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row>
    <row r="58" spans="1:65">
      <c r="N58" s="383"/>
    </row>
    <row r="59" spans="1:65">
      <c r="N59" s="383"/>
    </row>
    <row r="61" spans="1:65" ht="18">
      <c r="A61" s="394"/>
      <c r="C61" s="430"/>
      <c r="D61" s="430"/>
      <c r="E61" s="430"/>
      <c r="F61" s="430"/>
      <c r="G61" s="392"/>
      <c r="H61" s="430"/>
      <c r="I61" s="430"/>
      <c r="J61" s="430"/>
      <c r="K61" s="430"/>
      <c r="M61" s="392"/>
      <c r="N61" s="471" t="s">
        <v>766</v>
      </c>
      <c r="O61" s="399"/>
      <c r="P61" s="389"/>
      <c r="Q61" s="399"/>
      <c r="R61" s="400"/>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row>
    <row r="62" spans="1:65" ht="15">
      <c r="A62" s="394"/>
      <c r="C62" s="401" t="str">
        <f>C5</f>
        <v>Formula Rate calculation</v>
      </c>
      <c r="D62" s="401"/>
      <c r="E62" s="430"/>
      <c r="F62" s="430"/>
      <c r="G62" s="430" t="str">
        <f>G5</f>
        <v xml:space="preserve">     Rate Formula Template</v>
      </c>
      <c r="H62" s="430"/>
      <c r="I62" s="430"/>
      <c r="J62" s="430"/>
      <c r="K62" s="430"/>
      <c r="M62" s="392"/>
      <c r="N62" s="435" t="str">
        <f>N5</f>
        <v>For  the 12 months ended 12/31/2015</v>
      </c>
      <c r="O62" s="399"/>
      <c r="P62" s="389"/>
      <c r="Q62" s="399"/>
      <c r="R62" s="400"/>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row>
    <row r="63" spans="1:65" ht="15">
      <c r="A63" s="394"/>
      <c r="C63" s="401"/>
      <c r="D63" s="401"/>
      <c r="E63" s="430"/>
      <c r="F63" s="430"/>
      <c r="G63" s="430" t="str">
        <f>G6</f>
        <v xml:space="preserve"> Utilizing Attachment O Data</v>
      </c>
      <c r="H63" s="430"/>
      <c r="I63" s="430"/>
      <c r="J63" s="430"/>
      <c r="K63" s="430"/>
      <c r="L63" s="392"/>
      <c r="M63" s="392"/>
      <c r="O63" s="399"/>
      <c r="P63" s="389"/>
      <c r="Q63" s="399"/>
      <c r="R63" s="400"/>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row>
    <row r="64" spans="1:65" ht="14.25" customHeight="1">
      <c r="A64" s="394"/>
      <c r="C64" s="430"/>
      <c r="D64" s="430"/>
      <c r="E64" s="430"/>
      <c r="F64" s="430"/>
      <c r="G64" s="430"/>
      <c r="H64" s="430"/>
      <c r="I64" s="430"/>
      <c r="J64" s="430"/>
      <c r="K64" s="430"/>
      <c r="M64" s="392"/>
      <c r="N64" s="430" t="s">
        <v>735</v>
      </c>
      <c r="O64" s="399"/>
      <c r="P64" s="389"/>
      <c r="Q64" s="399"/>
      <c r="R64"/>
      <c r="S64"/>
      <c r="T64"/>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row>
    <row r="65" spans="1:65" ht="15">
      <c r="A65" s="394"/>
      <c r="E65" s="430"/>
      <c r="F65" s="430"/>
      <c r="G65" s="430" t="str">
        <f>G8</f>
        <v>Rochester Public Utilities</v>
      </c>
      <c r="H65" s="430"/>
      <c r="I65" s="430"/>
      <c r="J65" s="430"/>
      <c r="K65" s="430"/>
      <c r="L65" s="430"/>
      <c r="M65" s="392"/>
      <c r="N65" s="392"/>
      <c r="O65" s="399"/>
      <c r="P65" s="389"/>
      <c r="Q65" s="399"/>
      <c r="R65"/>
      <c r="S65"/>
      <c r="T65"/>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row>
    <row r="66" spans="1:65" ht="15">
      <c r="A66" s="394"/>
      <c r="E66" s="401"/>
      <c r="F66" s="401"/>
      <c r="G66" s="401"/>
      <c r="H66" s="401"/>
      <c r="I66" s="401"/>
      <c r="J66" s="401"/>
      <c r="K66" s="401"/>
      <c r="L66" s="401"/>
      <c r="M66" s="401"/>
      <c r="N66" s="401"/>
      <c r="O66" s="399"/>
      <c r="P66" s="389"/>
      <c r="Q66" s="399"/>
      <c r="R66"/>
      <c r="S66"/>
      <c r="T66"/>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row>
    <row r="67" spans="1:65" ht="15.75">
      <c r="A67" s="394"/>
      <c r="C67" s="430"/>
      <c r="D67" s="430"/>
      <c r="E67" s="407" t="s">
        <v>736</v>
      </c>
      <c r="F67" s="407"/>
      <c r="H67" s="387"/>
      <c r="I67" s="387"/>
      <c r="J67" s="387"/>
      <c r="K67" s="387"/>
      <c r="L67" s="387"/>
      <c r="M67" s="392"/>
      <c r="N67" s="392"/>
      <c r="O67" s="399"/>
      <c r="P67" s="389"/>
      <c r="Q67" s="399"/>
      <c r="R67"/>
      <c r="S67"/>
      <c r="T67"/>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row>
    <row r="68" spans="1:65" ht="15.75">
      <c r="A68" s="394"/>
      <c r="C68" s="430"/>
      <c r="D68" s="430"/>
      <c r="E68" s="407"/>
      <c r="F68" s="407"/>
      <c r="H68" s="387"/>
      <c r="I68" s="387"/>
      <c r="J68" s="387"/>
      <c r="K68" s="387"/>
      <c r="L68" s="387"/>
      <c r="M68" s="392"/>
      <c r="N68" s="392"/>
      <c r="O68" s="399"/>
      <c r="P68" s="389"/>
      <c r="Q68" s="399"/>
      <c r="R68"/>
      <c r="S68"/>
      <c r="T68"/>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row>
    <row r="69" spans="1:65" ht="15.75">
      <c r="A69" s="394"/>
      <c r="C69" s="436">
        <v>-1</v>
      </c>
      <c r="D69" s="436">
        <v>-2</v>
      </c>
      <c r="E69" s="436">
        <v>-3</v>
      </c>
      <c r="F69" s="436">
        <v>-4</v>
      </c>
      <c r="G69" s="436">
        <v>-5</v>
      </c>
      <c r="H69" s="436">
        <v>-6</v>
      </c>
      <c r="I69" s="436">
        <v>-7</v>
      </c>
      <c r="J69" s="436">
        <v>-8</v>
      </c>
      <c r="K69" s="436">
        <v>-9</v>
      </c>
      <c r="L69" s="436">
        <v>-10</v>
      </c>
      <c r="M69" s="436">
        <v>-11</v>
      </c>
      <c r="N69" s="436">
        <v>-12</v>
      </c>
      <c r="O69" s="399"/>
      <c r="P69" s="389"/>
      <c r="Q69" s="399"/>
      <c r="R69"/>
      <c r="S69"/>
      <c r="T69"/>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row>
    <row r="70" spans="1:65" ht="67.5" customHeight="1">
      <c r="A70" s="437" t="s">
        <v>470</v>
      </c>
      <c r="B70" s="438"/>
      <c r="C70" s="438" t="s">
        <v>737</v>
      </c>
      <c r="D70" s="439" t="s">
        <v>738</v>
      </c>
      <c r="E70" s="440" t="s">
        <v>739</v>
      </c>
      <c r="F70" s="440" t="s">
        <v>718</v>
      </c>
      <c r="G70" s="441" t="s">
        <v>740</v>
      </c>
      <c r="H70" s="440" t="s">
        <v>741</v>
      </c>
      <c r="I70" s="440" t="s">
        <v>733</v>
      </c>
      <c r="J70" s="441" t="s">
        <v>742</v>
      </c>
      <c r="K70" s="440" t="s">
        <v>743</v>
      </c>
      <c r="L70" s="442" t="s">
        <v>744</v>
      </c>
      <c r="M70" s="443" t="s">
        <v>745</v>
      </c>
      <c r="N70" s="442" t="s">
        <v>746</v>
      </c>
      <c r="O70" s="413"/>
      <c r="P70" s="389"/>
      <c r="Q70" s="399"/>
      <c r="R70"/>
      <c r="S70"/>
      <c r="T70"/>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row>
    <row r="71" spans="1:65" ht="35.25" customHeight="1">
      <c r="A71" s="444"/>
      <c r="B71" s="445"/>
      <c r="C71" s="445"/>
      <c r="D71" s="445"/>
      <c r="E71" s="446" t="s">
        <v>22</v>
      </c>
      <c r="F71" s="446" t="s">
        <v>747</v>
      </c>
      <c r="G71" s="447" t="s">
        <v>748</v>
      </c>
      <c r="H71" s="446" t="s">
        <v>24</v>
      </c>
      <c r="I71" s="446" t="s">
        <v>749</v>
      </c>
      <c r="J71" s="447" t="s">
        <v>750</v>
      </c>
      <c r="K71" s="446" t="s">
        <v>196</v>
      </c>
      <c r="L71" s="447" t="s">
        <v>751</v>
      </c>
      <c r="M71" s="448" t="s">
        <v>752</v>
      </c>
      <c r="N71" s="449" t="s">
        <v>753</v>
      </c>
      <c r="O71" s="399"/>
      <c r="P71" s="389"/>
      <c r="Q71" s="399"/>
      <c r="R71"/>
      <c r="S71"/>
      <c r="T7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row>
    <row r="72" spans="1:65" ht="15">
      <c r="A72" s="450"/>
      <c r="B72" s="387"/>
      <c r="C72" s="387"/>
      <c r="D72" s="387"/>
      <c r="E72" s="387"/>
      <c r="F72" s="387"/>
      <c r="G72" s="451"/>
      <c r="H72" s="387"/>
      <c r="I72" s="387"/>
      <c r="J72" s="451"/>
      <c r="K72" s="387"/>
      <c r="L72" s="451"/>
      <c r="M72" s="392"/>
      <c r="N72" s="452"/>
      <c r="O72" s="399"/>
      <c r="P72" s="389"/>
      <c r="Q72" s="399"/>
      <c r="R72"/>
      <c r="S72"/>
      <c r="T72"/>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row>
    <row r="73" spans="1:65" ht="15">
      <c r="A73" s="453" t="s">
        <v>186</v>
      </c>
      <c r="C73" s="430" t="s">
        <v>754</v>
      </c>
      <c r="D73" s="455">
        <v>1024</v>
      </c>
      <c r="E73" s="456">
        <f>Plant!H20</f>
        <v>7248419.2007692307</v>
      </c>
      <c r="F73" s="411">
        <f>$L$33</f>
        <v>0.10501176831270943</v>
      </c>
      <c r="G73" s="477">
        <f>E73*F73</f>
        <v>761169.31774457288</v>
      </c>
      <c r="H73" s="456">
        <f>Plant!H55</f>
        <v>7129467.1976923086</v>
      </c>
      <c r="I73" s="411">
        <f>$L$43</f>
        <v>9.1447989478822239E-2</v>
      </c>
      <c r="J73" s="477">
        <f>H73*I73</f>
        <v>651975.44128417457</v>
      </c>
      <c r="K73" s="478">
        <f>Plant!H59</f>
        <v>206926.73000000004</v>
      </c>
      <c r="L73" s="477">
        <f>G73+J73+K73</f>
        <v>1620071.4890287474</v>
      </c>
      <c r="M73" s="458">
        <v>0</v>
      </c>
      <c r="N73" s="452">
        <f>L73+M73</f>
        <v>1620071.4890287474</v>
      </c>
      <c r="O73" s="459"/>
      <c r="P73" s="459"/>
      <c r="Q73" s="459"/>
      <c r="R73"/>
      <c r="S73"/>
      <c r="T73"/>
      <c r="U73" s="459"/>
    </row>
    <row r="74" spans="1:65" ht="15">
      <c r="A74" s="453" t="s">
        <v>755</v>
      </c>
      <c r="D74" s="455"/>
      <c r="E74" s="456">
        <v>0</v>
      </c>
      <c r="F74" s="411">
        <f>$L$33</f>
        <v>0.10501176831270943</v>
      </c>
      <c r="G74" s="477">
        <f t="shared" ref="G74:G75" si="0">E74*F74</f>
        <v>0</v>
      </c>
      <c r="H74" s="456">
        <v>0</v>
      </c>
      <c r="I74" s="411">
        <f>$L$43</f>
        <v>9.1447989478822239E-2</v>
      </c>
      <c r="J74" s="477">
        <f>H74*I74</f>
        <v>0</v>
      </c>
      <c r="K74" s="478">
        <v>0</v>
      </c>
      <c r="L74" s="477">
        <f>G74+J74+K74</f>
        <v>0</v>
      </c>
      <c r="M74" s="458">
        <v>0</v>
      </c>
      <c r="N74" s="452">
        <f>L74+M74</f>
        <v>0</v>
      </c>
      <c r="O74" s="459"/>
      <c r="P74" s="459"/>
      <c r="Q74" s="459"/>
      <c r="R74"/>
      <c r="S74"/>
      <c r="T74"/>
      <c r="U74" s="459"/>
    </row>
    <row r="75" spans="1:65" ht="15">
      <c r="A75" s="453" t="s">
        <v>756</v>
      </c>
      <c r="D75" s="455"/>
      <c r="E75" s="456">
        <v>0</v>
      </c>
      <c r="F75" s="411">
        <f>$L$33</f>
        <v>0.10501176831270943</v>
      </c>
      <c r="G75" s="477">
        <f t="shared" si="0"/>
        <v>0</v>
      </c>
      <c r="H75" s="456">
        <v>0</v>
      </c>
      <c r="I75" s="411">
        <f>$L$43</f>
        <v>9.1447989478822239E-2</v>
      </c>
      <c r="J75" s="477">
        <f>H75*I75</f>
        <v>0</v>
      </c>
      <c r="K75" s="478">
        <v>0</v>
      </c>
      <c r="L75" s="477">
        <f>G75+J75+K75</f>
        <v>0</v>
      </c>
      <c r="M75" s="456">
        <v>0</v>
      </c>
      <c r="N75" s="452">
        <f>L75+M75</f>
        <v>0</v>
      </c>
      <c r="O75" s="459"/>
      <c r="P75" s="459"/>
      <c r="Q75" s="459"/>
      <c r="R75"/>
      <c r="S75"/>
      <c r="T75"/>
      <c r="U75" s="459"/>
    </row>
    <row r="76" spans="1:65" ht="15">
      <c r="A76" s="453"/>
      <c r="D76" s="455"/>
      <c r="G76" s="457"/>
      <c r="J76" s="457"/>
      <c r="L76" s="457"/>
      <c r="N76" s="457"/>
      <c r="O76" s="459"/>
      <c r="P76" s="459"/>
      <c r="Q76" s="459"/>
      <c r="R76"/>
      <c r="S76"/>
      <c r="T76"/>
      <c r="U76" s="459"/>
    </row>
    <row r="77" spans="1:65" ht="15">
      <c r="A77" s="453"/>
      <c r="G77" s="457"/>
      <c r="J77" s="457"/>
      <c r="L77" s="457"/>
      <c r="N77" s="457"/>
      <c r="O77" s="459"/>
      <c r="P77" s="459"/>
      <c r="Q77" s="459"/>
      <c r="R77"/>
      <c r="S77"/>
      <c r="T77"/>
      <c r="U77" s="459"/>
    </row>
    <row r="78" spans="1:65" ht="15">
      <c r="A78" s="453"/>
      <c r="G78" s="457"/>
      <c r="J78" s="457"/>
      <c r="L78" s="457"/>
      <c r="N78" s="457"/>
      <c r="O78" s="459"/>
      <c r="P78" s="459"/>
      <c r="Q78" s="459"/>
      <c r="R78"/>
      <c r="S78"/>
      <c r="T78"/>
      <c r="U78" s="459"/>
    </row>
    <row r="79" spans="1:65" ht="15">
      <c r="A79" s="453"/>
      <c r="G79" s="457"/>
      <c r="J79" s="457"/>
      <c r="L79" s="457"/>
      <c r="N79" s="457"/>
      <c r="O79" s="459"/>
      <c r="P79" s="459"/>
      <c r="Q79" s="459"/>
      <c r="R79"/>
      <c r="S79"/>
      <c r="T79"/>
      <c r="U79" s="459"/>
    </row>
    <row r="80" spans="1:65" ht="15">
      <c r="A80" s="453"/>
      <c r="G80" s="457"/>
      <c r="J80" s="457"/>
      <c r="L80" s="457"/>
      <c r="N80" s="457"/>
      <c r="O80" s="459"/>
      <c r="P80" s="459"/>
      <c r="Q80" s="459"/>
      <c r="R80"/>
      <c r="S80"/>
      <c r="T80"/>
      <c r="U80" s="459"/>
    </row>
    <row r="81" spans="1:21" ht="15">
      <c r="A81" s="453"/>
      <c r="C81" s="459"/>
      <c r="D81" s="459"/>
      <c r="E81" s="459"/>
      <c r="F81" s="459"/>
      <c r="G81" s="460"/>
      <c r="H81" s="459"/>
      <c r="I81" s="459"/>
      <c r="J81" s="460"/>
      <c r="K81" s="459"/>
      <c r="L81" s="460"/>
      <c r="M81" s="459"/>
      <c r="N81" s="460"/>
      <c r="O81" s="459"/>
      <c r="P81" s="459"/>
      <c r="Q81" s="459"/>
      <c r="R81"/>
      <c r="S81"/>
      <c r="T81"/>
      <c r="U81" s="459"/>
    </row>
    <row r="82" spans="1:21" ht="15">
      <c r="A82" s="453"/>
      <c r="C82" s="459"/>
      <c r="D82" s="459"/>
      <c r="E82" s="459"/>
      <c r="F82" s="459"/>
      <c r="G82" s="460"/>
      <c r="H82" s="459"/>
      <c r="I82" s="459"/>
      <c r="J82" s="460"/>
      <c r="K82" s="459"/>
      <c r="L82" s="460"/>
      <c r="M82" s="459"/>
      <c r="N82" s="460"/>
      <c r="O82" s="459"/>
      <c r="P82" s="459"/>
      <c r="Q82" s="459"/>
      <c r="R82"/>
      <c r="S82"/>
      <c r="T82"/>
      <c r="U82" s="459"/>
    </row>
    <row r="83" spans="1:21" ht="15">
      <c r="A83" s="453"/>
      <c r="C83" s="459"/>
      <c r="D83" s="459"/>
      <c r="E83" s="459"/>
      <c r="F83" s="459"/>
      <c r="G83" s="460"/>
      <c r="H83" s="459"/>
      <c r="I83" s="459"/>
      <c r="J83" s="460"/>
      <c r="K83" s="459"/>
      <c r="L83" s="460"/>
      <c r="M83" s="459"/>
      <c r="N83" s="460"/>
      <c r="O83" s="459"/>
      <c r="P83" s="459"/>
      <c r="Q83" s="459"/>
      <c r="R83"/>
      <c r="S83"/>
      <c r="T83"/>
      <c r="U83" s="459"/>
    </row>
    <row r="84" spans="1:21" ht="15">
      <c r="A84" s="453"/>
      <c r="C84" s="459"/>
      <c r="D84" s="459"/>
      <c r="E84" s="459"/>
      <c r="F84" s="459"/>
      <c r="G84" s="460"/>
      <c r="H84" s="459"/>
      <c r="I84" s="459"/>
      <c r="J84" s="460"/>
      <c r="K84" s="459"/>
      <c r="L84" s="460"/>
      <c r="M84" s="459"/>
      <c r="N84" s="460"/>
      <c r="O84" s="459"/>
      <c r="P84" s="459"/>
      <c r="Q84" s="459"/>
      <c r="R84"/>
      <c r="S84"/>
      <c r="T84"/>
      <c r="U84" s="459"/>
    </row>
    <row r="85" spans="1:21" ht="15">
      <c r="A85" s="453"/>
      <c r="C85" s="459"/>
      <c r="D85" s="459"/>
      <c r="E85" s="459"/>
      <c r="F85" s="459"/>
      <c r="G85" s="460"/>
      <c r="H85" s="459"/>
      <c r="I85" s="459"/>
      <c r="J85" s="460"/>
      <c r="K85" s="459"/>
      <c r="L85" s="460"/>
      <c r="M85" s="459"/>
      <c r="N85" s="460"/>
      <c r="O85" s="459"/>
      <c r="P85" s="459"/>
      <c r="Q85" s="459"/>
      <c r="R85"/>
      <c r="S85"/>
      <c r="T85"/>
      <c r="U85" s="459"/>
    </row>
    <row r="86" spans="1:21" ht="15">
      <c r="A86" s="453"/>
      <c r="C86" s="459"/>
      <c r="D86" s="459"/>
      <c r="E86" s="459"/>
      <c r="F86" s="459"/>
      <c r="G86" s="460"/>
      <c r="H86" s="459"/>
      <c r="I86" s="459"/>
      <c r="J86" s="460"/>
      <c r="K86" s="459"/>
      <c r="L86" s="460"/>
      <c r="M86" s="459"/>
      <c r="N86" s="460"/>
      <c r="O86" s="459"/>
      <c r="P86" s="459"/>
      <c r="Q86" s="459"/>
      <c r="R86"/>
      <c r="S86"/>
      <c r="T86"/>
      <c r="U86" s="459"/>
    </row>
    <row r="87" spans="1:21" ht="15">
      <c r="A87" s="453"/>
      <c r="C87" s="459"/>
      <c r="D87" s="459"/>
      <c r="E87" s="459"/>
      <c r="F87" s="459"/>
      <c r="G87" s="460"/>
      <c r="H87" s="459"/>
      <c r="I87" s="459"/>
      <c r="J87" s="460"/>
      <c r="K87" s="459"/>
      <c r="L87" s="460"/>
      <c r="M87" s="459"/>
      <c r="N87" s="460"/>
      <c r="O87" s="459"/>
      <c r="P87" s="459"/>
      <c r="Q87" s="459"/>
      <c r="R87"/>
      <c r="S87"/>
      <c r="T87"/>
      <c r="U87" s="459"/>
    </row>
    <row r="88" spans="1:21" ht="15">
      <c r="A88" s="453"/>
      <c r="C88" s="459"/>
      <c r="D88" s="459"/>
      <c r="E88" s="459"/>
      <c r="F88" s="459"/>
      <c r="G88" s="460"/>
      <c r="H88" s="459"/>
      <c r="I88" s="459"/>
      <c r="J88" s="460"/>
      <c r="K88" s="459"/>
      <c r="L88" s="460"/>
      <c r="M88" s="459"/>
      <c r="N88" s="460"/>
      <c r="O88" s="459"/>
      <c r="P88" s="459"/>
      <c r="Q88" s="459"/>
      <c r="R88"/>
      <c r="S88"/>
      <c r="T88"/>
      <c r="U88" s="459"/>
    </row>
    <row r="89" spans="1:21" ht="15">
      <c r="A89" s="453"/>
      <c r="C89" s="459"/>
      <c r="D89" s="459"/>
      <c r="E89" s="459"/>
      <c r="F89" s="459"/>
      <c r="G89" s="460"/>
      <c r="H89" s="459"/>
      <c r="I89" s="459"/>
      <c r="J89" s="460"/>
      <c r="K89" s="459"/>
      <c r="L89" s="460"/>
      <c r="M89" s="459"/>
      <c r="N89" s="460"/>
      <c r="O89" s="459"/>
      <c r="P89" s="459"/>
      <c r="Q89" s="459"/>
      <c r="R89"/>
      <c r="S89"/>
      <c r="T89"/>
      <c r="U89" s="459"/>
    </row>
    <row r="90" spans="1:21" ht="15">
      <c r="A90" s="453"/>
      <c r="C90" s="459"/>
      <c r="D90" s="459"/>
      <c r="E90" s="459"/>
      <c r="F90" s="459"/>
      <c r="G90" s="460"/>
      <c r="H90" s="459"/>
      <c r="I90" s="459"/>
      <c r="J90" s="460"/>
      <c r="K90" s="459"/>
      <c r="L90" s="460"/>
      <c r="M90" s="459"/>
      <c r="N90" s="460"/>
      <c r="O90" s="459"/>
      <c r="P90" s="459"/>
      <c r="Q90" s="459"/>
      <c r="R90"/>
      <c r="S90"/>
      <c r="T90"/>
      <c r="U90" s="459"/>
    </row>
    <row r="91" spans="1:21" ht="15">
      <c r="A91" s="453"/>
      <c r="C91" s="459"/>
      <c r="D91" s="459"/>
      <c r="E91" s="459"/>
      <c r="F91" s="459"/>
      <c r="G91" s="460"/>
      <c r="H91" s="459"/>
      <c r="I91" s="459"/>
      <c r="J91" s="460"/>
      <c r="K91" s="459"/>
      <c r="L91" s="460"/>
      <c r="M91" s="459"/>
      <c r="N91" s="460"/>
      <c r="O91" s="459"/>
      <c r="P91" s="459"/>
      <c r="Q91" s="459"/>
      <c r="R91"/>
      <c r="S91"/>
      <c r="T91"/>
      <c r="U91" s="459"/>
    </row>
    <row r="92" spans="1:21" ht="15">
      <c r="A92" s="461"/>
      <c r="B92" s="462"/>
      <c r="C92" s="463"/>
      <c r="D92" s="463"/>
      <c r="E92" s="463"/>
      <c r="F92" s="463"/>
      <c r="G92" s="464"/>
      <c r="H92" s="463"/>
      <c r="I92" s="463"/>
      <c r="J92" s="464"/>
      <c r="K92" s="463"/>
      <c r="L92" s="464"/>
      <c r="M92" s="463"/>
      <c r="N92" s="464"/>
      <c r="O92" s="459"/>
      <c r="P92" s="459"/>
      <c r="Q92" s="459"/>
      <c r="R92"/>
      <c r="S92"/>
      <c r="T92"/>
      <c r="U92" s="459"/>
    </row>
    <row r="93" spans="1:21" ht="15">
      <c r="A93" s="398" t="s">
        <v>757</v>
      </c>
      <c r="B93" s="424"/>
      <c r="C93" s="401" t="s">
        <v>758</v>
      </c>
      <c r="D93" s="401"/>
      <c r="E93" s="416">
        <f>SUM(E73:E92)</f>
        <v>7248419.2007692307</v>
      </c>
      <c r="F93" s="416"/>
      <c r="G93" s="392"/>
      <c r="H93" s="392"/>
      <c r="I93" s="392"/>
      <c r="J93" s="392"/>
      <c r="K93" s="392"/>
      <c r="L93" s="465">
        <f>SUM(L73:L92)</f>
        <v>1620071.4890287474</v>
      </c>
      <c r="M93" s="465">
        <f>SUM(M73:M92)</f>
        <v>0</v>
      </c>
      <c r="N93" s="465">
        <f>SUM(N73:N92)</f>
        <v>1620071.4890287474</v>
      </c>
      <c r="O93" s="459"/>
      <c r="P93" s="459"/>
      <c r="Q93" s="459"/>
      <c r="R93"/>
      <c r="S93"/>
      <c r="T93"/>
      <c r="U93" s="459"/>
    </row>
    <row r="94" spans="1:21" ht="15">
      <c r="A94" s="454"/>
      <c r="B94" s="459"/>
      <c r="C94" s="459"/>
      <c r="D94" s="459"/>
      <c r="E94" s="459"/>
      <c r="F94" s="459"/>
      <c r="G94" s="459"/>
      <c r="H94" s="459"/>
      <c r="I94" s="459"/>
      <c r="J94" s="459"/>
      <c r="K94" s="459"/>
      <c r="L94" s="459"/>
      <c r="M94" s="459"/>
      <c r="N94" s="459"/>
      <c r="O94" s="459"/>
      <c r="P94" s="459"/>
      <c r="Q94" s="459"/>
      <c r="R94"/>
      <c r="S94"/>
      <c r="T94"/>
      <c r="U94" s="459"/>
    </row>
    <row r="95" spans="1:21" ht="15">
      <c r="A95" s="466">
        <v>3</v>
      </c>
      <c r="B95" s="459"/>
      <c r="C95" s="430" t="s">
        <v>777</v>
      </c>
      <c r="D95" s="459"/>
      <c r="E95" s="459"/>
      <c r="F95" s="459"/>
      <c r="G95" s="459"/>
      <c r="H95" s="459"/>
      <c r="I95" s="459"/>
      <c r="J95" s="459"/>
      <c r="K95" s="459"/>
      <c r="L95" s="465">
        <f>L93</f>
        <v>1620071.4890287474</v>
      </c>
      <c r="M95" s="459"/>
      <c r="N95" s="459"/>
      <c r="O95" s="459"/>
      <c r="P95" s="459"/>
      <c r="Q95" s="459"/>
      <c r="R95"/>
      <c r="S95"/>
      <c r="T95"/>
      <c r="U95" s="459"/>
    </row>
    <row r="96" spans="1:21" ht="15">
      <c r="A96" s="459"/>
      <c r="B96" s="459"/>
      <c r="C96" s="459"/>
      <c r="D96" s="459"/>
      <c r="E96" s="459"/>
      <c r="F96" s="459"/>
      <c r="G96" s="459"/>
      <c r="H96" s="459"/>
      <c r="I96" s="459"/>
      <c r="J96" s="459"/>
      <c r="K96" s="459"/>
      <c r="L96" s="459"/>
      <c r="M96" s="459"/>
      <c r="N96" s="459"/>
      <c r="O96" s="459"/>
      <c r="P96" s="459"/>
      <c r="Q96" s="459"/>
      <c r="R96"/>
      <c r="S96"/>
      <c r="T96"/>
      <c r="U96" s="459"/>
    </row>
    <row r="97" spans="1:21" ht="15">
      <c r="A97" s="459"/>
      <c r="B97" s="459"/>
      <c r="C97" s="459"/>
      <c r="D97" s="459"/>
      <c r="E97" s="459"/>
      <c r="F97" s="459"/>
      <c r="G97" s="459"/>
      <c r="H97" s="459"/>
      <c r="I97" s="459"/>
      <c r="J97" s="459"/>
      <c r="K97" s="459"/>
      <c r="L97" s="459"/>
      <c r="M97" s="459"/>
      <c r="N97" s="459"/>
      <c r="O97" s="459"/>
      <c r="P97" s="459"/>
      <c r="Q97" s="459"/>
      <c r="R97"/>
      <c r="S97"/>
      <c r="T97"/>
      <c r="U97" s="459"/>
    </row>
    <row r="98" spans="1:21" ht="15">
      <c r="A98" s="430" t="s">
        <v>128</v>
      </c>
      <c r="B98" s="459"/>
      <c r="C98" s="459"/>
      <c r="D98" s="459"/>
      <c r="E98" s="459"/>
      <c r="F98" s="459"/>
      <c r="G98" s="459"/>
      <c r="H98" s="459"/>
      <c r="I98" s="459"/>
      <c r="J98" s="459"/>
      <c r="K98" s="459"/>
      <c r="L98" s="459"/>
      <c r="M98" s="459"/>
      <c r="N98" s="459"/>
      <c r="O98" s="459"/>
      <c r="P98" s="459"/>
      <c r="Q98" s="459"/>
      <c r="R98" s="459"/>
      <c r="S98" s="459"/>
      <c r="T98" s="459"/>
      <c r="U98" s="459"/>
    </row>
    <row r="99" spans="1:21" ht="15.75" thickBot="1">
      <c r="A99" s="467" t="s">
        <v>129</v>
      </c>
      <c r="B99" s="459"/>
      <c r="C99" s="459"/>
      <c r="D99" s="459"/>
      <c r="E99" s="459"/>
      <c r="F99" s="459"/>
      <c r="G99" s="459"/>
      <c r="H99" s="459"/>
      <c r="I99" s="459"/>
      <c r="J99" s="459"/>
      <c r="K99" s="459"/>
      <c r="L99" s="459"/>
      <c r="M99" s="459"/>
      <c r="N99" s="459"/>
      <c r="O99" s="459"/>
      <c r="P99" s="459"/>
      <c r="Q99" s="459"/>
      <c r="R99" s="459"/>
      <c r="S99" s="459"/>
      <c r="T99" s="459"/>
      <c r="U99" s="459"/>
    </row>
    <row r="100" spans="1:21" ht="14.25" customHeight="1">
      <c r="A100" s="472" t="s">
        <v>130</v>
      </c>
      <c r="B100" s="473"/>
      <c r="C100" s="951" t="s">
        <v>772</v>
      </c>
      <c r="D100" s="951"/>
      <c r="E100" s="951"/>
      <c r="F100" s="951"/>
      <c r="G100" s="951"/>
      <c r="H100" s="951"/>
      <c r="I100" s="951"/>
      <c r="J100" s="951"/>
      <c r="K100" s="951"/>
      <c r="L100" s="951"/>
      <c r="M100" s="951"/>
      <c r="N100" s="951"/>
      <c r="O100" s="459"/>
      <c r="P100" s="459"/>
      <c r="Q100" s="459"/>
      <c r="R100" s="459"/>
      <c r="S100" s="459"/>
      <c r="T100" s="459"/>
      <c r="U100" s="459"/>
    </row>
    <row r="101" spans="1:21" ht="15" customHeight="1">
      <c r="A101" s="472" t="s">
        <v>131</v>
      </c>
      <c r="B101" s="473"/>
      <c r="C101" s="951" t="s">
        <v>773</v>
      </c>
      <c r="D101" s="951"/>
      <c r="E101" s="951"/>
      <c r="F101" s="951"/>
      <c r="G101" s="951"/>
      <c r="H101" s="951"/>
      <c r="I101" s="951"/>
      <c r="J101" s="951"/>
      <c r="K101" s="951"/>
      <c r="L101" s="951"/>
      <c r="M101" s="951"/>
      <c r="N101" s="951"/>
      <c r="O101" s="459"/>
      <c r="P101" s="459"/>
      <c r="Q101" s="459"/>
      <c r="R101" s="459"/>
      <c r="S101" s="459"/>
      <c r="T101" s="459"/>
      <c r="U101" s="459"/>
    </row>
    <row r="102" spans="1:21" ht="15" customHeight="1">
      <c r="A102" s="472" t="s">
        <v>132</v>
      </c>
      <c r="B102" s="473"/>
      <c r="C102" s="952" t="s">
        <v>774</v>
      </c>
      <c r="D102" s="953"/>
      <c r="E102" s="953"/>
      <c r="F102" s="953"/>
      <c r="G102" s="953"/>
      <c r="H102" s="953"/>
      <c r="I102" s="953"/>
      <c r="J102" s="953"/>
      <c r="K102" s="953"/>
      <c r="L102" s="953"/>
      <c r="M102" s="953"/>
      <c r="N102" s="953"/>
      <c r="O102" s="459"/>
      <c r="P102" s="459"/>
      <c r="Q102" s="459"/>
      <c r="R102" s="459"/>
      <c r="S102" s="459"/>
      <c r="T102" s="459"/>
      <c r="U102" s="459"/>
    </row>
    <row r="103" spans="1:21" ht="15" customHeight="1">
      <c r="A103" s="472" t="s">
        <v>133</v>
      </c>
      <c r="B103" s="473"/>
      <c r="C103" s="954" t="s">
        <v>759</v>
      </c>
      <c r="D103" s="954"/>
      <c r="E103" s="954"/>
      <c r="F103" s="954"/>
      <c r="G103" s="954"/>
      <c r="H103" s="954"/>
      <c r="I103" s="954"/>
      <c r="J103" s="954"/>
      <c r="K103" s="954"/>
      <c r="L103" s="954"/>
      <c r="M103" s="954"/>
      <c r="N103" s="954"/>
      <c r="O103" s="459"/>
      <c r="P103" s="459"/>
      <c r="Q103" s="459"/>
      <c r="R103" s="459"/>
      <c r="S103" s="459"/>
      <c r="T103" s="459"/>
      <c r="U103" s="459"/>
    </row>
    <row r="104" spans="1:21" ht="15">
      <c r="A104" s="474" t="s">
        <v>134</v>
      </c>
      <c r="B104" s="473"/>
      <c r="C104" s="955" t="s">
        <v>760</v>
      </c>
      <c r="D104" s="955"/>
      <c r="E104" s="955"/>
      <c r="F104" s="955"/>
      <c r="G104" s="955"/>
      <c r="H104" s="955"/>
      <c r="I104" s="955"/>
      <c r="J104" s="955"/>
      <c r="K104" s="955"/>
      <c r="L104" s="955"/>
      <c r="M104" s="955"/>
      <c r="N104" s="955"/>
      <c r="O104" s="459"/>
      <c r="P104" s="459"/>
      <c r="Q104" s="459"/>
      <c r="R104" s="459"/>
      <c r="S104" s="459"/>
      <c r="T104" s="459"/>
      <c r="U104" s="459"/>
    </row>
    <row r="105" spans="1:21" ht="15">
      <c r="A105" s="474" t="s">
        <v>135</v>
      </c>
      <c r="B105" s="473"/>
      <c r="C105" s="956" t="s">
        <v>775</v>
      </c>
      <c r="D105" s="955"/>
      <c r="E105" s="955"/>
      <c r="F105" s="955"/>
      <c r="G105" s="955"/>
      <c r="H105" s="955"/>
      <c r="I105" s="955"/>
      <c r="J105" s="955"/>
      <c r="K105" s="955"/>
      <c r="L105" s="955"/>
      <c r="M105" s="955"/>
      <c r="N105" s="955"/>
      <c r="O105" s="459"/>
      <c r="P105" s="459"/>
      <c r="Q105" s="459"/>
      <c r="R105" s="459"/>
      <c r="S105" s="459"/>
      <c r="T105" s="459"/>
      <c r="U105" s="459"/>
    </row>
    <row r="106" spans="1:21" ht="15">
      <c r="A106" s="474" t="s">
        <v>136</v>
      </c>
      <c r="B106" s="473"/>
      <c r="C106" s="950" t="s">
        <v>776</v>
      </c>
      <c r="D106" s="950"/>
      <c r="E106" s="950"/>
      <c r="F106" s="950"/>
      <c r="G106" s="950"/>
      <c r="H106" s="950"/>
      <c r="I106" s="950"/>
      <c r="J106" s="950"/>
      <c r="K106" s="950"/>
      <c r="L106" s="950"/>
      <c r="M106" s="950"/>
      <c r="N106" s="950"/>
      <c r="O106" s="459"/>
      <c r="P106" s="459"/>
      <c r="Q106" s="459"/>
      <c r="R106" s="459"/>
      <c r="S106" s="459"/>
      <c r="T106" s="459"/>
      <c r="U106" s="459"/>
    </row>
    <row r="107" spans="1:21" ht="15">
      <c r="A107" s="475" t="s">
        <v>137</v>
      </c>
      <c r="B107" s="476"/>
      <c r="C107" s="950" t="s">
        <v>761</v>
      </c>
      <c r="D107" s="950"/>
      <c r="E107" s="950"/>
      <c r="F107" s="950"/>
      <c r="G107" s="950"/>
      <c r="H107" s="950"/>
      <c r="I107" s="950"/>
      <c r="J107" s="950"/>
      <c r="K107" s="950"/>
      <c r="L107" s="950"/>
      <c r="M107" s="950"/>
      <c r="N107" s="950"/>
      <c r="O107" s="459"/>
      <c r="P107" s="459"/>
      <c r="Q107" s="459"/>
      <c r="R107" s="459"/>
      <c r="S107" s="459"/>
      <c r="T107" s="459"/>
      <c r="U107" s="459"/>
    </row>
    <row r="108" spans="1:21">
      <c r="A108" s="468"/>
      <c r="B108" s="459"/>
      <c r="C108" s="459"/>
      <c r="D108" s="459"/>
      <c r="E108" s="459"/>
      <c r="F108" s="459"/>
      <c r="G108" s="459"/>
      <c r="H108" s="459"/>
      <c r="I108" s="459"/>
      <c r="J108" s="459"/>
      <c r="K108" s="459"/>
      <c r="L108" s="459"/>
      <c r="M108" s="459"/>
      <c r="N108" s="459"/>
      <c r="O108" s="459"/>
      <c r="P108" s="459"/>
      <c r="Q108" s="459"/>
      <c r="R108" s="459"/>
      <c r="S108" s="459"/>
      <c r="T108" s="459"/>
      <c r="U108" s="459"/>
    </row>
    <row r="109" spans="1:21" ht="15.75">
      <c r="A109" s="431"/>
      <c r="B109" s="469"/>
      <c r="C109" s="470"/>
      <c r="D109" s="415"/>
      <c r="E109" s="416"/>
      <c r="F109" s="416"/>
      <c r="G109" s="392"/>
      <c r="H109" s="430"/>
      <c r="I109" s="430"/>
      <c r="J109" s="410"/>
      <c r="K109" s="430"/>
      <c r="M109" s="392"/>
      <c r="N109" s="432"/>
      <c r="O109" s="459"/>
      <c r="P109" s="459"/>
      <c r="Q109" s="459"/>
      <c r="R109" s="459"/>
      <c r="S109" s="459"/>
      <c r="T109" s="459"/>
      <c r="U109" s="459"/>
    </row>
    <row r="110" spans="1:21" ht="15.75">
      <c r="A110" s="431"/>
      <c r="B110" s="469"/>
      <c r="C110" s="470"/>
      <c r="D110" s="415"/>
      <c r="E110" s="416"/>
      <c r="F110" s="416"/>
      <c r="G110" s="392"/>
      <c r="H110" s="430"/>
      <c r="I110" s="430"/>
      <c r="J110" s="410"/>
      <c r="K110" s="430"/>
      <c r="M110" s="392"/>
      <c r="N110" s="412"/>
      <c r="O110" s="459"/>
      <c r="P110" s="459"/>
      <c r="Q110" s="459"/>
      <c r="R110" s="459"/>
      <c r="S110" s="459"/>
      <c r="T110" s="459"/>
      <c r="U110" s="459"/>
    </row>
    <row r="111" spans="1:21">
      <c r="C111" s="459"/>
      <c r="D111" s="459"/>
      <c r="E111" s="459"/>
      <c r="F111" s="459"/>
      <c r="G111" s="459"/>
      <c r="H111" s="459"/>
      <c r="I111" s="459"/>
      <c r="J111" s="459"/>
      <c r="K111" s="459"/>
      <c r="L111" s="459"/>
      <c r="M111" s="459"/>
      <c r="N111" s="459"/>
      <c r="O111" s="459"/>
      <c r="P111" s="459"/>
      <c r="Q111" s="459"/>
      <c r="R111" s="459"/>
      <c r="S111" s="459"/>
      <c r="T111" s="459"/>
      <c r="U111" s="459"/>
    </row>
    <row r="112" spans="1:21">
      <c r="C112" s="459"/>
      <c r="D112" s="459"/>
      <c r="E112" s="459"/>
      <c r="F112" s="459"/>
      <c r="G112" s="459"/>
      <c r="H112" s="459"/>
      <c r="I112" s="459"/>
      <c r="J112" s="459"/>
      <c r="K112" s="459"/>
      <c r="L112" s="459"/>
      <c r="M112" s="459"/>
      <c r="N112" s="459"/>
      <c r="O112" s="459"/>
      <c r="P112" s="459"/>
      <c r="Q112" s="459"/>
      <c r="R112" s="459"/>
      <c r="S112" s="459"/>
      <c r="T112" s="459"/>
      <c r="U112" s="459"/>
    </row>
    <row r="113" spans="3:21">
      <c r="C113" s="459"/>
      <c r="D113" s="459"/>
      <c r="E113" s="459"/>
      <c r="F113" s="459"/>
      <c r="G113" s="459"/>
      <c r="H113" s="459"/>
      <c r="I113" s="459"/>
      <c r="J113" s="459"/>
      <c r="K113" s="459"/>
      <c r="L113" s="459"/>
      <c r="M113" s="459"/>
      <c r="N113" s="459"/>
      <c r="O113" s="459"/>
      <c r="P113" s="459"/>
      <c r="Q113" s="459"/>
      <c r="R113" s="459"/>
      <c r="S113" s="459"/>
      <c r="T113" s="459"/>
      <c r="U113" s="459"/>
    </row>
    <row r="114" spans="3:21">
      <c r="C114" s="459"/>
      <c r="D114" s="459"/>
      <c r="E114" s="459"/>
      <c r="F114" s="459"/>
      <c r="G114" s="459"/>
      <c r="H114" s="459"/>
      <c r="I114" s="459"/>
      <c r="J114" s="459"/>
      <c r="K114" s="459"/>
      <c r="L114" s="459"/>
      <c r="M114" s="459"/>
      <c r="N114" s="459"/>
      <c r="O114" s="459"/>
      <c r="P114" s="459"/>
      <c r="Q114" s="459"/>
      <c r="R114" s="459"/>
      <c r="S114" s="459"/>
      <c r="T114" s="459"/>
      <c r="U114" s="459"/>
    </row>
    <row r="115" spans="3:21">
      <c r="C115" s="459"/>
      <c r="D115" s="459"/>
      <c r="E115" s="459"/>
      <c r="F115" s="459"/>
      <c r="G115" s="459"/>
      <c r="H115" s="459"/>
      <c r="I115" s="459"/>
      <c r="J115" s="459"/>
      <c r="K115" s="459"/>
      <c r="L115" s="459"/>
      <c r="M115" s="459"/>
      <c r="N115" s="459"/>
      <c r="O115" s="459"/>
      <c r="P115" s="459"/>
      <c r="Q115" s="459"/>
      <c r="R115" s="459"/>
      <c r="S115" s="459"/>
      <c r="T115" s="459"/>
      <c r="U115" s="459"/>
    </row>
    <row r="116" spans="3:21">
      <c r="C116" s="459"/>
      <c r="D116" s="459"/>
      <c r="E116" s="459"/>
      <c r="F116" s="459"/>
      <c r="G116" s="459"/>
      <c r="H116" s="459"/>
      <c r="I116" s="459"/>
      <c r="J116" s="459"/>
      <c r="K116" s="459"/>
      <c r="L116" s="459"/>
      <c r="M116" s="459"/>
      <c r="N116" s="459"/>
      <c r="O116" s="459"/>
      <c r="P116" s="459"/>
      <c r="Q116" s="459"/>
      <c r="R116" s="459"/>
      <c r="S116" s="459"/>
      <c r="T116" s="459"/>
      <c r="U116" s="459"/>
    </row>
    <row r="117" spans="3:21">
      <c r="C117" s="459"/>
      <c r="D117" s="459"/>
      <c r="E117" s="459"/>
      <c r="F117" s="459"/>
      <c r="G117" s="459"/>
      <c r="H117" s="459"/>
      <c r="I117" s="459"/>
      <c r="J117" s="459"/>
      <c r="K117" s="459"/>
      <c r="L117" s="459"/>
      <c r="M117" s="459"/>
      <c r="N117" s="459"/>
      <c r="O117" s="459"/>
      <c r="P117" s="459"/>
      <c r="Q117" s="459"/>
      <c r="R117" s="459"/>
      <c r="S117" s="459"/>
      <c r="T117" s="459"/>
      <c r="U117" s="459"/>
    </row>
    <row r="118" spans="3:21">
      <c r="C118" s="459"/>
      <c r="D118" s="459"/>
      <c r="E118" s="459"/>
      <c r="F118" s="459"/>
      <c r="G118" s="459"/>
      <c r="H118" s="459"/>
      <c r="I118" s="459"/>
      <c r="J118" s="459"/>
      <c r="K118" s="459"/>
      <c r="L118" s="459"/>
      <c r="M118" s="459"/>
      <c r="N118" s="459"/>
      <c r="O118" s="459"/>
      <c r="P118" s="459"/>
      <c r="Q118" s="459"/>
      <c r="R118" s="459"/>
      <c r="S118" s="459"/>
      <c r="T118" s="459"/>
      <c r="U118" s="459"/>
    </row>
    <row r="119" spans="3:21">
      <c r="C119" s="459"/>
      <c r="D119" s="459"/>
      <c r="E119" s="459"/>
      <c r="F119" s="459"/>
      <c r="G119" s="459"/>
      <c r="H119" s="459"/>
      <c r="I119" s="459"/>
      <c r="J119" s="459"/>
      <c r="K119" s="459"/>
      <c r="L119" s="459"/>
      <c r="M119" s="459"/>
      <c r="N119" s="459"/>
      <c r="O119" s="459"/>
      <c r="P119" s="459"/>
      <c r="Q119" s="459"/>
      <c r="R119" s="459"/>
      <c r="S119" s="459"/>
      <c r="T119" s="459"/>
      <c r="U119" s="459"/>
    </row>
    <row r="120" spans="3:21">
      <c r="C120" s="459"/>
      <c r="D120" s="459"/>
      <c r="E120" s="459"/>
      <c r="F120" s="459"/>
      <c r="G120" s="459"/>
      <c r="H120" s="459"/>
      <c r="I120" s="459"/>
      <c r="J120" s="459"/>
      <c r="K120" s="459"/>
      <c r="L120" s="459"/>
      <c r="M120" s="459"/>
      <c r="N120" s="459"/>
      <c r="O120" s="459"/>
      <c r="P120" s="459"/>
      <c r="Q120" s="459"/>
      <c r="R120" s="459"/>
      <c r="S120" s="459"/>
      <c r="T120" s="459"/>
      <c r="U120" s="459"/>
    </row>
    <row r="121" spans="3:21">
      <c r="C121" s="459"/>
      <c r="D121" s="459"/>
      <c r="E121" s="459"/>
      <c r="F121" s="459"/>
      <c r="G121" s="459"/>
      <c r="H121" s="459"/>
      <c r="I121" s="459"/>
      <c r="J121" s="459"/>
      <c r="K121" s="459"/>
      <c r="L121" s="459"/>
      <c r="M121" s="459"/>
      <c r="N121" s="459"/>
      <c r="O121" s="459"/>
      <c r="P121" s="459"/>
      <c r="Q121" s="459"/>
      <c r="R121" s="459"/>
      <c r="S121" s="459"/>
      <c r="T121" s="459"/>
      <c r="U121" s="459"/>
    </row>
    <row r="122" spans="3:21">
      <c r="C122" s="459"/>
      <c r="D122" s="459"/>
      <c r="E122" s="459"/>
      <c r="F122" s="459"/>
      <c r="G122" s="459"/>
      <c r="H122" s="459"/>
      <c r="I122" s="459"/>
      <c r="J122" s="459"/>
      <c r="K122" s="459"/>
      <c r="L122" s="459"/>
      <c r="M122" s="459"/>
      <c r="N122" s="459"/>
      <c r="O122" s="459"/>
      <c r="P122" s="459"/>
      <c r="Q122" s="459"/>
      <c r="R122" s="459"/>
      <c r="S122" s="459"/>
      <c r="T122" s="459"/>
      <c r="U122" s="459"/>
    </row>
    <row r="123" spans="3:21">
      <c r="C123" s="459"/>
      <c r="D123" s="459"/>
      <c r="E123" s="459"/>
      <c r="F123" s="459"/>
      <c r="G123" s="459"/>
      <c r="H123" s="459"/>
      <c r="I123" s="459"/>
      <c r="J123" s="459"/>
      <c r="K123" s="459"/>
      <c r="L123" s="459"/>
      <c r="M123" s="459"/>
      <c r="N123" s="459"/>
      <c r="O123" s="459"/>
      <c r="P123" s="459"/>
      <c r="Q123" s="459"/>
      <c r="R123" s="459"/>
      <c r="S123" s="459"/>
      <c r="T123" s="459"/>
      <c r="U123" s="459"/>
    </row>
    <row r="124" spans="3:21">
      <c r="C124" s="459"/>
      <c r="D124" s="459"/>
      <c r="E124" s="459"/>
      <c r="F124" s="459"/>
      <c r="G124" s="459"/>
      <c r="H124" s="459"/>
      <c r="I124" s="459"/>
      <c r="J124" s="459"/>
      <c r="K124" s="459"/>
      <c r="L124" s="459"/>
      <c r="M124" s="459"/>
      <c r="N124" s="459"/>
      <c r="O124" s="459"/>
      <c r="P124" s="459"/>
      <c r="Q124" s="459"/>
      <c r="R124" s="459"/>
      <c r="S124" s="459"/>
      <c r="T124" s="459"/>
      <c r="U124" s="459"/>
    </row>
    <row r="125" spans="3:21">
      <c r="C125" s="459"/>
      <c r="D125" s="459"/>
      <c r="E125" s="459"/>
      <c r="F125" s="459"/>
      <c r="G125" s="459"/>
      <c r="H125" s="459"/>
      <c r="I125" s="459"/>
      <c r="J125" s="459"/>
      <c r="K125" s="459"/>
      <c r="L125" s="459"/>
      <c r="M125" s="459"/>
      <c r="N125" s="459"/>
      <c r="O125" s="459"/>
      <c r="P125" s="459"/>
      <c r="Q125" s="459"/>
      <c r="R125" s="459"/>
      <c r="S125" s="459"/>
      <c r="T125" s="459"/>
      <c r="U125" s="459"/>
    </row>
    <row r="126" spans="3:21">
      <c r="C126" s="459"/>
      <c r="D126" s="459"/>
      <c r="E126" s="459"/>
      <c r="F126" s="459"/>
      <c r="G126" s="459"/>
      <c r="H126" s="459"/>
      <c r="I126" s="459"/>
      <c r="J126" s="459"/>
      <c r="K126" s="459"/>
      <c r="L126" s="459"/>
      <c r="M126" s="459"/>
      <c r="N126" s="459"/>
      <c r="O126" s="459"/>
      <c r="P126" s="459"/>
      <c r="Q126" s="459"/>
      <c r="R126" s="459"/>
      <c r="S126" s="459"/>
      <c r="T126" s="459"/>
      <c r="U126" s="459"/>
    </row>
    <row r="127" spans="3:21">
      <c r="C127" s="459"/>
      <c r="D127" s="459"/>
      <c r="E127" s="459"/>
      <c r="F127" s="459"/>
      <c r="G127" s="459"/>
      <c r="H127" s="459"/>
      <c r="I127" s="459"/>
      <c r="J127" s="459"/>
      <c r="K127" s="459"/>
      <c r="L127" s="459"/>
      <c r="M127" s="459"/>
      <c r="N127" s="459"/>
      <c r="O127" s="459"/>
      <c r="P127" s="459"/>
      <c r="Q127" s="459"/>
      <c r="R127" s="459"/>
      <c r="S127" s="459"/>
      <c r="T127" s="459"/>
      <c r="U127" s="459"/>
    </row>
    <row r="128" spans="3:21">
      <c r="C128" s="459"/>
      <c r="D128" s="459"/>
      <c r="E128" s="459"/>
      <c r="F128" s="459"/>
      <c r="G128" s="459"/>
      <c r="H128" s="459"/>
      <c r="I128" s="459"/>
      <c r="J128" s="459"/>
      <c r="K128" s="459"/>
      <c r="L128" s="459"/>
      <c r="M128" s="459"/>
      <c r="N128" s="459"/>
      <c r="O128" s="459"/>
      <c r="P128" s="459"/>
      <c r="Q128" s="459"/>
      <c r="R128" s="459"/>
      <c r="S128" s="459"/>
      <c r="T128" s="459"/>
      <c r="U128" s="459"/>
    </row>
    <row r="129" spans="3:21">
      <c r="C129" s="459"/>
      <c r="D129" s="459"/>
      <c r="E129" s="459"/>
      <c r="F129" s="459"/>
      <c r="G129" s="459"/>
      <c r="H129" s="459"/>
      <c r="I129" s="459"/>
      <c r="J129" s="459"/>
      <c r="K129" s="459"/>
      <c r="L129" s="459"/>
      <c r="M129" s="459"/>
      <c r="N129" s="459"/>
      <c r="O129" s="459"/>
      <c r="P129" s="459"/>
      <c r="Q129" s="459"/>
      <c r="R129" s="459"/>
      <c r="S129" s="459"/>
      <c r="T129" s="459"/>
      <c r="U129" s="459"/>
    </row>
    <row r="130" spans="3:21">
      <c r="C130" s="459"/>
      <c r="D130" s="459"/>
      <c r="E130" s="459"/>
      <c r="F130" s="459"/>
      <c r="G130" s="459"/>
      <c r="H130" s="459"/>
      <c r="I130" s="459"/>
      <c r="J130" s="459"/>
      <c r="K130" s="459"/>
      <c r="L130" s="459"/>
      <c r="M130" s="459"/>
      <c r="N130" s="459"/>
      <c r="O130" s="459"/>
      <c r="P130" s="459"/>
      <c r="Q130" s="459"/>
      <c r="R130" s="459"/>
      <c r="S130" s="459"/>
      <c r="T130" s="459"/>
      <c r="U130" s="459"/>
    </row>
    <row r="131" spans="3:21">
      <c r="C131" s="459"/>
      <c r="D131" s="459"/>
      <c r="E131" s="459"/>
      <c r="F131" s="459"/>
      <c r="G131" s="459"/>
      <c r="H131" s="459"/>
      <c r="I131" s="459"/>
      <c r="J131" s="459"/>
      <c r="K131" s="459"/>
      <c r="L131" s="459"/>
      <c r="M131" s="459"/>
      <c r="N131" s="459"/>
      <c r="O131" s="459"/>
      <c r="P131" s="459"/>
      <c r="Q131" s="459"/>
      <c r="R131" s="459"/>
      <c r="S131" s="459"/>
      <c r="T131" s="459"/>
      <c r="U131" s="459"/>
    </row>
    <row r="132" spans="3:21">
      <c r="C132" s="459"/>
      <c r="D132" s="459"/>
      <c r="E132" s="459"/>
      <c r="F132" s="459"/>
      <c r="G132" s="459"/>
      <c r="H132" s="459"/>
      <c r="I132" s="459"/>
      <c r="J132" s="459"/>
      <c r="K132" s="459"/>
      <c r="L132" s="459"/>
      <c r="M132" s="459"/>
      <c r="N132" s="459"/>
      <c r="O132" s="459"/>
      <c r="P132" s="459"/>
      <c r="Q132" s="459"/>
      <c r="R132" s="459"/>
      <c r="S132" s="459"/>
      <c r="T132" s="459"/>
      <c r="U132" s="459"/>
    </row>
    <row r="133" spans="3:21">
      <c r="C133" s="459"/>
      <c r="D133" s="459"/>
      <c r="E133" s="459"/>
      <c r="F133" s="459"/>
      <c r="G133" s="459"/>
      <c r="H133" s="459"/>
      <c r="I133" s="459"/>
      <c r="J133" s="459"/>
      <c r="K133" s="459"/>
      <c r="L133" s="459"/>
      <c r="M133" s="459"/>
      <c r="N133" s="459"/>
      <c r="O133" s="459"/>
      <c r="P133" s="459"/>
      <c r="Q133" s="459"/>
      <c r="R133" s="459"/>
      <c r="S133" s="459"/>
      <c r="T133" s="459"/>
      <c r="U133" s="459"/>
    </row>
    <row r="134" spans="3:21">
      <c r="C134" s="459"/>
      <c r="D134" s="459"/>
      <c r="E134" s="459"/>
      <c r="F134" s="459"/>
      <c r="G134" s="459"/>
      <c r="H134" s="459"/>
      <c r="I134" s="459"/>
      <c r="J134" s="459"/>
      <c r="K134" s="459"/>
      <c r="L134" s="459"/>
      <c r="M134" s="459"/>
      <c r="N134" s="459"/>
      <c r="O134" s="459"/>
      <c r="P134" s="459"/>
      <c r="Q134" s="459"/>
      <c r="R134" s="459"/>
      <c r="S134" s="459"/>
      <c r="T134" s="459"/>
      <c r="U134" s="459"/>
    </row>
    <row r="135" spans="3:21">
      <c r="C135" s="459"/>
      <c r="D135" s="459"/>
      <c r="E135" s="459"/>
      <c r="F135" s="459"/>
      <c r="G135" s="459"/>
      <c r="H135" s="459"/>
      <c r="I135" s="459"/>
      <c r="J135" s="459"/>
      <c r="K135" s="459"/>
      <c r="L135" s="459"/>
      <c r="M135" s="459"/>
      <c r="N135" s="459"/>
      <c r="O135" s="459"/>
      <c r="P135" s="459"/>
      <c r="Q135" s="459"/>
      <c r="R135" s="459"/>
      <c r="S135" s="459"/>
      <c r="T135" s="459"/>
      <c r="U135" s="459"/>
    </row>
    <row r="136" spans="3:21">
      <c r="C136" s="459"/>
      <c r="D136" s="459"/>
      <c r="E136" s="459"/>
      <c r="F136" s="459"/>
      <c r="G136" s="459"/>
      <c r="H136" s="459"/>
      <c r="I136" s="459"/>
      <c r="J136" s="459"/>
      <c r="K136" s="459"/>
      <c r="L136" s="459"/>
      <c r="M136" s="459"/>
      <c r="N136" s="459"/>
      <c r="O136" s="459"/>
      <c r="P136" s="459"/>
      <c r="Q136" s="459"/>
      <c r="R136" s="459"/>
      <c r="S136" s="459"/>
      <c r="T136" s="459"/>
      <c r="U136" s="459"/>
    </row>
    <row r="137" spans="3:21">
      <c r="C137" s="459"/>
      <c r="D137" s="459"/>
      <c r="E137" s="459"/>
      <c r="F137" s="459"/>
      <c r="G137" s="459"/>
      <c r="H137" s="459"/>
      <c r="I137" s="459"/>
      <c r="J137" s="459"/>
      <c r="K137" s="459"/>
      <c r="L137" s="459"/>
      <c r="M137" s="459"/>
      <c r="N137" s="459"/>
      <c r="O137" s="459"/>
      <c r="P137" s="459"/>
      <c r="Q137" s="459"/>
      <c r="R137" s="459"/>
      <c r="S137" s="459"/>
      <c r="T137" s="459"/>
      <c r="U137" s="459"/>
    </row>
    <row r="138" spans="3:21">
      <c r="C138" s="459"/>
      <c r="D138" s="459"/>
      <c r="E138" s="459"/>
      <c r="F138" s="459"/>
      <c r="G138" s="459"/>
      <c r="H138" s="459"/>
      <c r="I138" s="459"/>
      <c r="J138" s="459"/>
      <c r="K138" s="459"/>
      <c r="L138" s="459"/>
      <c r="M138" s="459"/>
      <c r="N138" s="459"/>
      <c r="O138" s="459"/>
      <c r="P138" s="459"/>
      <c r="Q138" s="459"/>
      <c r="R138" s="459"/>
      <c r="S138" s="459"/>
      <c r="T138" s="459"/>
      <c r="U138" s="459"/>
    </row>
    <row r="139" spans="3:21">
      <c r="C139" s="459"/>
      <c r="D139" s="459"/>
      <c r="E139" s="459"/>
      <c r="F139" s="459"/>
      <c r="G139" s="459"/>
      <c r="H139" s="459"/>
      <c r="I139" s="459"/>
      <c r="J139" s="459"/>
      <c r="K139" s="459"/>
      <c r="L139" s="459"/>
      <c r="M139" s="459"/>
      <c r="N139" s="459"/>
      <c r="O139" s="459"/>
      <c r="P139" s="459"/>
      <c r="Q139" s="459"/>
      <c r="R139" s="459"/>
      <c r="S139" s="459"/>
      <c r="T139" s="459"/>
      <c r="U139" s="459"/>
    </row>
    <row r="140" spans="3:21">
      <c r="C140" s="459"/>
      <c r="D140" s="459"/>
      <c r="E140" s="459"/>
      <c r="F140" s="459"/>
      <c r="G140" s="459"/>
      <c r="H140" s="459"/>
      <c r="I140" s="459"/>
      <c r="J140" s="459"/>
      <c r="K140" s="459"/>
      <c r="L140" s="459"/>
      <c r="M140" s="459"/>
      <c r="N140" s="459"/>
      <c r="O140" s="459"/>
      <c r="P140" s="459"/>
      <c r="Q140" s="459"/>
      <c r="R140" s="459"/>
      <c r="S140" s="459"/>
      <c r="T140" s="459"/>
      <c r="U140" s="459"/>
    </row>
    <row r="141" spans="3:21">
      <c r="C141" s="459"/>
      <c r="D141" s="459"/>
      <c r="E141" s="459"/>
      <c r="F141" s="459"/>
      <c r="G141" s="459"/>
      <c r="H141" s="459"/>
      <c r="I141" s="459"/>
      <c r="J141" s="459"/>
      <c r="K141" s="459"/>
      <c r="L141" s="459"/>
      <c r="M141" s="459"/>
      <c r="N141" s="459"/>
      <c r="O141" s="459"/>
      <c r="P141" s="459"/>
      <c r="Q141" s="459"/>
      <c r="R141" s="459"/>
      <c r="S141" s="459"/>
      <c r="T141" s="459"/>
      <c r="U141" s="459"/>
    </row>
    <row r="142" spans="3:21">
      <c r="C142" s="459"/>
      <c r="D142" s="459"/>
      <c r="E142" s="459"/>
      <c r="F142" s="459"/>
      <c r="G142" s="459"/>
      <c r="H142" s="459"/>
      <c r="I142" s="459"/>
      <c r="J142" s="459"/>
      <c r="K142" s="459"/>
      <c r="L142" s="459"/>
      <c r="M142" s="459"/>
      <c r="N142" s="459"/>
      <c r="O142" s="459"/>
      <c r="P142" s="459"/>
      <c r="Q142" s="459"/>
      <c r="R142" s="459"/>
      <c r="S142" s="459"/>
      <c r="T142" s="459"/>
      <c r="U142" s="459"/>
    </row>
    <row r="143" spans="3:21">
      <c r="C143" s="459"/>
      <c r="D143" s="459"/>
      <c r="E143" s="459"/>
      <c r="F143" s="459"/>
      <c r="G143" s="459"/>
      <c r="H143" s="459"/>
      <c r="I143" s="459"/>
      <c r="J143" s="459"/>
      <c r="K143" s="459"/>
      <c r="L143" s="459"/>
      <c r="M143" s="459"/>
      <c r="N143" s="459"/>
      <c r="O143" s="459"/>
      <c r="P143" s="459"/>
      <c r="Q143" s="459"/>
      <c r="R143" s="459"/>
      <c r="S143" s="459"/>
      <c r="T143" s="459"/>
      <c r="U143" s="459"/>
    </row>
    <row r="144" spans="3:21">
      <c r="C144" s="459"/>
      <c r="D144" s="459"/>
      <c r="E144" s="459"/>
      <c r="F144" s="459"/>
      <c r="G144" s="459"/>
      <c r="H144" s="459"/>
      <c r="I144" s="459"/>
      <c r="J144" s="459"/>
      <c r="K144" s="459"/>
      <c r="L144" s="459"/>
      <c r="M144" s="459"/>
      <c r="N144" s="459"/>
      <c r="O144" s="459"/>
      <c r="P144" s="459"/>
      <c r="Q144" s="459"/>
      <c r="R144" s="459"/>
      <c r="S144" s="459"/>
      <c r="T144" s="459"/>
      <c r="U144" s="459"/>
    </row>
    <row r="145" spans="3:21">
      <c r="C145" s="459"/>
      <c r="D145" s="459"/>
      <c r="E145" s="459"/>
      <c r="F145" s="459"/>
      <c r="G145" s="459"/>
      <c r="H145" s="459"/>
      <c r="I145" s="459"/>
      <c r="J145" s="459"/>
      <c r="K145" s="459"/>
      <c r="L145" s="459"/>
      <c r="M145" s="459"/>
      <c r="N145" s="459"/>
      <c r="O145" s="459"/>
      <c r="P145" s="459"/>
      <c r="Q145" s="459"/>
      <c r="R145" s="459"/>
      <c r="S145" s="459"/>
      <c r="T145" s="459"/>
      <c r="U145" s="459"/>
    </row>
    <row r="146" spans="3:21">
      <c r="C146" s="459"/>
      <c r="D146" s="459"/>
      <c r="E146" s="459"/>
      <c r="F146" s="459"/>
      <c r="G146" s="459"/>
      <c r="H146" s="459"/>
      <c r="I146" s="459"/>
      <c r="J146" s="459"/>
      <c r="K146" s="459"/>
      <c r="L146" s="459"/>
      <c r="M146" s="459"/>
      <c r="N146" s="459"/>
      <c r="O146" s="459"/>
      <c r="P146" s="459"/>
      <c r="Q146" s="459"/>
      <c r="R146" s="459"/>
      <c r="S146" s="459"/>
      <c r="T146" s="459"/>
      <c r="U146" s="459"/>
    </row>
    <row r="147" spans="3:21">
      <c r="C147" s="459"/>
      <c r="D147" s="459"/>
      <c r="E147" s="459"/>
      <c r="F147" s="459"/>
      <c r="G147" s="459"/>
      <c r="H147" s="459"/>
      <c r="I147" s="459"/>
      <c r="J147" s="459"/>
      <c r="K147" s="459"/>
      <c r="L147" s="459"/>
      <c r="M147" s="459"/>
      <c r="N147" s="459"/>
      <c r="O147" s="459"/>
      <c r="P147" s="459"/>
      <c r="Q147" s="459"/>
      <c r="R147" s="459"/>
      <c r="S147" s="459"/>
      <c r="T147" s="459"/>
      <c r="U147" s="459"/>
    </row>
    <row r="148" spans="3:21">
      <c r="C148" s="459"/>
      <c r="D148" s="459"/>
      <c r="E148" s="459"/>
      <c r="F148" s="459"/>
      <c r="G148" s="459"/>
      <c r="H148" s="459"/>
      <c r="I148" s="459"/>
      <c r="J148" s="459"/>
      <c r="K148" s="459"/>
      <c r="L148" s="459"/>
      <c r="M148" s="459"/>
      <c r="N148" s="459"/>
      <c r="O148" s="459"/>
      <c r="P148" s="459"/>
      <c r="Q148" s="459"/>
      <c r="R148" s="459"/>
      <c r="S148" s="459"/>
      <c r="T148" s="459"/>
      <c r="U148" s="459"/>
    </row>
    <row r="149" spans="3:21">
      <c r="C149" s="459"/>
      <c r="D149" s="459"/>
      <c r="E149" s="459"/>
      <c r="F149" s="459"/>
      <c r="G149" s="459"/>
      <c r="H149" s="459"/>
      <c r="I149" s="459"/>
      <c r="J149" s="459"/>
      <c r="K149" s="459"/>
      <c r="L149" s="459"/>
      <c r="M149" s="459"/>
      <c r="N149" s="459"/>
      <c r="O149" s="459"/>
      <c r="P149" s="459"/>
      <c r="Q149" s="459"/>
      <c r="R149" s="459"/>
      <c r="S149" s="459"/>
      <c r="T149" s="459"/>
      <c r="U149" s="459"/>
    </row>
    <row r="150" spans="3:21">
      <c r="C150" s="459"/>
      <c r="D150" s="459"/>
      <c r="E150" s="459"/>
      <c r="F150" s="459"/>
      <c r="G150" s="459"/>
      <c r="H150" s="459"/>
      <c r="I150" s="459"/>
      <c r="J150" s="459"/>
      <c r="K150" s="459"/>
      <c r="L150" s="459"/>
      <c r="M150" s="459"/>
      <c r="N150" s="459"/>
      <c r="O150" s="459"/>
      <c r="P150" s="459"/>
      <c r="Q150" s="459"/>
      <c r="R150" s="459"/>
      <c r="S150" s="459"/>
      <c r="T150" s="459"/>
      <c r="U150" s="459"/>
    </row>
    <row r="151" spans="3:21">
      <c r="C151" s="459"/>
      <c r="D151" s="459"/>
      <c r="E151" s="459"/>
      <c r="F151" s="459"/>
      <c r="G151" s="459"/>
      <c r="H151" s="459"/>
      <c r="I151" s="459"/>
      <c r="J151" s="459"/>
      <c r="K151" s="459"/>
      <c r="L151" s="459"/>
      <c r="M151" s="459"/>
      <c r="N151" s="459"/>
      <c r="O151" s="459"/>
      <c r="P151" s="459"/>
      <c r="Q151" s="459"/>
      <c r="R151" s="459"/>
      <c r="S151" s="459"/>
      <c r="T151" s="459"/>
      <c r="U151" s="459"/>
    </row>
    <row r="152" spans="3:21">
      <c r="C152" s="459"/>
      <c r="D152" s="459"/>
      <c r="E152" s="459"/>
      <c r="F152" s="459"/>
      <c r="G152" s="459"/>
      <c r="H152" s="459"/>
      <c r="I152" s="459"/>
      <c r="J152" s="459"/>
      <c r="K152" s="459"/>
      <c r="L152" s="459"/>
      <c r="M152" s="459"/>
      <c r="N152" s="459"/>
      <c r="O152" s="459"/>
      <c r="P152" s="459"/>
      <c r="Q152" s="459"/>
      <c r="R152" s="459"/>
      <c r="S152" s="459"/>
      <c r="T152" s="459"/>
      <c r="U152" s="459"/>
    </row>
    <row r="153" spans="3:21">
      <c r="C153" s="459"/>
      <c r="D153" s="459"/>
      <c r="E153" s="459"/>
      <c r="F153" s="459"/>
      <c r="G153" s="459"/>
      <c r="H153" s="459"/>
      <c r="I153" s="459"/>
      <c r="J153" s="459"/>
      <c r="K153" s="459"/>
      <c r="L153" s="459"/>
      <c r="M153" s="459"/>
      <c r="N153" s="459"/>
      <c r="O153" s="459"/>
      <c r="P153" s="459"/>
      <c r="Q153" s="459"/>
      <c r="R153" s="459"/>
      <c r="S153" s="459"/>
      <c r="T153" s="459"/>
      <c r="U153" s="459"/>
    </row>
    <row r="154" spans="3:21">
      <c r="C154" s="459"/>
      <c r="D154" s="459"/>
      <c r="E154" s="459"/>
      <c r="F154" s="459"/>
      <c r="G154" s="459"/>
      <c r="H154" s="459"/>
      <c r="I154" s="459"/>
      <c r="J154" s="459"/>
      <c r="K154" s="459"/>
      <c r="L154" s="459"/>
      <c r="M154" s="459"/>
      <c r="N154" s="459"/>
      <c r="O154" s="459"/>
      <c r="P154" s="459"/>
      <c r="Q154" s="459"/>
      <c r="R154" s="459"/>
      <c r="S154" s="459"/>
      <c r="T154" s="459"/>
      <c r="U154" s="459"/>
    </row>
    <row r="155" spans="3:21">
      <c r="C155" s="459"/>
      <c r="D155" s="459"/>
      <c r="E155" s="459"/>
      <c r="F155" s="459"/>
      <c r="G155" s="459"/>
      <c r="H155" s="459"/>
      <c r="I155" s="459"/>
      <c r="J155" s="459"/>
      <c r="K155" s="459"/>
      <c r="L155" s="459"/>
      <c r="M155" s="459"/>
      <c r="N155" s="459"/>
      <c r="O155" s="459"/>
      <c r="P155" s="459"/>
      <c r="Q155" s="459"/>
      <c r="R155" s="459"/>
      <c r="S155" s="459"/>
      <c r="T155" s="459"/>
      <c r="U155" s="459"/>
    </row>
    <row r="156" spans="3:21">
      <c r="C156" s="459"/>
      <c r="D156" s="459"/>
      <c r="E156" s="459"/>
      <c r="F156" s="459"/>
      <c r="G156" s="459"/>
      <c r="H156" s="459"/>
      <c r="I156" s="459"/>
      <c r="J156" s="459"/>
      <c r="K156" s="459"/>
      <c r="L156" s="459"/>
      <c r="M156" s="459"/>
      <c r="N156" s="459"/>
      <c r="O156" s="459"/>
      <c r="P156" s="459"/>
      <c r="Q156" s="459"/>
      <c r="R156" s="459"/>
      <c r="S156" s="459"/>
      <c r="T156" s="459"/>
      <c r="U156" s="459"/>
    </row>
    <row r="157" spans="3:21">
      <c r="C157" s="459"/>
      <c r="D157" s="459"/>
      <c r="E157" s="459"/>
      <c r="F157" s="459"/>
      <c r="G157" s="459"/>
      <c r="H157" s="459"/>
      <c r="I157" s="459"/>
      <c r="J157" s="459"/>
      <c r="K157" s="459"/>
      <c r="L157" s="459"/>
      <c r="M157" s="459"/>
      <c r="N157" s="459"/>
      <c r="O157" s="459"/>
      <c r="P157" s="459"/>
      <c r="Q157" s="459"/>
      <c r="R157" s="459"/>
      <c r="S157" s="459"/>
      <c r="T157" s="459"/>
      <c r="U157" s="459"/>
    </row>
    <row r="158" spans="3:21">
      <c r="C158" s="459"/>
      <c r="D158" s="459"/>
      <c r="E158" s="459"/>
      <c r="F158" s="459"/>
      <c r="G158" s="459"/>
      <c r="H158" s="459"/>
      <c r="I158" s="459"/>
      <c r="J158" s="459"/>
      <c r="K158" s="459"/>
      <c r="L158" s="459"/>
      <c r="M158" s="459"/>
      <c r="N158" s="459"/>
      <c r="O158" s="459"/>
      <c r="P158" s="459"/>
      <c r="Q158" s="459"/>
      <c r="R158" s="459"/>
      <c r="S158" s="459"/>
      <c r="T158" s="459"/>
      <c r="U158" s="459"/>
    </row>
    <row r="159" spans="3:21">
      <c r="C159" s="459"/>
      <c r="D159" s="459"/>
      <c r="E159" s="459"/>
      <c r="F159" s="459"/>
      <c r="G159" s="459"/>
      <c r="H159" s="459"/>
      <c r="I159" s="459"/>
      <c r="J159" s="459"/>
      <c r="K159" s="459"/>
      <c r="L159" s="459"/>
      <c r="M159" s="459"/>
      <c r="N159" s="459"/>
      <c r="O159" s="459"/>
      <c r="P159" s="459"/>
      <c r="Q159" s="459"/>
      <c r="R159" s="459"/>
      <c r="S159" s="459"/>
      <c r="T159" s="459"/>
      <c r="U159" s="459"/>
    </row>
    <row r="160" spans="3:21">
      <c r="C160" s="459"/>
      <c r="D160" s="459"/>
      <c r="E160" s="459"/>
      <c r="F160" s="459"/>
      <c r="G160" s="459"/>
      <c r="H160" s="459"/>
      <c r="I160" s="459"/>
      <c r="J160" s="459"/>
      <c r="K160" s="459"/>
      <c r="L160" s="459"/>
      <c r="M160" s="459"/>
      <c r="N160" s="459"/>
      <c r="O160" s="459"/>
      <c r="P160" s="459"/>
      <c r="Q160" s="459"/>
      <c r="R160" s="459"/>
      <c r="S160" s="459"/>
      <c r="T160" s="459"/>
      <c r="U160" s="459"/>
    </row>
    <row r="161" spans="3:21">
      <c r="C161" s="459"/>
      <c r="D161" s="459"/>
      <c r="E161" s="459"/>
      <c r="F161" s="459"/>
      <c r="G161" s="459"/>
      <c r="H161" s="459"/>
      <c r="I161" s="459"/>
      <c r="J161" s="459"/>
      <c r="K161" s="459"/>
      <c r="L161" s="459"/>
      <c r="M161" s="459"/>
      <c r="N161" s="459"/>
      <c r="O161" s="459"/>
      <c r="P161" s="459"/>
      <c r="Q161" s="459"/>
      <c r="R161" s="459"/>
      <c r="S161" s="459"/>
      <c r="T161" s="459"/>
      <c r="U161" s="459"/>
    </row>
    <row r="162" spans="3:21">
      <c r="C162" s="459"/>
      <c r="D162" s="459"/>
      <c r="E162" s="459"/>
      <c r="F162" s="459"/>
      <c r="G162" s="459"/>
      <c r="H162" s="459"/>
      <c r="I162" s="459"/>
      <c r="J162" s="459"/>
      <c r="K162" s="459"/>
      <c r="L162" s="459"/>
      <c r="M162" s="459"/>
      <c r="N162" s="459"/>
      <c r="O162" s="459"/>
      <c r="P162" s="459"/>
      <c r="Q162" s="459"/>
      <c r="R162" s="459"/>
      <c r="S162" s="459"/>
      <c r="T162" s="459"/>
      <c r="U162" s="459"/>
    </row>
    <row r="163" spans="3:21">
      <c r="C163" s="459"/>
      <c r="D163" s="459"/>
      <c r="E163" s="459"/>
      <c r="F163" s="459"/>
      <c r="G163" s="459"/>
      <c r="H163" s="459"/>
      <c r="I163" s="459"/>
      <c r="J163" s="459"/>
      <c r="K163" s="459"/>
      <c r="L163" s="459"/>
      <c r="M163" s="459"/>
      <c r="N163" s="459"/>
      <c r="O163" s="459"/>
      <c r="P163" s="459"/>
      <c r="Q163" s="459"/>
      <c r="R163" s="459"/>
      <c r="S163" s="459"/>
      <c r="T163" s="459"/>
      <c r="U163" s="459"/>
    </row>
    <row r="164" spans="3:21">
      <c r="C164" s="459"/>
      <c r="D164" s="459"/>
      <c r="E164" s="459"/>
      <c r="F164" s="459"/>
      <c r="G164" s="459"/>
      <c r="H164" s="459"/>
      <c r="I164" s="459"/>
      <c r="J164" s="459"/>
      <c r="K164" s="459"/>
      <c r="L164" s="459"/>
      <c r="M164" s="459"/>
      <c r="N164" s="459"/>
      <c r="O164" s="459"/>
      <c r="P164" s="459"/>
      <c r="Q164" s="459"/>
      <c r="R164" s="459"/>
      <c r="S164" s="459"/>
      <c r="T164" s="459"/>
      <c r="U164" s="459"/>
    </row>
    <row r="165" spans="3:21">
      <c r="C165" s="459"/>
      <c r="D165" s="459"/>
      <c r="E165" s="459"/>
      <c r="F165" s="459"/>
      <c r="G165" s="459"/>
      <c r="H165" s="459"/>
      <c r="I165" s="459"/>
      <c r="J165" s="459"/>
      <c r="K165" s="459"/>
      <c r="L165" s="459"/>
      <c r="M165" s="459"/>
      <c r="N165" s="459"/>
      <c r="O165" s="459"/>
      <c r="P165" s="459"/>
      <c r="Q165" s="459"/>
      <c r="R165" s="459"/>
      <c r="S165" s="459"/>
      <c r="T165" s="459"/>
      <c r="U165" s="459"/>
    </row>
    <row r="166" spans="3:21">
      <c r="C166" s="459"/>
      <c r="D166" s="459"/>
      <c r="E166" s="459"/>
      <c r="F166" s="459"/>
      <c r="G166" s="459"/>
      <c r="H166" s="459"/>
      <c r="I166" s="459"/>
      <c r="J166" s="459"/>
      <c r="K166" s="459"/>
      <c r="L166" s="459"/>
      <c r="M166" s="459"/>
      <c r="N166" s="459"/>
      <c r="O166" s="459"/>
      <c r="P166" s="459"/>
      <c r="Q166" s="459"/>
      <c r="R166" s="459"/>
      <c r="S166" s="459"/>
      <c r="T166" s="459"/>
      <c r="U166" s="459"/>
    </row>
    <row r="167" spans="3:21">
      <c r="C167" s="459"/>
      <c r="D167" s="459"/>
      <c r="E167" s="459"/>
      <c r="F167" s="459"/>
      <c r="G167" s="459"/>
      <c r="H167" s="459"/>
      <c r="I167" s="459"/>
      <c r="J167" s="459"/>
      <c r="K167" s="459"/>
      <c r="L167" s="459"/>
      <c r="M167" s="459"/>
      <c r="N167" s="459"/>
      <c r="O167" s="459"/>
      <c r="P167" s="459"/>
      <c r="Q167" s="459"/>
      <c r="R167" s="459"/>
      <c r="S167" s="459"/>
      <c r="T167" s="459"/>
      <c r="U167" s="459"/>
    </row>
    <row r="168" spans="3:21">
      <c r="C168" s="459"/>
      <c r="D168" s="459"/>
      <c r="E168" s="459"/>
      <c r="F168" s="459"/>
      <c r="G168" s="459"/>
      <c r="H168" s="459"/>
      <c r="I168" s="459"/>
      <c r="J168" s="459"/>
      <c r="K168" s="459"/>
      <c r="L168" s="459"/>
      <c r="M168" s="459"/>
      <c r="N168" s="459"/>
      <c r="O168" s="459"/>
      <c r="P168" s="459"/>
      <c r="Q168" s="459"/>
      <c r="R168" s="459"/>
      <c r="S168" s="459"/>
      <c r="T168" s="459"/>
      <c r="U168" s="459"/>
    </row>
    <row r="169" spans="3:21">
      <c r="C169" s="459"/>
      <c r="D169" s="459"/>
      <c r="E169" s="459"/>
      <c r="F169" s="459"/>
      <c r="G169" s="459"/>
      <c r="H169" s="459"/>
      <c r="I169" s="459"/>
      <c r="J169" s="459"/>
      <c r="K169" s="459"/>
      <c r="L169" s="459"/>
      <c r="M169" s="459"/>
      <c r="N169" s="459"/>
      <c r="O169" s="459"/>
      <c r="P169" s="459"/>
      <c r="Q169" s="459"/>
      <c r="R169" s="459"/>
      <c r="S169" s="459"/>
      <c r="T169" s="459"/>
      <c r="U169" s="459"/>
    </row>
    <row r="170" spans="3:21">
      <c r="C170" s="459"/>
      <c r="D170" s="459"/>
      <c r="E170" s="459"/>
      <c r="F170" s="459"/>
      <c r="G170" s="459"/>
      <c r="H170" s="459"/>
      <c r="I170" s="459"/>
      <c r="J170" s="459"/>
      <c r="K170" s="459"/>
      <c r="L170" s="459"/>
      <c r="M170" s="459"/>
      <c r="N170" s="459"/>
      <c r="O170" s="459"/>
      <c r="P170" s="459"/>
      <c r="Q170" s="459"/>
      <c r="R170" s="459"/>
      <c r="S170" s="459"/>
      <c r="T170" s="459"/>
      <c r="U170" s="459"/>
    </row>
    <row r="171" spans="3:21">
      <c r="C171" s="459"/>
      <c r="D171" s="459"/>
      <c r="E171" s="459"/>
      <c r="F171" s="459"/>
      <c r="G171" s="459"/>
      <c r="H171" s="459"/>
      <c r="I171" s="459"/>
      <c r="J171" s="459"/>
      <c r="K171" s="459"/>
      <c r="L171" s="459"/>
      <c r="M171" s="459"/>
      <c r="N171" s="459"/>
      <c r="O171" s="459"/>
      <c r="P171" s="459"/>
      <c r="Q171" s="459"/>
      <c r="R171" s="459"/>
      <c r="S171" s="459"/>
      <c r="T171" s="459"/>
      <c r="U171" s="459"/>
    </row>
    <row r="172" spans="3:21">
      <c r="C172" s="459"/>
      <c r="D172" s="459"/>
      <c r="E172" s="459"/>
      <c r="F172" s="459"/>
      <c r="G172" s="459"/>
      <c r="H172" s="459"/>
      <c r="I172" s="459"/>
      <c r="J172" s="459"/>
      <c r="K172" s="459"/>
      <c r="L172" s="459"/>
      <c r="M172" s="459"/>
      <c r="N172" s="459"/>
      <c r="O172" s="459"/>
      <c r="P172" s="459"/>
      <c r="Q172" s="459"/>
      <c r="R172" s="459"/>
      <c r="S172" s="459"/>
      <c r="T172" s="459"/>
      <c r="U172" s="459"/>
    </row>
    <row r="173" spans="3:21">
      <c r="C173" s="459"/>
      <c r="D173" s="459"/>
      <c r="E173" s="459"/>
      <c r="F173" s="459"/>
      <c r="G173" s="459"/>
      <c r="H173" s="459"/>
      <c r="I173" s="459"/>
      <c r="J173" s="459"/>
      <c r="K173" s="459"/>
      <c r="L173" s="459"/>
      <c r="M173" s="459"/>
      <c r="N173" s="459"/>
      <c r="O173" s="459"/>
      <c r="P173" s="459"/>
      <c r="Q173" s="459"/>
      <c r="R173" s="459"/>
      <c r="S173" s="459"/>
      <c r="T173" s="459"/>
      <c r="U173" s="459"/>
    </row>
    <row r="174" spans="3:21">
      <c r="C174" s="459"/>
      <c r="D174" s="459"/>
      <c r="E174" s="459"/>
      <c r="F174" s="459"/>
      <c r="G174" s="459"/>
      <c r="H174" s="459"/>
      <c r="I174" s="459"/>
      <c r="J174" s="459"/>
      <c r="K174" s="459"/>
      <c r="L174" s="459"/>
      <c r="M174" s="459"/>
      <c r="N174" s="459"/>
      <c r="O174" s="459"/>
      <c r="P174" s="459"/>
      <c r="Q174" s="459"/>
      <c r="R174" s="459"/>
      <c r="S174" s="459"/>
      <c r="T174" s="459"/>
      <c r="U174" s="459"/>
    </row>
    <row r="175" spans="3:21">
      <c r="C175" s="459"/>
      <c r="D175" s="459"/>
      <c r="E175" s="459"/>
      <c r="F175" s="459"/>
      <c r="G175" s="459"/>
      <c r="H175" s="459"/>
      <c r="I175" s="459"/>
      <c r="J175" s="459"/>
      <c r="K175" s="459"/>
      <c r="L175" s="459"/>
      <c r="M175" s="459"/>
      <c r="N175" s="459"/>
      <c r="O175" s="459"/>
      <c r="P175" s="459"/>
      <c r="Q175" s="459"/>
      <c r="R175" s="459"/>
      <c r="S175" s="459"/>
      <c r="T175" s="459"/>
      <c r="U175" s="459"/>
    </row>
    <row r="176" spans="3:21">
      <c r="C176" s="459"/>
      <c r="D176" s="459"/>
      <c r="E176" s="459"/>
      <c r="F176" s="459"/>
      <c r="G176" s="459"/>
      <c r="H176" s="459"/>
      <c r="I176" s="459"/>
      <c r="J176" s="459"/>
      <c r="K176" s="459"/>
      <c r="L176" s="459"/>
      <c r="M176" s="459"/>
      <c r="N176" s="459"/>
      <c r="O176" s="459"/>
      <c r="P176" s="459"/>
      <c r="Q176" s="459"/>
      <c r="R176" s="459"/>
      <c r="S176" s="459"/>
      <c r="T176" s="459"/>
      <c r="U176" s="459"/>
    </row>
    <row r="177" spans="3:21">
      <c r="C177" s="459"/>
      <c r="D177" s="459"/>
      <c r="E177" s="459"/>
      <c r="F177" s="459"/>
      <c r="G177" s="459"/>
      <c r="H177" s="459"/>
      <c r="I177" s="459"/>
      <c r="J177" s="459"/>
      <c r="K177" s="459"/>
      <c r="L177" s="459"/>
      <c r="M177" s="459"/>
      <c r="N177" s="459"/>
      <c r="O177" s="459"/>
      <c r="P177" s="459"/>
      <c r="Q177" s="459"/>
      <c r="R177" s="459"/>
      <c r="S177" s="459"/>
      <c r="T177" s="459"/>
      <c r="U177" s="459"/>
    </row>
    <row r="178" spans="3:21">
      <c r="C178" s="459"/>
      <c r="D178" s="459"/>
      <c r="E178" s="459"/>
      <c r="F178" s="459"/>
      <c r="G178" s="459"/>
      <c r="H178" s="459"/>
      <c r="I178" s="459"/>
      <c r="J178" s="459"/>
      <c r="K178" s="459"/>
      <c r="L178" s="459"/>
      <c r="M178" s="459"/>
      <c r="N178" s="459"/>
      <c r="O178" s="459"/>
      <c r="P178" s="459"/>
      <c r="Q178" s="459"/>
      <c r="R178" s="459"/>
      <c r="S178" s="459"/>
      <c r="T178" s="459"/>
      <c r="U178" s="459"/>
    </row>
    <row r="179" spans="3:21">
      <c r="C179" s="459"/>
      <c r="D179" s="459"/>
      <c r="E179" s="459"/>
      <c r="F179" s="459"/>
      <c r="G179" s="459"/>
      <c r="H179" s="459"/>
      <c r="I179" s="459"/>
      <c r="J179" s="459"/>
      <c r="K179" s="459"/>
      <c r="L179" s="459"/>
      <c r="M179" s="459"/>
      <c r="N179" s="459"/>
      <c r="O179" s="459"/>
      <c r="P179" s="459"/>
      <c r="Q179" s="459"/>
      <c r="R179" s="459"/>
      <c r="S179" s="459"/>
      <c r="T179" s="459"/>
      <c r="U179" s="459"/>
    </row>
    <row r="180" spans="3:21">
      <c r="C180" s="459"/>
      <c r="D180" s="459"/>
      <c r="E180" s="459"/>
      <c r="F180" s="459"/>
      <c r="G180" s="459"/>
      <c r="H180" s="459"/>
      <c r="I180" s="459"/>
      <c r="J180" s="459"/>
      <c r="K180" s="459"/>
      <c r="L180" s="459"/>
      <c r="M180" s="459"/>
      <c r="N180" s="459"/>
      <c r="O180" s="459"/>
      <c r="P180" s="459"/>
      <c r="Q180" s="459"/>
      <c r="R180" s="459"/>
      <c r="S180" s="459"/>
      <c r="T180" s="459"/>
      <c r="U180" s="459"/>
    </row>
    <row r="181" spans="3:21">
      <c r="C181" s="459"/>
      <c r="D181" s="459"/>
      <c r="E181" s="459"/>
      <c r="F181" s="459"/>
      <c r="G181" s="459"/>
      <c r="H181" s="459"/>
      <c r="I181" s="459"/>
      <c r="J181" s="459"/>
      <c r="K181" s="459"/>
      <c r="L181" s="459"/>
      <c r="M181" s="459"/>
      <c r="N181" s="459"/>
      <c r="O181" s="459"/>
      <c r="P181" s="459"/>
      <c r="Q181" s="459"/>
      <c r="R181" s="459"/>
      <c r="S181" s="459"/>
      <c r="T181" s="459"/>
      <c r="U181" s="459"/>
    </row>
    <row r="182" spans="3:21">
      <c r="C182" s="459"/>
      <c r="D182" s="459"/>
      <c r="E182" s="459"/>
      <c r="F182" s="459"/>
      <c r="G182" s="459"/>
      <c r="H182" s="459"/>
      <c r="I182" s="459"/>
      <c r="J182" s="459"/>
      <c r="K182" s="459"/>
      <c r="L182" s="459"/>
      <c r="M182" s="459"/>
      <c r="N182" s="459"/>
      <c r="O182" s="459"/>
      <c r="P182" s="459"/>
      <c r="Q182" s="459"/>
      <c r="R182" s="459"/>
      <c r="S182" s="459"/>
      <c r="T182" s="459"/>
      <c r="U182" s="459"/>
    </row>
    <row r="183" spans="3:21">
      <c r="C183" s="459"/>
      <c r="D183" s="459"/>
      <c r="E183" s="459"/>
      <c r="F183" s="459"/>
      <c r="G183" s="459"/>
      <c r="H183" s="459"/>
      <c r="I183" s="459"/>
      <c r="J183" s="459"/>
      <c r="K183" s="459"/>
      <c r="L183" s="459"/>
      <c r="M183" s="459"/>
      <c r="N183" s="459"/>
      <c r="O183" s="459"/>
      <c r="P183" s="459"/>
      <c r="Q183" s="459"/>
      <c r="R183" s="459"/>
      <c r="S183" s="459"/>
      <c r="T183" s="459"/>
      <c r="U183" s="459"/>
    </row>
    <row r="184" spans="3:21">
      <c r="C184" s="459"/>
      <c r="D184" s="459"/>
      <c r="E184" s="459"/>
      <c r="F184" s="459"/>
      <c r="G184" s="459"/>
      <c r="H184" s="459"/>
      <c r="I184" s="459"/>
      <c r="J184" s="459"/>
      <c r="K184" s="459"/>
      <c r="L184" s="459"/>
      <c r="M184" s="459"/>
      <c r="N184" s="459"/>
      <c r="O184" s="459"/>
      <c r="P184" s="459"/>
      <c r="Q184" s="459"/>
      <c r="R184" s="459"/>
      <c r="S184" s="459"/>
      <c r="T184" s="459"/>
      <c r="U184" s="459"/>
    </row>
    <row r="185" spans="3:21">
      <c r="C185" s="459"/>
      <c r="D185" s="459"/>
      <c r="E185" s="459"/>
      <c r="F185" s="459"/>
      <c r="G185" s="459"/>
      <c r="H185" s="459"/>
      <c r="I185" s="459"/>
      <c r="J185" s="459"/>
      <c r="K185" s="459"/>
      <c r="L185" s="459"/>
      <c r="M185" s="459"/>
      <c r="N185" s="459"/>
      <c r="O185" s="459"/>
      <c r="P185" s="459"/>
      <c r="Q185" s="459"/>
      <c r="R185" s="459"/>
      <c r="S185" s="459"/>
      <c r="T185" s="459"/>
      <c r="U185" s="459"/>
    </row>
    <row r="186" spans="3:21">
      <c r="C186" s="459"/>
      <c r="D186" s="459"/>
      <c r="E186" s="459"/>
      <c r="F186" s="459"/>
      <c r="G186" s="459"/>
      <c r="H186" s="459"/>
      <c r="I186" s="459"/>
      <c r="J186" s="459"/>
      <c r="K186" s="459"/>
      <c r="L186" s="459"/>
      <c r="M186" s="459"/>
      <c r="N186" s="459"/>
      <c r="O186" s="459"/>
      <c r="P186" s="459"/>
      <c r="Q186" s="459"/>
      <c r="R186" s="459"/>
      <c r="S186" s="459"/>
      <c r="T186" s="459"/>
      <c r="U186" s="459"/>
    </row>
    <row r="187" spans="3:21">
      <c r="C187" s="459"/>
      <c r="D187" s="459"/>
      <c r="E187" s="459"/>
      <c r="F187" s="459"/>
      <c r="G187" s="459"/>
      <c r="H187" s="459"/>
      <c r="I187" s="459"/>
      <c r="J187" s="459"/>
      <c r="K187" s="459"/>
      <c r="L187" s="459"/>
      <c r="M187" s="459"/>
      <c r="N187" s="459"/>
      <c r="O187" s="459"/>
      <c r="P187" s="459"/>
      <c r="Q187" s="459"/>
      <c r="R187" s="459"/>
      <c r="S187" s="459"/>
      <c r="T187" s="459"/>
      <c r="U187" s="459"/>
    </row>
    <row r="188" spans="3:21">
      <c r="C188" s="459"/>
      <c r="D188" s="459"/>
      <c r="E188" s="459"/>
      <c r="F188" s="459"/>
      <c r="G188" s="459"/>
      <c r="H188" s="459"/>
      <c r="I188" s="459"/>
      <c r="J188" s="459"/>
      <c r="K188" s="459"/>
      <c r="L188" s="459"/>
      <c r="M188" s="459"/>
      <c r="N188" s="459"/>
      <c r="O188" s="459"/>
      <c r="P188" s="459"/>
      <c r="Q188" s="459"/>
      <c r="R188" s="459"/>
      <c r="S188" s="459"/>
      <c r="T188" s="459"/>
      <c r="U188" s="459"/>
    </row>
    <row r="189" spans="3:21">
      <c r="C189" s="459"/>
      <c r="D189" s="459"/>
      <c r="E189" s="459"/>
      <c r="F189" s="459"/>
      <c r="G189" s="459"/>
      <c r="H189" s="459"/>
      <c r="I189" s="459"/>
      <c r="J189" s="459"/>
      <c r="K189" s="459"/>
      <c r="L189" s="459"/>
      <c r="M189" s="459"/>
      <c r="N189" s="459"/>
      <c r="O189" s="459"/>
      <c r="P189" s="459"/>
      <c r="Q189" s="459"/>
      <c r="R189" s="459"/>
      <c r="S189" s="459"/>
      <c r="T189" s="459"/>
      <c r="U189" s="459"/>
    </row>
    <row r="190" spans="3:21">
      <c r="C190" s="459"/>
      <c r="D190" s="459"/>
      <c r="E190" s="459"/>
      <c r="F190" s="459"/>
      <c r="G190" s="459"/>
      <c r="H190" s="459"/>
      <c r="I190" s="459"/>
      <c r="J190" s="459"/>
      <c r="K190" s="459"/>
      <c r="L190" s="459"/>
      <c r="M190" s="459"/>
      <c r="N190" s="459"/>
      <c r="O190" s="459"/>
      <c r="P190" s="459"/>
      <c r="Q190" s="459"/>
      <c r="R190" s="459"/>
      <c r="S190" s="459"/>
      <c r="T190" s="459"/>
      <c r="U190" s="459"/>
    </row>
    <row r="191" spans="3:21">
      <c r="C191" s="459"/>
      <c r="D191" s="459"/>
      <c r="E191" s="459"/>
      <c r="F191" s="459"/>
      <c r="G191" s="459"/>
      <c r="H191" s="459"/>
      <c r="I191" s="459"/>
      <c r="J191" s="459"/>
      <c r="K191" s="459"/>
      <c r="L191" s="459"/>
      <c r="M191" s="459"/>
      <c r="N191" s="459"/>
      <c r="O191" s="459"/>
      <c r="P191" s="459"/>
      <c r="Q191" s="459"/>
      <c r="R191" s="459"/>
      <c r="S191" s="459"/>
      <c r="T191" s="459"/>
      <c r="U191" s="459"/>
    </row>
    <row r="192" spans="3:21">
      <c r="C192" s="459"/>
      <c r="D192" s="459"/>
      <c r="E192" s="459"/>
      <c r="F192" s="459"/>
      <c r="G192" s="459"/>
      <c r="H192" s="459"/>
      <c r="I192" s="459"/>
      <c r="J192" s="459"/>
      <c r="K192" s="459"/>
      <c r="L192" s="459"/>
      <c r="M192" s="459"/>
      <c r="N192" s="459"/>
      <c r="O192" s="459"/>
      <c r="P192" s="459"/>
      <c r="Q192" s="459"/>
      <c r="R192" s="459"/>
      <c r="S192" s="459"/>
      <c r="T192" s="459"/>
      <c r="U192" s="459"/>
    </row>
    <row r="193" spans="3:21">
      <c r="C193" s="459"/>
      <c r="D193" s="459"/>
      <c r="E193" s="459"/>
      <c r="F193" s="459"/>
      <c r="G193" s="459"/>
      <c r="H193" s="459"/>
      <c r="I193" s="459"/>
      <c r="J193" s="459"/>
      <c r="K193" s="459"/>
      <c r="L193" s="459"/>
      <c r="M193" s="459"/>
      <c r="N193" s="459"/>
      <c r="O193" s="459"/>
      <c r="P193" s="459"/>
      <c r="Q193" s="459"/>
      <c r="R193" s="459"/>
      <c r="S193" s="459"/>
      <c r="T193" s="459"/>
      <c r="U193" s="459"/>
    </row>
    <row r="194" spans="3:21">
      <c r="C194" s="459"/>
      <c r="D194" s="459"/>
      <c r="E194" s="459"/>
      <c r="F194" s="459"/>
      <c r="G194" s="459"/>
      <c r="H194" s="459"/>
      <c r="I194" s="459"/>
      <c r="J194" s="459"/>
      <c r="K194" s="459"/>
      <c r="L194" s="459"/>
      <c r="M194" s="459"/>
      <c r="N194" s="459"/>
      <c r="O194" s="459"/>
      <c r="P194" s="459"/>
      <c r="Q194" s="459"/>
      <c r="R194" s="459"/>
      <c r="S194" s="459"/>
      <c r="T194" s="459"/>
      <c r="U194" s="459"/>
    </row>
    <row r="195" spans="3:21">
      <c r="C195" s="459"/>
      <c r="D195" s="459"/>
      <c r="E195" s="459"/>
      <c r="F195" s="459"/>
      <c r="G195" s="459"/>
      <c r="H195" s="459"/>
      <c r="I195" s="459"/>
      <c r="J195" s="459"/>
      <c r="K195" s="459"/>
      <c r="L195" s="459"/>
      <c r="M195" s="459"/>
      <c r="N195" s="459"/>
      <c r="O195" s="459"/>
      <c r="P195" s="459"/>
      <c r="Q195" s="459"/>
      <c r="R195" s="459"/>
      <c r="S195" s="459"/>
      <c r="T195" s="459"/>
      <c r="U195" s="459"/>
    </row>
    <row r="196" spans="3:21">
      <c r="C196" s="459"/>
      <c r="D196" s="459"/>
      <c r="E196" s="459"/>
      <c r="F196" s="459"/>
      <c r="G196" s="459"/>
      <c r="H196" s="459"/>
      <c r="I196" s="459"/>
      <c r="J196" s="459"/>
      <c r="K196" s="459"/>
      <c r="L196" s="459"/>
      <c r="M196" s="459"/>
      <c r="N196" s="459"/>
      <c r="O196" s="459"/>
      <c r="P196" s="459"/>
      <c r="Q196" s="459"/>
      <c r="R196" s="459"/>
      <c r="S196" s="459"/>
      <c r="T196" s="459"/>
      <c r="U196" s="459"/>
    </row>
    <row r="197" spans="3:21">
      <c r="C197" s="459"/>
      <c r="D197" s="459"/>
      <c r="E197" s="459"/>
      <c r="F197" s="459"/>
      <c r="G197" s="459"/>
      <c r="H197" s="459"/>
      <c r="I197" s="459"/>
      <c r="J197" s="459"/>
      <c r="K197" s="459"/>
      <c r="L197" s="459"/>
      <c r="M197" s="459"/>
      <c r="N197" s="459"/>
      <c r="O197" s="459"/>
      <c r="P197" s="459"/>
      <c r="Q197" s="459"/>
      <c r="R197" s="459"/>
      <c r="S197" s="459"/>
      <c r="T197" s="459"/>
      <c r="U197" s="459"/>
    </row>
    <row r="198" spans="3:21">
      <c r="C198" s="459"/>
      <c r="D198" s="459"/>
      <c r="E198" s="459"/>
      <c r="F198" s="459"/>
      <c r="G198" s="459"/>
      <c r="H198" s="459"/>
      <c r="I198" s="459"/>
      <c r="J198" s="459"/>
      <c r="K198" s="459"/>
      <c r="L198" s="459"/>
      <c r="M198" s="459"/>
      <c r="N198" s="459"/>
      <c r="O198" s="459"/>
      <c r="P198" s="459"/>
      <c r="Q198" s="459"/>
      <c r="R198" s="459"/>
      <c r="S198" s="459"/>
      <c r="T198" s="459"/>
      <c r="U198" s="459"/>
    </row>
    <row r="199" spans="3:21">
      <c r="C199" s="459"/>
      <c r="D199" s="459"/>
      <c r="E199" s="459"/>
      <c r="F199" s="459"/>
      <c r="G199" s="459"/>
      <c r="H199" s="459"/>
      <c r="I199" s="459"/>
      <c r="J199" s="459"/>
      <c r="K199" s="459"/>
      <c r="L199" s="459"/>
      <c r="M199" s="459"/>
      <c r="N199" s="459"/>
      <c r="O199" s="459"/>
      <c r="P199" s="459"/>
      <c r="Q199" s="459"/>
      <c r="R199" s="459"/>
      <c r="S199" s="459"/>
      <c r="T199" s="459"/>
      <c r="U199" s="459"/>
    </row>
    <row r="200" spans="3:21">
      <c r="C200" s="459"/>
      <c r="D200" s="459"/>
      <c r="E200" s="459"/>
      <c r="F200" s="459"/>
      <c r="G200" s="459"/>
      <c r="H200" s="459"/>
      <c r="I200" s="459"/>
      <c r="J200" s="459"/>
      <c r="K200" s="459"/>
      <c r="L200" s="459"/>
      <c r="M200" s="459"/>
      <c r="N200" s="459"/>
      <c r="O200" s="459"/>
      <c r="P200" s="459"/>
      <c r="Q200" s="459"/>
      <c r="R200" s="459"/>
      <c r="S200" s="459"/>
      <c r="T200" s="459"/>
      <c r="U200" s="459"/>
    </row>
    <row r="201" spans="3:21">
      <c r="C201" s="459"/>
      <c r="D201" s="459"/>
      <c r="E201" s="459"/>
      <c r="F201" s="459"/>
      <c r="G201" s="459"/>
      <c r="H201" s="459"/>
      <c r="I201" s="459"/>
      <c r="J201" s="459"/>
      <c r="K201" s="459"/>
      <c r="L201" s="459"/>
      <c r="M201" s="459"/>
      <c r="N201" s="459"/>
      <c r="O201" s="459"/>
      <c r="P201" s="459"/>
      <c r="Q201" s="459"/>
      <c r="R201" s="459"/>
      <c r="S201" s="459"/>
      <c r="T201" s="459"/>
      <c r="U201" s="459"/>
    </row>
    <row r="202" spans="3:21">
      <c r="C202" s="459"/>
      <c r="D202" s="459"/>
      <c r="E202" s="459"/>
      <c r="F202" s="459"/>
      <c r="G202" s="459"/>
      <c r="H202" s="459"/>
      <c r="I202" s="459"/>
      <c r="J202" s="459"/>
      <c r="K202" s="459"/>
      <c r="L202" s="459"/>
      <c r="M202" s="459"/>
      <c r="N202" s="459"/>
      <c r="O202" s="459"/>
      <c r="P202" s="459"/>
      <c r="Q202" s="459"/>
      <c r="R202" s="459"/>
      <c r="S202" s="459"/>
      <c r="T202" s="459"/>
      <c r="U202" s="459"/>
    </row>
    <row r="203" spans="3:21">
      <c r="C203" s="459"/>
      <c r="D203" s="459"/>
      <c r="E203" s="459"/>
      <c r="F203" s="459"/>
      <c r="G203" s="459"/>
      <c r="H203" s="459"/>
      <c r="I203" s="459"/>
      <c r="J203" s="459"/>
      <c r="K203" s="459"/>
      <c r="L203" s="459"/>
      <c r="M203" s="459"/>
      <c r="N203" s="459"/>
      <c r="O203" s="459"/>
      <c r="P203" s="459"/>
      <c r="Q203" s="459"/>
      <c r="R203" s="459"/>
      <c r="S203" s="459"/>
      <c r="T203" s="459"/>
      <c r="U203" s="459"/>
    </row>
    <row r="204" spans="3:21">
      <c r="C204" s="459"/>
      <c r="D204" s="459"/>
      <c r="E204" s="459"/>
      <c r="F204" s="459"/>
      <c r="G204" s="459"/>
      <c r="H204" s="459"/>
      <c r="I204" s="459"/>
      <c r="J204" s="459"/>
      <c r="K204" s="459"/>
      <c r="L204" s="459"/>
      <c r="M204" s="459"/>
      <c r="N204" s="459"/>
      <c r="O204" s="459"/>
      <c r="P204" s="459"/>
      <c r="Q204" s="459"/>
      <c r="R204" s="459"/>
      <c r="S204" s="459"/>
      <c r="T204" s="459"/>
      <c r="U204" s="459"/>
    </row>
    <row r="205" spans="3:21">
      <c r="C205" s="459"/>
      <c r="D205" s="459"/>
      <c r="E205" s="459"/>
      <c r="F205" s="459"/>
      <c r="G205" s="459"/>
      <c r="H205" s="459"/>
      <c r="I205" s="459"/>
      <c r="J205" s="459"/>
      <c r="K205" s="459"/>
      <c r="L205" s="459"/>
      <c r="M205" s="459"/>
      <c r="N205" s="459"/>
      <c r="O205" s="459"/>
      <c r="P205" s="459"/>
      <c r="Q205" s="459"/>
      <c r="R205" s="459"/>
      <c r="S205" s="459"/>
      <c r="T205" s="459"/>
      <c r="U205" s="459"/>
    </row>
    <row r="206" spans="3:21">
      <c r="C206" s="459"/>
      <c r="D206" s="459"/>
      <c r="E206" s="459"/>
      <c r="F206" s="459"/>
      <c r="G206" s="459"/>
      <c r="H206" s="459"/>
      <c r="I206" s="459"/>
      <c r="J206" s="459"/>
      <c r="K206" s="459"/>
      <c r="L206" s="459"/>
      <c r="M206" s="459"/>
      <c r="N206" s="459"/>
      <c r="O206" s="459"/>
      <c r="P206" s="459"/>
      <c r="Q206" s="459"/>
      <c r="R206" s="459"/>
      <c r="S206" s="459"/>
      <c r="T206" s="459"/>
      <c r="U206" s="459"/>
    </row>
    <row r="207" spans="3:21">
      <c r="C207" s="459"/>
      <c r="D207" s="459"/>
      <c r="E207" s="459"/>
      <c r="F207" s="459"/>
      <c r="G207" s="459"/>
      <c r="H207" s="459"/>
      <c r="I207" s="459"/>
      <c r="J207" s="459"/>
      <c r="K207" s="459"/>
      <c r="L207" s="459"/>
      <c r="M207" s="459"/>
      <c r="N207" s="459"/>
      <c r="O207" s="459"/>
      <c r="P207" s="459"/>
      <c r="Q207" s="459"/>
      <c r="R207" s="459"/>
      <c r="S207" s="459"/>
      <c r="T207" s="459"/>
      <c r="U207" s="459"/>
    </row>
    <row r="208" spans="3:21">
      <c r="C208" s="459"/>
      <c r="D208" s="459"/>
      <c r="E208" s="459"/>
      <c r="F208" s="459"/>
      <c r="G208" s="459"/>
      <c r="H208" s="459"/>
      <c r="I208" s="459"/>
      <c r="J208" s="459"/>
      <c r="K208" s="459"/>
      <c r="L208" s="459"/>
      <c r="M208" s="459"/>
      <c r="N208" s="459"/>
      <c r="O208" s="459"/>
      <c r="P208" s="459"/>
      <c r="Q208" s="459"/>
      <c r="R208" s="459"/>
      <c r="S208" s="459"/>
      <c r="T208" s="459"/>
      <c r="U208" s="459"/>
    </row>
    <row r="209" spans="3:21">
      <c r="C209" s="459"/>
      <c r="D209" s="459"/>
      <c r="E209" s="459"/>
      <c r="F209" s="459"/>
      <c r="G209" s="459"/>
      <c r="H209" s="459"/>
      <c r="I209" s="459"/>
      <c r="J209" s="459"/>
      <c r="K209" s="459"/>
      <c r="L209" s="459"/>
      <c r="M209" s="459"/>
      <c r="N209" s="459"/>
      <c r="O209" s="459"/>
      <c r="P209" s="459"/>
      <c r="Q209" s="459"/>
      <c r="R209" s="459"/>
      <c r="S209" s="459"/>
      <c r="T209" s="459"/>
      <c r="U209" s="459"/>
    </row>
    <row r="210" spans="3:21">
      <c r="C210" s="459"/>
      <c r="D210" s="459"/>
      <c r="E210" s="459"/>
      <c r="F210" s="459"/>
      <c r="G210" s="459"/>
      <c r="H210" s="459"/>
      <c r="I210" s="459"/>
      <c r="J210" s="459"/>
      <c r="K210" s="459"/>
      <c r="L210" s="459"/>
      <c r="M210" s="459"/>
      <c r="N210" s="459"/>
      <c r="O210" s="459"/>
      <c r="P210" s="459"/>
      <c r="Q210" s="459"/>
      <c r="R210" s="459"/>
      <c r="S210" s="459"/>
      <c r="T210" s="459"/>
      <c r="U210" s="459"/>
    </row>
    <row r="211" spans="3:21">
      <c r="C211" s="459"/>
      <c r="D211" s="459"/>
      <c r="E211" s="459"/>
      <c r="F211" s="459"/>
      <c r="G211" s="459"/>
      <c r="H211" s="459"/>
      <c r="I211" s="459"/>
      <c r="J211" s="459"/>
      <c r="K211" s="459"/>
      <c r="L211" s="459"/>
      <c r="M211" s="459"/>
      <c r="N211" s="459"/>
      <c r="O211" s="459"/>
      <c r="P211" s="459"/>
      <c r="Q211" s="459"/>
      <c r="R211" s="459"/>
      <c r="S211" s="459"/>
      <c r="T211" s="459"/>
      <c r="U211" s="459"/>
    </row>
    <row r="212" spans="3:21">
      <c r="C212" s="459"/>
      <c r="D212" s="459"/>
      <c r="E212" s="459"/>
      <c r="F212" s="459"/>
      <c r="G212" s="459"/>
      <c r="H212" s="459"/>
      <c r="I212" s="459"/>
      <c r="J212" s="459"/>
      <c r="K212" s="459"/>
      <c r="L212" s="459"/>
      <c r="M212" s="459"/>
      <c r="N212" s="459"/>
      <c r="O212" s="459"/>
      <c r="P212" s="459"/>
      <c r="Q212" s="459"/>
      <c r="R212" s="459"/>
      <c r="S212" s="459"/>
      <c r="T212" s="459"/>
      <c r="U212" s="459"/>
    </row>
    <row r="213" spans="3:21">
      <c r="C213" s="459"/>
      <c r="D213" s="459"/>
      <c r="E213" s="459"/>
      <c r="F213" s="459"/>
      <c r="G213" s="459"/>
      <c r="H213" s="459"/>
      <c r="I213" s="459"/>
      <c r="J213" s="459"/>
      <c r="K213" s="459"/>
      <c r="L213" s="459"/>
      <c r="M213" s="459"/>
      <c r="N213" s="459"/>
      <c r="O213" s="459"/>
      <c r="P213" s="459"/>
      <c r="Q213" s="459"/>
      <c r="R213" s="459"/>
      <c r="S213" s="459"/>
      <c r="T213" s="459"/>
      <c r="U213" s="459"/>
    </row>
    <row r="214" spans="3:21">
      <c r="C214" s="459"/>
      <c r="D214" s="459"/>
      <c r="E214" s="459"/>
      <c r="F214" s="459"/>
      <c r="G214" s="459"/>
      <c r="H214" s="459"/>
      <c r="I214" s="459"/>
      <c r="J214" s="459"/>
      <c r="K214" s="459"/>
      <c r="L214" s="459"/>
      <c r="M214" s="459"/>
      <c r="N214" s="459"/>
      <c r="O214" s="459"/>
      <c r="P214" s="459"/>
      <c r="Q214" s="459"/>
      <c r="R214" s="459"/>
      <c r="S214" s="459"/>
      <c r="T214" s="459"/>
      <c r="U214" s="459"/>
    </row>
    <row r="215" spans="3:21">
      <c r="C215" s="459"/>
      <c r="D215" s="459"/>
      <c r="E215" s="459"/>
      <c r="F215" s="459"/>
      <c r="G215" s="459"/>
      <c r="H215" s="459"/>
      <c r="I215" s="459"/>
      <c r="J215" s="459"/>
      <c r="K215" s="459"/>
      <c r="L215" s="459"/>
      <c r="M215" s="459"/>
      <c r="N215" s="459"/>
      <c r="O215" s="459"/>
      <c r="P215" s="459"/>
      <c r="Q215" s="459"/>
      <c r="R215" s="459"/>
      <c r="S215" s="459"/>
      <c r="T215" s="459"/>
      <c r="U215" s="459"/>
    </row>
    <row r="216" spans="3:21">
      <c r="C216" s="459"/>
      <c r="D216" s="459"/>
      <c r="E216" s="459"/>
      <c r="F216" s="459"/>
      <c r="G216" s="459"/>
      <c r="H216" s="459"/>
      <c r="I216" s="459"/>
      <c r="J216" s="459"/>
      <c r="K216" s="459"/>
      <c r="L216" s="459"/>
      <c r="M216" s="459"/>
      <c r="N216" s="459"/>
      <c r="O216" s="459"/>
      <c r="P216" s="459"/>
      <c r="Q216" s="459"/>
      <c r="R216" s="459"/>
      <c r="S216" s="459"/>
      <c r="T216" s="459"/>
      <c r="U216" s="459"/>
    </row>
    <row r="217" spans="3:21">
      <c r="C217" s="459"/>
      <c r="D217" s="459"/>
      <c r="E217" s="459"/>
      <c r="F217" s="459"/>
      <c r="G217" s="459"/>
      <c r="H217" s="459"/>
      <c r="I217" s="459"/>
      <c r="J217" s="459"/>
      <c r="K217" s="459"/>
      <c r="L217" s="459"/>
      <c r="M217" s="459"/>
      <c r="N217" s="459"/>
      <c r="O217" s="459"/>
      <c r="P217" s="459"/>
      <c r="Q217" s="459"/>
      <c r="R217" s="459"/>
      <c r="S217" s="459"/>
      <c r="T217" s="459"/>
      <c r="U217" s="459"/>
    </row>
    <row r="218" spans="3:21">
      <c r="C218" s="459"/>
      <c r="D218" s="459"/>
      <c r="E218" s="459"/>
      <c r="F218" s="459"/>
      <c r="G218" s="459"/>
      <c r="H218" s="459"/>
      <c r="I218" s="459"/>
      <c r="J218" s="459"/>
      <c r="K218" s="459"/>
      <c r="L218" s="459"/>
      <c r="M218" s="459"/>
      <c r="N218" s="459"/>
      <c r="O218" s="459"/>
      <c r="P218" s="459"/>
      <c r="Q218" s="459"/>
      <c r="R218" s="459"/>
      <c r="S218" s="459"/>
      <c r="T218" s="459"/>
      <c r="U218" s="459"/>
    </row>
    <row r="219" spans="3:21">
      <c r="C219" s="459"/>
      <c r="D219" s="459"/>
      <c r="E219" s="459"/>
      <c r="F219" s="459"/>
      <c r="G219" s="459"/>
      <c r="H219" s="459"/>
      <c r="I219" s="459"/>
      <c r="J219" s="459"/>
      <c r="K219" s="459"/>
      <c r="L219" s="459"/>
      <c r="M219" s="459"/>
      <c r="N219" s="459"/>
      <c r="O219" s="459"/>
      <c r="P219" s="459"/>
      <c r="Q219" s="459"/>
      <c r="R219" s="459"/>
      <c r="S219" s="459"/>
      <c r="T219" s="459"/>
      <c r="U219" s="459"/>
    </row>
    <row r="220" spans="3:21">
      <c r="C220" s="459"/>
      <c r="D220" s="459"/>
      <c r="E220" s="459"/>
      <c r="F220" s="459"/>
      <c r="G220" s="459"/>
      <c r="H220" s="459"/>
      <c r="I220" s="459"/>
      <c r="J220" s="459"/>
      <c r="K220" s="459"/>
      <c r="L220" s="459"/>
      <c r="M220" s="459"/>
      <c r="N220" s="459"/>
      <c r="O220" s="459"/>
      <c r="P220" s="459"/>
      <c r="Q220" s="459"/>
      <c r="R220" s="459"/>
      <c r="S220" s="459"/>
      <c r="T220" s="459"/>
      <c r="U220" s="459"/>
    </row>
    <row r="221" spans="3:21">
      <c r="C221" s="459"/>
      <c r="D221" s="459"/>
      <c r="E221" s="459"/>
      <c r="F221" s="459"/>
      <c r="G221" s="459"/>
      <c r="H221" s="459"/>
      <c r="I221" s="459"/>
      <c r="J221" s="459"/>
      <c r="K221" s="459"/>
      <c r="L221" s="459"/>
      <c r="M221" s="459"/>
      <c r="N221" s="459"/>
      <c r="O221" s="459"/>
      <c r="P221" s="459"/>
      <c r="Q221" s="459"/>
      <c r="R221" s="459"/>
      <c r="S221" s="459"/>
      <c r="T221" s="459"/>
      <c r="U221" s="459"/>
    </row>
    <row r="222" spans="3:21">
      <c r="C222" s="459"/>
      <c r="D222" s="459"/>
      <c r="E222" s="459"/>
      <c r="F222" s="459"/>
      <c r="G222" s="459"/>
      <c r="H222" s="459"/>
      <c r="I222" s="459"/>
      <c r="J222" s="459"/>
      <c r="K222" s="459"/>
      <c r="L222" s="459"/>
      <c r="M222" s="459"/>
      <c r="N222" s="459"/>
      <c r="O222" s="459"/>
      <c r="P222" s="459"/>
      <c r="Q222" s="459"/>
      <c r="R222" s="459"/>
      <c r="S222" s="459"/>
      <c r="T222" s="459"/>
      <c r="U222" s="459"/>
    </row>
    <row r="223" spans="3:21">
      <c r="C223" s="459"/>
      <c r="D223" s="459"/>
      <c r="E223" s="459"/>
      <c r="F223" s="459"/>
      <c r="G223" s="459"/>
      <c r="H223" s="459"/>
      <c r="I223" s="459"/>
      <c r="J223" s="459"/>
      <c r="K223" s="459"/>
      <c r="L223" s="459"/>
      <c r="M223" s="459"/>
      <c r="N223" s="459"/>
      <c r="O223" s="459"/>
      <c r="P223" s="459"/>
      <c r="Q223" s="459"/>
      <c r="R223" s="459"/>
      <c r="S223" s="459"/>
      <c r="T223" s="459"/>
      <c r="U223" s="459"/>
    </row>
    <row r="224" spans="3:21">
      <c r="C224" s="459"/>
      <c r="D224" s="459"/>
      <c r="E224" s="459"/>
      <c r="F224" s="459"/>
      <c r="G224" s="459"/>
      <c r="H224" s="459"/>
      <c r="I224" s="459"/>
      <c r="J224" s="459"/>
      <c r="K224" s="459"/>
      <c r="L224" s="459"/>
      <c r="M224" s="459"/>
      <c r="N224" s="459"/>
      <c r="O224" s="459"/>
      <c r="P224" s="459"/>
      <c r="Q224" s="459"/>
      <c r="R224" s="459"/>
      <c r="S224" s="459"/>
      <c r="T224" s="459"/>
      <c r="U224" s="459"/>
    </row>
    <row r="225" spans="3:21">
      <c r="C225" s="459"/>
      <c r="D225" s="459"/>
      <c r="E225" s="459"/>
      <c r="F225" s="459"/>
      <c r="G225" s="459"/>
      <c r="H225" s="459"/>
      <c r="I225" s="459"/>
      <c r="J225" s="459"/>
      <c r="K225" s="459"/>
      <c r="L225" s="459"/>
      <c r="M225" s="459"/>
      <c r="N225" s="459"/>
      <c r="O225" s="459"/>
      <c r="P225" s="459"/>
      <c r="Q225" s="459"/>
      <c r="R225" s="459"/>
      <c r="S225" s="459"/>
      <c r="T225" s="459"/>
      <c r="U225" s="459"/>
    </row>
    <row r="226" spans="3:21">
      <c r="C226" s="459"/>
      <c r="D226" s="459"/>
      <c r="E226" s="459"/>
      <c r="F226" s="459"/>
      <c r="G226" s="459"/>
      <c r="H226" s="459"/>
      <c r="I226" s="459"/>
      <c r="J226" s="459"/>
      <c r="K226" s="459"/>
      <c r="L226" s="459"/>
      <c r="M226" s="459"/>
      <c r="N226" s="459"/>
      <c r="O226" s="459"/>
      <c r="P226" s="459"/>
      <c r="Q226" s="459"/>
      <c r="R226" s="459"/>
      <c r="S226" s="459"/>
      <c r="T226" s="459"/>
      <c r="U226" s="459"/>
    </row>
    <row r="227" spans="3:21">
      <c r="C227" s="459"/>
      <c r="D227" s="459"/>
      <c r="E227" s="459"/>
      <c r="F227" s="459"/>
      <c r="G227" s="459"/>
      <c r="H227" s="459"/>
      <c r="I227" s="459"/>
      <c r="J227" s="459"/>
      <c r="K227" s="459"/>
      <c r="L227" s="459"/>
      <c r="M227" s="459"/>
      <c r="N227" s="459"/>
      <c r="O227" s="459"/>
      <c r="P227" s="459"/>
      <c r="Q227" s="459"/>
      <c r="R227" s="459"/>
      <c r="S227" s="459"/>
      <c r="T227" s="459"/>
      <c r="U227" s="459"/>
    </row>
    <row r="228" spans="3:21">
      <c r="C228" s="459"/>
      <c r="D228" s="459"/>
      <c r="E228" s="459"/>
      <c r="F228" s="459"/>
      <c r="G228" s="459"/>
      <c r="H228" s="459"/>
      <c r="I228" s="459"/>
      <c r="J228" s="459"/>
      <c r="K228" s="459"/>
      <c r="L228" s="459"/>
      <c r="M228" s="459"/>
      <c r="N228" s="459"/>
      <c r="O228" s="459"/>
      <c r="P228" s="459"/>
      <c r="Q228" s="459"/>
      <c r="R228" s="459"/>
      <c r="S228" s="459"/>
      <c r="T228" s="459"/>
      <c r="U228" s="459"/>
    </row>
    <row r="229" spans="3:21">
      <c r="C229" s="459"/>
      <c r="D229" s="459"/>
      <c r="E229" s="459"/>
      <c r="F229" s="459"/>
      <c r="G229" s="459"/>
      <c r="H229" s="459"/>
      <c r="I229" s="459"/>
      <c r="J229" s="459"/>
      <c r="K229" s="459"/>
      <c r="L229" s="459"/>
      <c r="M229" s="459"/>
      <c r="N229" s="459"/>
      <c r="O229" s="459"/>
      <c r="P229" s="459"/>
      <c r="Q229" s="459"/>
      <c r="R229" s="459"/>
      <c r="S229" s="459"/>
      <c r="T229" s="459"/>
      <c r="U229" s="459"/>
    </row>
    <row r="230" spans="3:21">
      <c r="C230" s="459"/>
      <c r="D230" s="459"/>
      <c r="E230" s="459"/>
      <c r="F230" s="459"/>
      <c r="G230" s="459"/>
      <c r="H230" s="459"/>
      <c r="I230" s="459"/>
      <c r="J230" s="459"/>
      <c r="K230" s="459"/>
      <c r="L230" s="459"/>
      <c r="M230" s="459"/>
      <c r="N230" s="459"/>
      <c r="O230" s="459"/>
      <c r="P230" s="459"/>
      <c r="Q230" s="459"/>
      <c r="R230" s="459"/>
      <c r="S230" s="459"/>
      <c r="T230" s="459"/>
      <c r="U230" s="459"/>
    </row>
    <row r="231" spans="3:21">
      <c r="C231" s="459"/>
      <c r="D231" s="459"/>
      <c r="E231" s="459"/>
      <c r="F231" s="459"/>
      <c r="G231" s="459"/>
      <c r="H231" s="459"/>
      <c r="I231" s="459"/>
      <c r="J231" s="459"/>
      <c r="K231" s="459"/>
      <c r="L231" s="459"/>
      <c r="M231" s="459"/>
      <c r="N231" s="459"/>
      <c r="O231" s="459"/>
      <c r="P231" s="459"/>
      <c r="Q231" s="459"/>
      <c r="R231" s="459"/>
      <c r="S231" s="459"/>
      <c r="T231" s="459"/>
      <c r="U231" s="459"/>
    </row>
    <row r="232" spans="3:21">
      <c r="C232" s="459"/>
      <c r="D232" s="459"/>
      <c r="E232" s="459"/>
      <c r="F232" s="459"/>
      <c r="G232" s="459"/>
      <c r="H232" s="459"/>
      <c r="I232" s="459"/>
      <c r="J232" s="459"/>
      <c r="K232" s="459"/>
      <c r="L232" s="459"/>
      <c r="M232" s="459"/>
      <c r="N232" s="459"/>
      <c r="O232" s="459"/>
      <c r="P232" s="459"/>
      <c r="Q232" s="459"/>
      <c r="R232" s="459"/>
      <c r="S232" s="459"/>
      <c r="T232" s="459"/>
      <c r="U232" s="459"/>
    </row>
    <row r="233" spans="3:21">
      <c r="C233" s="459"/>
      <c r="D233" s="459"/>
      <c r="E233" s="459"/>
      <c r="F233" s="459"/>
      <c r="G233" s="459"/>
      <c r="H233" s="459"/>
      <c r="I233" s="459"/>
      <c r="J233" s="459"/>
      <c r="K233" s="459"/>
      <c r="L233" s="459"/>
      <c r="M233" s="459"/>
      <c r="N233" s="459"/>
      <c r="O233" s="459"/>
      <c r="P233" s="459"/>
      <c r="Q233" s="459"/>
      <c r="R233" s="459"/>
      <c r="S233" s="459"/>
      <c r="T233" s="459"/>
      <c r="U233" s="459"/>
    </row>
    <row r="234" spans="3:21">
      <c r="C234" s="459"/>
      <c r="D234" s="459"/>
      <c r="E234" s="459"/>
      <c r="F234" s="459"/>
      <c r="G234" s="459"/>
      <c r="H234" s="459"/>
      <c r="I234" s="459"/>
      <c r="J234" s="459"/>
      <c r="K234" s="459"/>
      <c r="L234" s="459"/>
      <c r="M234" s="459"/>
      <c r="N234" s="459"/>
      <c r="O234" s="459"/>
      <c r="P234" s="459"/>
      <c r="Q234" s="459"/>
      <c r="R234" s="459"/>
      <c r="S234" s="459"/>
      <c r="T234" s="459"/>
      <c r="U234" s="459"/>
    </row>
    <row r="235" spans="3:21">
      <c r="C235" s="459"/>
      <c r="D235" s="459"/>
      <c r="E235" s="459"/>
      <c r="F235" s="459"/>
      <c r="G235" s="459"/>
      <c r="H235" s="459"/>
      <c r="I235" s="459"/>
      <c r="J235" s="459"/>
      <c r="K235" s="459"/>
      <c r="L235" s="459"/>
      <c r="M235" s="459"/>
      <c r="N235" s="459"/>
      <c r="O235" s="459"/>
      <c r="P235" s="459"/>
      <c r="Q235" s="459"/>
      <c r="R235" s="459"/>
      <c r="S235" s="459"/>
      <c r="T235" s="459"/>
      <c r="U235" s="459"/>
    </row>
    <row r="236" spans="3:21">
      <c r="C236" s="459"/>
      <c r="D236" s="459"/>
      <c r="E236" s="459"/>
      <c r="F236" s="459"/>
      <c r="G236" s="459"/>
      <c r="H236" s="459"/>
      <c r="I236" s="459"/>
      <c r="J236" s="459"/>
      <c r="K236" s="459"/>
      <c r="L236" s="459"/>
      <c r="M236" s="459"/>
      <c r="N236" s="459"/>
      <c r="O236" s="459"/>
      <c r="P236" s="459"/>
      <c r="Q236" s="459"/>
      <c r="R236" s="459"/>
      <c r="S236" s="459"/>
      <c r="T236" s="459"/>
      <c r="U236" s="459"/>
    </row>
    <row r="237" spans="3:21">
      <c r="C237" s="459"/>
      <c r="D237" s="459"/>
      <c r="E237" s="459"/>
      <c r="F237" s="459"/>
      <c r="G237" s="459"/>
      <c r="H237" s="459"/>
      <c r="I237" s="459"/>
      <c r="J237" s="459"/>
      <c r="K237" s="459"/>
      <c r="L237" s="459"/>
      <c r="M237" s="459"/>
      <c r="N237" s="459"/>
      <c r="O237" s="459"/>
      <c r="P237" s="459"/>
      <c r="Q237" s="459"/>
      <c r="R237" s="459"/>
      <c r="S237" s="459"/>
      <c r="T237" s="459"/>
      <c r="U237" s="459"/>
    </row>
    <row r="238" spans="3:21">
      <c r="C238" s="459"/>
      <c r="D238" s="459"/>
      <c r="E238" s="459"/>
      <c r="F238" s="459"/>
      <c r="G238" s="459"/>
      <c r="H238" s="459"/>
      <c r="I238" s="459"/>
      <c r="J238" s="459"/>
      <c r="K238" s="459"/>
      <c r="L238" s="459"/>
      <c r="M238" s="459"/>
      <c r="N238" s="459"/>
      <c r="O238" s="459"/>
      <c r="P238" s="459"/>
      <c r="Q238" s="459"/>
      <c r="R238" s="459"/>
      <c r="S238" s="459"/>
      <c r="T238" s="459"/>
      <c r="U238" s="459"/>
    </row>
    <row r="239" spans="3:21">
      <c r="C239" s="459"/>
      <c r="D239" s="459"/>
      <c r="E239" s="459"/>
      <c r="F239" s="459"/>
      <c r="G239" s="459"/>
      <c r="H239" s="459"/>
      <c r="I239" s="459"/>
      <c r="J239" s="459"/>
      <c r="K239" s="459"/>
      <c r="L239" s="459"/>
      <c r="M239" s="459"/>
      <c r="N239" s="459"/>
      <c r="O239" s="459"/>
      <c r="P239" s="459"/>
      <c r="Q239" s="459"/>
      <c r="R239" s="459"/>
      <c r="S239" s="459"/>
      <c r="T239" s="459"/>
      <c r="U239" s="459"/>
    </row>
    <row r="240" spans="3:21">
      <c r="C240" s="459"/>
      <c r="D240" s="459"/>
      <c r="E240" s="459"/>
      <c r="F240" s="459"/>
      <c r="G240" s="459"/>
      <c r="H240" s="459"/>
      <c r="I240" s="459"/>
      <c r="J240" s="459"/>
      <c r="K240" s="459"/>
      <c r="L240" s="459"/>
      <c r="M240" s="459"/>
      <c r="N240" s="459"/>
      <c r="O240" s="459"/>
      <c r="P240" s="459"/>
      <c r="Q240" s="459"/>
      <c r="R240" s="459"/>
      <c r="S240" s="459"/>
      <c r="T240" s="459"/>
      <c r="U240" s="459"/>
    </row>
    <row r="241" spans="3:21">
      <c r="C241" s="459"/>
      <c r="D241" s="459"/>
      <c r="E241" s="459"/>
      <c r="F241" s="459"/>
      <c r="G241" s="459"/>
      <c r="H241" s="459"/>
      <c r="I241" s="459"/>
      <c r="J241" s="459"/>
      <c r="K241" s="459"/>
      <c r="L241" s="459"/>
      <c r="M241" s="459"/>
      <c r="N241" s="459"/>
      <c r="O241" s="459"/>
      <c r="P241" s="459"/>
      <c r="Q241" s="459"/>
      <c r="R241" s="459"/>
      <c r="S241" s="459"/>
      <c r="T241" s="459"/>
      <c r="U241" s="459"/>
    </row>
    <row r="242" spans="3:21">
      <c r="C242" s="459"/>
      <c r="D242" s="459"/>
      <c r="E242" s="459"/>
      <c r="F242" s="459"/>
      <c r="G242" s="459"/>
      <c r="H242" s="459"/>
      <c r="I242" s="459"/>
      <c r="J242" s="459"/>
      <c r="K242" s="459"/>
      <c r="L242" s="459"/>
      <c r="M242" s="459"/>
      <c r="N242" s="459"/>
      <c r="O242" s="459"/>
      <c r="P242" s="459"/>
      <c r="Q242" s="459"/>
      <c r="R242" s="459"/>
      <c r="S242" s="459"/>
      <c r="T242" s="459"/>
      <c r="U242" s="459"/>
    </row>
    <row r="243" spans="3:21">
      <c r="C243" s="459"/>
      <c r="D243" s="459"/>
      <c r="E243" s="459"/>
      <c r="F243" s="459"/>
      <c r="G243" s="459"/>
      <c r="H243" s="459"/>
      <c r="I243" s="459"/>
      <c r="J243" s="459"/>
      <c r="K243" s="459"/>
      <c r="L243" s="459"/>
      <c r="M243" s="459"/>
      <c r="N243" s="459"/>
      <c r="O243" s="459"/>
      <c r="P243" s="459"/>
      <c r="Q243" s="459"/>
      <c r="R243" s="459"/>
      <c r="S243" s="459"/>
      <c r="T243" s="459"/>
      <c r="U243" s="459"/>
    </row>
    <row r="244" spans="3:21">
      <c r="C244" s="459"/>
      <c r="D244" s="459"/>
      <c r="E244" s="459"/>
      <c r="F244" s="459"/>
      <c r="G244" s="459"/>
      <c r="H244" s="459"/>
      <c r="I244" s="459"/>
      <c r="J244" s="459"/>
      <c r="K244" s="459"/>
      <c r="L244" s="459"/>
      <c r="M244" s="459"/>
      <c r="N244" s="459"/>
      <c r="O244" s="459"/>
      <c r="P244" s="459"/>
      <c r="Q244" s="459"/>
      <c r="R244" s="459"/>
      <c r="S244" s="459"/>
      <c r="T244" s="459"/>
      <c r="U244" s="459"/>
    </row>
    <row r="245" spans="3:21">
      <c r="C245" s="459"/>
      <c r="D245" s="459"/>
      <c r="E245" s="459"/>
      <c r="F245" s="459"/>
      <c r="G245" s="459"/>
      <c r="H245" s="459"/>
      <c r="I245" s="459"/>
      <c r="J245" s="459"/>
      <c r="K245" s="459"/>
      <c r="L245" s="459"/>
      <c r="M245" s="459"/>
      <c r="N245" s="459"/>
      <c r="O245" s="459"/>
      <c r="P245" s="459"/>
      <c r="Q245" s="459"/>
      <c r="R245" s="459"/>
      <c r="S245" s="459"/>
      <c r="T245" s="459"/>
      <c r="U245" s="459"/>
    </row>
    <row r="246" spans="3:21">
      <c r="C246" s="459"/>
      <c r="D246" s="459"/>
      <c r="E246" s="459"/>
      <c r="F246" s="459"/>
      <c r="G246" s="459"/>
      <c r="H246" s="459"/>
      <c r="I246" s="459"/>
      <c r="J246" s="459"/>
      <c r="K246" s="459"/>
      <c r="L246" s="459"/>
      <c r="M246" s="459"/>
      <c r="N246" s="459"/>
      <c r="O246" s="459"/>
      <c r="P246" s="459"/>
      <c r="Q246" s="459"/>
      <c r="R246" s="459"/>
      <c r="S246" s="459"/>
      <c r="T246" s="459"/>
      <c r="U246" s="459"/>
    </row>
    <row r="247" spans="3:21">
      <c r="C247" s="459"/>
      <c r="D247" s="459"/>
      <c r="E247" s="459"/>
      <c r="F247" s="459"/>
      <c r="G247" s="459"/>
      <c r="H247" s="459"/>
      <c r="I247" s="459"/>
      <c r="J247" s="459"/>
      <c r="K247" s="459"/>
      <c r="L247" s="459"/>
      <c r="M247" s="459"/>
      <c r="N247" s="459"/>
      <c r="O247" s="459"/>
      <c r="P247" s="459"/>
      <c r="Q247" s="459"/>
      <c r="R247" s="459"/>
      <c r="S247" s="459"/>
      <c r="T247" s="459"/>
      <c r="U247" s="459"/>
    </row>
    <row r="248" spans="3:21">
      <c r="C248" s="459"/>
      <c r="D248" s="459"/>
      <c r="E248" s="459"/>
      <c r="F248" s="459"/>
      <c r="G248" s="459"/>
      <c r="H248" s="459"/>
      <c r="I248" s="459"/>
      <c r="J248" s="459"/>
      <c r="K248" s="459"/>
      <c r="L248" s="459"/>
      <c r="M248" s="459"/>
      <c r="N248" s="459"/>
      <c r="O248" s="459"/>
      <c r="P248" s="459"/>
      <c r="Q248" s="459"/>
      <c r="R248" s="459"/>
      <c r="S248" s="459"/>
      <c r="T248" s="459"/>
      <c r="U248" s="459"/>
    </row>
    <row r="249" spans="3:21">
      <c r="C249" s="459"/>
      <c r="D249" s="459"/>
      <c r="E249" s="459"/>
      <c r="F249" s="459"/>
      <c r="G249" s="459"/>
      <c r="H249" s="459"/>
      <c r="I249" s="459"/>
      <c r="J249" s="459"/>
      <c r="K249" s="459"/>
      <c r="L249" s="459"/>
      <c r="M249" s="459"/>
      <c r="N249" s="459"/>
      <c r="O249" s="459"/>
      <c r="P249" s="459"/>
      <c r="Q249" s="459"/>
      <c r="R249" s="459"/>
      <c r="S249" s="459"/>
      <c r="T249" s="459"/>
      <c r="U249" s="459"/>
    </row>
    <row r="250" spans="3:21">
      <c r="C250" s="459"/>
      <c r="D250" s="459"/>
      <c r="E250" s="459"/>
      <c r="F250" s="459"/>
      <c r="G250" s="459"/>
      <c r="H250" s="459"/>
      <c r="I250" s="459"/>
      <c r="J250" s="459"/>
      <c r="K250" s="459"/>
      <c r="L250" s="459"/>
      <c r="M250" s="459"/>
      <c r="N250" s="459"/>
      <c r="O250" s="459"/>
      <c r="P250" s="459"/>
      <c r="Q250" s="459"/>
      <c r="R250" s="459"/>
      <c r="S250" s="459"/>
      <c r="T250" s="459"/>
      <c r="U250" s="459"/>
    </row>
    <row r="251" spans="3:21">
      <c r="C251" s="459"/>
      <c r="D251" s="459"/>
      <c r="E251" s="459"/>
      <c r="F251" s="459"/>
      <c r="G251" s="459"/>
      <c r="H251" s="459"/>
      <c r="I251" s="459"/>
      <c r="J251" s="459"/>
      <c r="K251" s="459"/>
      <c r="L251" s="459"/>
      <c r="M251" s="459"/>
      <c r="N251" s="459"/>
      <c r="O251" s="459"/>
      <c r="P251" s="459"/>
      <c r="Q251" s="459"/>
      <c r="R251" s="459"/>
      <c r="S251" s="459"/>
      <c r="T251" s="459"/>
      <c r="U251" s="459"/>
    </row>
    <row r="252" spans="3:21">
      <c r="C252" s="459"/>
      <c r="D252" s="459"/>
      <c r="E252" s="459"/>
      <c r="F252" s="459"/>
      <c r="G252" s="459"/>
      <c r="H252" s="459"/>
      <c r="I252" s="459"/>
      <c r="J252" s="459"/>
      <c r="K252" s="459"/>
      <c r="L252" s="459"/>
      <c r="M252" s="459"/>
      <c r="N252" s="459"/>
      <c r="O252" s="459"/>
      <c r="P252" s="459"/>
      <c r="Q252" s="459"/>
      <c r="R252" s="459"/>
      <c r="S252" s="459"/>
      <c r="T252" s="459"/>
      <c r="U252" s="459"/>
    </row>
    <row r="253" spans="3:21">
      <c r="C253" s="459"/>
      <c r="D253" s="459"/>
      <c r="E253" s="459"/>
      <c r="F253" s="459"/>
      <c r="G253" s="459"/>
      <c r="H253" s="459"/>
      <c r="I253" s="459"/>
      <c r="J253" s="459"/>
      <c r="K253" s="459"/>
      <c r="L253" s="459"/>
      <c r="M253" s="459"/>
      <c r="N253" s="459"/>
      <c r="O253" s="459"/>
      <c r="P253" s="459"/>
      <c r="Q253" s="459"/>
      <c r="R253" s="459"/>
      <c r="S253" s="459"/>
      <c r="T253" s="459"/>
      <c r="U253" s="459"/>
    </row>
    <row r="254" spans="3:21">
      <c r="C254" s="459"/>
      <c r="D254" s="459"/>
      <c r="E254" s="459"/>
      <c r="F254" s="459"/>
      <c r="G254" s="459"/>
      <c r="H254" s="459"/>
      <c r="I254" s="459"/>
      <c r="J254" s="459"/>
      <c r="K254" s="459"/>
      <c r="L254" s="459"/>
      <c r="M254" s="459"/>
      <c r="N254" s="459"/>
      <c r="O254" s="459"/>
      <c r="P254" s="459"/>
      <c r="Q254" s="459"/>
      <c r="R254" s="459"/>
      <c r="S254" s="459"/>
      <c r="T254" s="459"/>
      <c r="U254" s="459"/>
    </row>
    <row r="255" spans="3:21">
      <c r="C255" s="459"/>
      <c r="D255" s="459"/>
      <c r="E255" s="459"/>
      <c r="F255" s="459"/>
      <c r="G255" s="459"/>
      <c r="H255" s="459"/>
      <c r="I255" s="459"/>
      <c r="J255" s="459"/>
      <c r="K255" s="459"/>
      <c r="L255" s="459"/>
      <c r="M255" s="459"/>
      <c r="N255" s="459"/>
      <c r="O255" s="459"/>
      <c r="P255" s="459"/>
      <c r="Q255" s="459"/>
      <c r="R255" s="459"/>
      <c r="S255" s="459"/>
      <c r="T255" s="459"/>
      <c r="U255" s="459"/>
    </row>
    <row r="256" spans="3:21">
      <c r="C256" s="459"/>
      <c r="D256" s="459"/>
      <c r="E256" s="459"/>
      <c r="F256" s="459"/>
      <c r="G256" s="459"/>
      <c r="H256" s="459"/>
      <c r="I256" s="459"/>
      <c r="J256" s="459"/>
      <c r="K256" s="459"/>
      <c r="L256" s="459"/>
      <c r="M256" s="459"/>
      <c r="N256" s="459"/>
      <c r="O256" s="459"/>
      <c r="P256" s="459"/>
      <c r="Q256" s="459"/>
      <c r="R256" s="459"/>
      <c r="S256" s="459"/>
      <c r="T256" s="459"/>
      <c r="U256" s="459"/>
    </row>
    <row r="257" spans="3:21">
      <c r="C257" s="459"/>
      <c r="D257" s="459"/>
      <c r="E257" s="459"/>
      <c r="F257" s="459"/>
      <c r="G257" s="459"/>
      <c r="H257" s="459"/>
      <c r="I257" s="459"/>
      <c r="J257" s="459"/>
      <c r="K257" s="459"/>
      <c r="L257" s="459"/>
      <c r="M257" s="459"/>
      <c r="N257" s="459"/>
      <c r="O257" s="459"/>
      <c r="P257" s="459"/>
      <c r="Q257" s="459"/>
      <c r="R257" s="459"/>
      <c r="S257" s="459"/>
      <c r="T257" s="459"/>
      <c r="U257" s="459"/>
    </row>
    <row r="258" spans="3:21">
      <c r="C258" s="459"/>
      <c r="D258" s="459"/>
      <c r="E258" s="459"/>
      <c r="F258" s="459"/>
      <c r="G258" s="459"/>
      <c r="H258" s="459"/>
      <c r="I258" s="459"/>
      <c r="J258" s="459"/>
      <c r="K258" s="459"/>
      <c r="L258" s="459"/>
      <c r="M258" s="459"/>
      <c r="N258" s="459"/>
      <c r="O258" s="459"/>
      <c r="P258" s="459"/>
      <c r="Q258" s="459"/>
      <c r="R258" s="459"/>
      <c r="S258" s="459"/>
      <c r="T258" s="459"/>
      <c r="U258" s="459"/>
    </row>
    <row r="259" spans="3:21">
      <c r="C259" s="459"/>
      <c r="D259" s="459"/>
      <c r="E259" s="459"/>
      <c r="F259" s="459"/>
      <c r="G259" s="459"/>
      <c r="H259" s="459"/>
      <c r="I259" s="459"/>
      <c r="J259" s="459"/>
      <c r="K259" s="459"/>
      <c r="L259" s="459"/>
      <c r="M259" s="459"/>
      <c r="N259" s="459"/>
      <c r="O259" s="459"/>
      <c r="P259" s="459"/>
      <c r="Q259" s="459"/>
      <c r="R259" s="459"/>
      <c r="S259" s="459"/>
      <c r="T259" s="459"/>
      <c r="U259" s="459"/>
    </row>
    <row r="260" spans="3:21">
      <c r="C260" s="459"/>
      <c r="D260" s="459"/>
      <c r="E260" s="459"/>
      <c r="F260" s="459"/>
      <c r="G260" s="459"/>
      <c r="H260" s="459"/>
      <c r="I260" s="459"/>
      <c r="J260" s="459"/>
      <c r="K260" s="459"/>
      <c r="L260" s="459"/>
      <c r="M260" s="459"/>
      <c r="N260" s="459"/>
      <c r="O260" s="459"/>
      <c r="P260" s="459"/>
      <c r="Q260" s="459"/>
      <c r="R260" s="459"/>
      <c r="S260" s="459"/>
      <c r="T260" s="459"/>
      <c r="U260" s="459"/>
    </row>
    <row r="261" spans="3:21">
      <c r="C261" s="459"/>
      <c r="D261" s="459"/>
      <c r="E261" s="459"/>
      <c r="F261" s="459"/>
      <c r="G261" s="459"/>
      <c r="H261" s="459"/>
      <c r="I261" s="459"/>
      <c r="J261" s="459"/>
      <c r="K261" s="459"/>
      <c r="L261" s="459"/>
      <c r="M261" s="459"/>
      <c r="N261" s="459"/>
      <c r="O261" s="459"/>
      <c r="P261" s="459"/>
      <c r="Q261" s="459"/>
      <c r="R261" s="459"/>
      <c r="S261" s="459"/>
      <c r="T261" s="459"/>
      <c r="U261" s="459"/>
    </row>
    <row r="262" spans="3:21">
      <c r="C262" s="459"/>
      <c r="D262" s="459"/>
      <c r="E262" s="459"/>
      <c r="F262" s="459"/>
      <c r="G262" s="459"/>
      <c r="H262" s="459"/>
      <c r="I262" s="459"/>
      <c r="J262" s="459"/>
      <c r="K262" s="459"/>
      <c r="L262" s="459"/>
      <c r="M262" s="459"/>
      <c r="N262" s="459"/>
      <c r="O262" s="459"/>
      <c r="P262" s="459"/>
      <c r="Q262" s="459"/>
      <c r="R262" s="459"/>
      <c r="S262" s="459"/>
      <c r="T262" s="459"/>
      <c r="U262" s="459"/>
    </row>
    <row r="263" spans="3:21">
      <c r="C263" s="459"/>
      <c r="D263" s="459"/>
      <c r="E263" s="459"/>
      <c r="F263" s="459"/>
      <c r="G263" s="459"/>
      <c r="H263" s="459"/>
      <c r="I263" s="459"/>
      <c r="J263" s="459"/>
      <c r="K263" s="459"/>
      <c r="L263" s="459"/>
      <c r="M263" s="459"/>
      <c r="N263" s="459"/>
      <c r="O263" s="459"/>
      <c r="P263" s="459"/>
      <c r="Q263" s="459"/>
      <c r="R263" s="459"/>
      <c r="S263" s="459"/>
      <c r="T263" s="459"/>
      <c r="U263" s="459"/>
    </row>
    <row r="264" spans="3:21">
      <c r="C264" s="459"/>
      <c r="D264" s="459"/>
      <c r="E264" s="459"/>
      <c r="F264" s="459"/>
      <c r="G264" s="459"/>
      <c r="H264" s="459"/>
      <c r="I264" s="459"/>
      <c r="J264" s="459"/>
      <c r="K264" s="459"/>
      <c r="L264" s="459"/>
      <c r="M264" s="459"/>
      <c r="N264" s="459"/>
      <c r="O264" s="459"/>
      <c r="P264" s="459"/>
      <c r="Q264" s="459"/>
      <c r="R264" s="459"/>
      <c r="S264" s="459"/>
      <c r="T264" s="459"/>
      <c r="U264" s="459"/>
    </row>
    <row r="265" spans="3:21">
      <c r="C265" s="459"/>
      <c r="D265" s="459"/>
      <c r="E265" s="459"/>
      <c r="F265" s="459"/>
      <c r="G265" s="459"/>
      <c r="H265" s="459"/>
      <c r="I265" s="459"/>
      <c r="J265" s="459"/>
      <c r="K265" s="459"/>
      <c r="L265" s="459"/>
      <c r="M265" s="459"/>
      <c r="N265" s="459"/>
      <c r="O265" s="459"/>
      <c r="P265" s="459"/>
      <c r="Q265" s="459"/>
      <c r="R265" s="459"/>
      <c r="S265" s="459"/>
      <c r="T265" s="459"/>
      <c r="U265" s="459"/>
    </row>
    <row r="266" spans="3:21">
      <c r="C266" s="459"/>
      <c r="D266" s="459"/>
      <c r="E266" s="459"/>
      <c r="F266" s="459"/>
      <c r="G266" s="459"/>
      <c r="H266" s="459"/>
      <c r="I266" s="459"/>
      <c r="J266" s="459"/>
      <c r="K266" s="459"/>
      <c r="L266" s="459"/>
      <c r="M266" s="459"/>
      <c r="N266" s="459"/>
      <c r="O266" s="459"/>
      <c r="P266" s="459"/>
      <c r="Q266" s="459"/>
      <c r="R266" s="459"/>
      <c r="S266" s="459"/>
      <c r="T266" s="459"/>
      <c r="U266" s="459"/>
    </row>
    <row r="267" spans="3:21">
      <c r="C267" s="459"/>
      <c r="D267" s="459"/>
      <c r="E267" s="459"/>
      <c r="F267" s="459"/>
      <c r="G267" s="459"/>
      <c r="H267" s="459"/>
      <c r="I267" s="459"/>
      <c r="J267" s="459"/>
      <c r="K267" s="459"/>
      <c r="L267" s="459"/>
      <c r="M267" s="459"/>
      <c r="N267" s="459"/>
      <c r="O267" s="459"/>
      <c r="P267" s="459"/>
      <c r="Q267" s="459"/>
      <c r="R267" s="459"/>
      <c r="S267" s="459"/>
      <c r="T267" s="459"/>
      <c r="U267" s="459"/>
    </row>
    <row r="268" spans="3:21">
      <c r="C268" s="459"/>
      <c r="D268" s="459"/>
      <c r="E268" s="459"/>
      <c r="F268" s="459"/>
      <c r="G268" s="459"/>
      <c r="H268" s="459"/>
      <c r="I268" s="459"/>
      <c r="J268" s="459"/>
      <c r="K268" s="459"/>
      <c r="L268" s="459"/>
      <c r="M268" s="459"/>
      <c r="N268" s="459"/>
      <c r="O268" s="459"/>
      <c r="P268" s="459"/>
      <c r="Q268" s="459"/>
      <c r="R268" s="459"/>
      <c r="S268" s="459"/>
      <c r="T268" s="459"/>
      <c r="U268" s="459"/>
    </row>
    <row r="269" spans="3:21">
      <c r="C269" s="459"/>
      <c r="D269" s="459"/>
      <c r="E269" s="459"/>
      <c r="F269" s="459"/>
      <c r="G269" s="459"/>
      <c r="H269" s="459"/>
      <c r="I269" s="459"/>
      <c r="J269" s="459"/>
      <c r="K269" s="459"/>
      <c r="L269" s="459"/>
      <c r="M269" s="459"/>
      <c r="N269" s="459"/>
      <c r="O269" s="459"/>
      <c r="P269" s="459"/>
      <c r="Q269" s="459"/>
      <c r="R269" s="459"/>
      <c r="S269" s="459"/>
      <c r="T269" s="459"/>
      <c r="U269" s="459"/>
    </row>
    <row r="270" spans="3:21">
      <c r="C270" s="459"/>
      <c r="D270" s="459"/>
      <c r="E270" s="459"/>
      <c r="F270" s="459"/>
      <c r="G270" s="459"/>
      <c r="H270" s="459"/>
      <c r="I270" s="459"/>
      <c r="J270" s="459"/>
      <c r="K270" s="459"/>
      <c r="L270" s="459"/>
      <c r="M270" s="459"/>
      <c r="N270" s="459"/>
      <c r="O270" s="459"/>
      <c r="P270" s="459"/>
      <c r="Q270" s="459"/>
      <c r="R270" s="459"/>
      <c r="S270" s="459"/>
      <c r="T270" s="459"/>
      <c r="U270" s="459"/>
    </row>
    <row r="271" spans="3:21">
      <c r="C271" s="459"/>
      <c r="D271" s="459"/>
      <c r="E271" s="459"/>
      <c r="F271" s="459"/>
      <c r="G271" s="459"/>
      <c r="H271" s="459"/>
      <c r="I271" s="459"/>
      <c r="J271" s="459"/>
      <c r="K271" s="459"/>
      <c r="L271" s="459"/>
      <c r="M271" s="459"/>
      <c r="N271" s="459"/>
      <c r="O271" s="459"/>
      <c r="P271" s="459"/>
      <c r="Q271" s="459"/>
      <c r="R271" s="459"/>
      <c r="S271" s="459"/>
      <c r="T271" s="459"/>
      <c r="U271" s="459"/>
    </row>
    <row r="272" spans="3:21">
      <c r="C272" s="459"/>
      <c r="D272" s="459"/>
      <c r="E272" s="459"/>
      <c r="F272" s="459"/>
      <c r="G272" s="459"/>
      <c r="H272" s="459"/>
      <c r="I272" s="459"/>
      <c r="J272" s="459"/>
      <c r="K272" s="459"/>
      <c r="L272" s="459"/>
      <c r="M272" s="459"/>
      <c r="N272" s="459"/>
      <c r="O272" s="459"/>
      <c r="P272" s="459"/>
      <c r="Q272" s="459"/>
      <c r="R272" s="459"/>
      <c r="S272" s="459"/>
      <c r="T272" s="459"/>
      <c r="U272" s="459"/>
    </row>
    <row r="273" spans="3:21">
      <c r="C273" s="459"/>
      <c r="D273" s="459"/>
      <c r="E273" s="459"/>
      <c r="F273" s="459"/>
      <c r="G273" s="459"/>
      <c r="H273" s="459"/>
      <c r="I273" s="459"/>
      <c r="J273" s="459"/>
      <c r="K273" s="459"/>
      <c r="L273" s="459"/>
      <c r="M273" s="459"/>
      <c r="N273" s="459"/>
      <c r="O273" s="459"/>
      <c r="P273" s="459"/>
      <c r="Q273" s="459"/>
      <c r="R273" s="459"/>
      <c r="S273" s="459"/>
      <c r="T273" s="459"/>
      <c r="U273" s="459"/>
    </row>
    <row r="274" spans="3:21">
      <c r="C274" s="459"/>
      <c r="D274" s="459"/>
      <c r="E274" s="459"/>
      <c r="F274" s="459"/>
      <c r="G274" s="459"/>
      <c r="H274" s="459"/>
      <c r="I274" s="459"/>
      <c r="J274" s="459"/>
      <c r="K274" s="459"/>
      <c r="L274" s="459"/>
      <c r="M274" s="459"/>
      <c r="N274" s="459"/>
      <c r="O274" s="459"/>
      <c r="P274" s="459"/>
      <c r="Q274" s="459"/>
      <c r="R274" s="459"/>
      <c r="S274" s="459"/>
      <c r="T274" s="459"/>
      <c r="U274" s="459"/>
    </row>
    <row r="275" spans="3:21">
      <c r="C275" s="459"/>
      <c r="D275" s="459"/>
      <c r="E275" s="459"/>
      <c r="F275" s="459"/>
      <c r="G275" s="459"/>
      <c r="H275" s="459"/>
      <c r="I275" s="459"/>
      <c r="J275" s="459"/>
      <c r="K275" s="459"/>
      <c r="L275" s="459"/>
      <c r="M275" s="459"/>
      <c r="N275" s="459"/>
      <c r="O275" s="459"/>
      <c r="P275" s="459"/>
      <c r="Q275" s="459"/>
      <c r="R275" s="459"/>
      <c r="S275" s="459"/>
      <c r="T275" s="459"/>
      <c r="U275" s="459"/>
    </row>
    <row r="276" spans="3:21">
      <c r="C276" s="459"/>
      <c r="D276" s="459"/>
      <c r="E276" s="459"/>
      <c r="F276" s="459"/>
      <c r="G276" s="459"/>
      <c r="H276" s="459"/>
      <c r="I276" s="459"/>
      <c r="J276" s="459"/>
      <c r="K276" s="459"/>
      <c r="L276" s="459"/>
      <c r="M276" s="459"/>
      <c r="N276" s="459"/>
      <c r="O276" s="459"/>
      <c r="P276" s="459"/>
      <c r="Q276" s="459"/>
      <c r="R276" s="459"/>
      <c r="S276" s="459"/>
      <c r="T276" s="459"/>
      <c r="U276" s="459"/>
    </row>
    <row r="277" spans="3:21">
      <c r="C277" s="459"/>
      <c r="D277" s="459"/>
      <c r="E277" s="459"/>
      <c r="F277" s="459"/>
      <c r="G277" s="459"/>
      <c r="H277" s="459"/>
      <c r="I277" s="459"/>
      <c r="J277" s="459"/>
      <c r="K277" s="459"/>
      <c r="L277" s="459"/>
      <c r="M277" s="459"/>
      <c r="N277" s="459"/>
      <c r="O277" s="459"/>
      <c r="P277" s="459"/>
      <c r="Q277" s="459"/>
      <c r="R277" s="459"/>
      <c r="S277" s="459"/>
      <c r="T277" s="459"/>
      <c r="U277" s="459"/>
    </row>
    <row r="278" spans="3:21">
      <c r="C278" s="459"/>
      <c r="D278" s="459"/>
      <c r="E278" s="459"/>
      <c r="F278" s="459"/>
      <c r="G278" s="459"/>
      <c r="H278" s="459"/>
      <c r="I278" s="459"/>
      <c r="J278" s="459"/>
      <c r="K278" s="459"/>
      <c r="L278" s="459"/>
      <c r="M278" s="459"/>
      <c r="N278" s="459"/>
      <c r="O278" s="459"/>
      <c r="P278" s="459"/>
      <c r="Q278" s="459"/>
      <c r="R278" s="459"/>
      <c r="S278" s="459"/>
      <c r="T278" s="459"/>
      <c r="U278" s="459"/>
    </row>
    <row r="279" spans="3:21">
      <c r="C279" s="459"/>
      <c r="D279" s="459"/>
      <c r="E279" s="459"/>
      <c r="F279" s="459"/>
      <c r="G279" s="459"/>
      <c r="H279" s="459"/>
      <c r="I279" s="459"/>
      <c r="J279" s="459"/>
      <c r="K279" s="459"/>
      <c r="L279" s="459"/>
      <c r="M279" s="459"/>
      <c r="N279" s="459"/>
      <c r="O279" s="459"/>
      <c r="P279" s="459"/>
      <c r="Q279" s="459"/>
      <c r="R279" s="459"/>
      <c r="S279" s="459"/>
      <c r="T279" s="459"/>
      <c r="U279" s="459"/>
    </row>
    <row r="280" spans="3:21">
      <c r="C280" s="459"/>
      <c r="D280" s="459"/>
      <c r="E280" s="459"/>
      <c r="F280" s="459"/>
      <c r="G280" s="459"/>
      <c r="H280" s="459"/>
      <c r="I280" s="459"/>
      <c r="J280" s="459"/>
      <c r="K280" s="459"/>
      <c r="L280" s="459"/>
      <c r="M280" s="459"/>
      <c r="N280" s="459"/>
      <c r="O280" s="459"/>
      <c r="P280" s="459"/>
      <c r="Q280" s="459"/>
      <c r="R280" s="459"/>
      <c r="S280" s="459"/>
      <c r="T280" s="459"/>
      <c r="U280" s="459"/>
    </row>
    <row r="281" spans="3:21">
      <c r="C281" s="459"/>
      <c r="D281" s="459"/>
      <c r="E281" s="459"/>
      <c r="F281" s="459"/>
      <c r="G281" s="459"/>
      <c r="H281" s="459"/>
      <c r="I281" s="459"/>
      <c r="J281" s="459"/>
      <c r="K281" s="459"/>
      <c r="L281" s="459"/>
      <c r="M281" s="459"/>
      <c r="N281" s="459"/>
      <c r="O281" s="459"/>
      <c r="P281" s="459"/>
      <c r="Q281" s="459"/>
      <c r="R281" s="459"/>
      <c r="S281" s="459"/>
      <c r="T281" s="459"/>
      <c r="U281" s="459"/>
    </row>
    <row r="282" spans="3:21">
      <c r="C282" s="459"/>
      <c r="D282" s="459"/>
      <c r="E282" s="459"/>
      <c r="F282" s="459"/>
      <c r="G282" s="459"/>
      <c r="H282" s="459"/>
      <c r="I282" s="459"/>
      <c r="J282" s="459"/>
      <c r="K282" s="459"/>
      <c r="L282" s="459"/>
      <c r="M282" s="459"/>
      <c r="N282" s="459"/>
      <c r="O282" s="459"/>
      <c r="P282" s="459"/>
      <c r="Q282" s="459"/>
      <c r="R282" s="459"/>
      <c r="S282" s="459"/>
      <c r="T282" s="459"/>
      <c r="U282" s="459"/>
    </row>
    <row r="283" spans="3:21">
      <c r="C283" s="459"/>
      <c r="D283" s="459"/>
      <c r="E283" s="459"/>
      <c r="F283" s="459"/>
      <c r="G283" s="459"/>
      <c r="H283" s="459"/>
      <c r="I283" s="459"/>
      <c r="J283" s="459"/>
      <c r="K283" s="459"/>
      <c r="L283" s="459"/>
      <c r="M283" s="459"/>
      <c r="N283" s="459"/>
      <c r="O283" s="459"/>
      <c r="P283" s="459"/>
      <c r="Q283" s="459"/>
      <c r="R283" s="459"/>
      <c r="S283" s="459"/>
      <c r="T283" s="459"/>
      <c r="U283" s="459"/>
    </row>
    <row r="284" spans="3:21">
      <c r="C284" s="459"/>
      <c r="D284" s="459"/>
      <c r="E284" s="459"/>
      <c r="F284" s="459"/>
      <c r="G284" s="459"/>
      <c r="H284" s="459"/>
      <c r="I284" s="459"/>
      <c r="J284" s="459"/>
      <c r="K284" s="459"/>
      <c r="L284" s="459"/>
      <c r="M284" s="459"/>
      <c r="N284" s="459"/>
      <c r="O284" s="459"/>
      <c r="P284" s="459"/>
      <c r="Q284" s="459"/>
      <c r="R284" s="459"/>
      <c r="S284" s="459"/>
      <c r="T284" s="459"/>
      <c r="U284" s="459"/>
    </row>
    <row r="285" spans="3:21">
      <c r="C285" s="459"/>
      <c r="D285" s="459"/>
      <c r="E285" s="459"/>
      <c r="F285" s="459"/>
      <c r="G285" s="459"/>
      <c r="H285" s="459"/>
      <c r="I285" s="459"/>
      <c r="J285" s="459"/>
      <c r="K285" s="459"/>
      <c r="L285" s="459"/>
      <c r="M285" s="459"/>
      <c r="N285" s="459"/>
      <c r="O285" s="459"/>
      <c r="P285" s="459"/>
      <c r="Q285" s="459"/>
      <c r="R285" s="459"/>
      <c r="S285" s="459"/>
      <c r="T285" s="459"/>
      <c r="U285" s="459"/>
    </row>
    <row r="286" spans="3:21">
      <c r="C286" s="459"/>
      <c r="D286" s="459"/>
      <c r="E286" s="459"/>
      <c r="F286" s="459"/>
      <c r="G286" s="459"/>
      <c r="H286" s="459"/>
      <c r="I286" s="459"/>
      <c r="J286" s="459"/>
      <c r="K286" s="459"/>
      <c r="L286" s="459"/>
      <c r="M286" s="459"/>
      <c r="N286" s="459"/>
      <c r="O286" s="459"/>
      <c r="P286" s="459"/>
      <c r="Q286" s="459"/>
      <c r="R286" s="459"/>
      <c r="S286" s="459"/>
      <c r="T286" s="459"/>
      <c r="U286" s="459"/>
    </row>
    <row r="287" spans="3:21">
      <c r="C287" s="459"/>
      <c r="D287" s="459"/>
      <c r="E287" s="459"/>
      <c r="F287" s="459"/>
      <c r="G287" s="459"/>
      <c r="H287" s="459"/>
      <c r="I287" s="459"/>
      <c r="J287" s="459"/>
      <c r="K287" s="459"/>
      <c r="L287" s="459"/>
      <c r="M287" s="459"/>
      <c r="N287" s="459"/>
      <c r="O287" s="459"/>
      <c r="P287" s="459"/>
      <c r="Q287" s="459"/>
      <c r="R287" s="459"/>
      <c r="S287" s="459"/>
      <c r="T287" s="459"/>
      <c r="U287" s="459"/>
    </row>
    <row r="288" spans="3:21">
      <c r="C288" s="459"/>
      <c r="D288" s="459"/>
      <c r="E288" s="459"/>
      <c r="F288" s="459"/>
      <c r="G288" s="459"/>
      <c r="H288" s="459"/>
      <c r="I288" s="459"/>
      <c r="J288" s="459"/>
      <c r="K288" s="459"/>
      <c r="L288" s="459"/>
      <c r="M288" s="459"/>
      <c r="N288" s="459"/>
      <c r="O288" s="459"/>
      <c r="P288" s="459"/>
      <c r="Q288" s="459"/>
      <c r="R288" s="459"/>
      <c r="S288" s="459"/>
      <c r="T288" s="459"/>
      <c r="U288" s="459"/>
    </row>
    <row r="289" spans="3:21">
      <c r="C289" s="459"/>
      <c r="D289" s="459"/>
      <c r="E289" s="459"/>
      <c r="F289" s="459"/>
      <c r="G289" s="459"/>
      <c r="H289" s="459"/>
      <c r="I289" s="459"/>
      <c r="J289" s="459"/>
      <c r="K289" s="459"/>
      <c r="L289" s="459"/>
      <c r="M289" s="459"/>
      <c r="N289" s="459"/>
      <c r="O289" s="459"/>
      <c r="P289" s="459"/>
      <c r="Q289" s="459"/>
      <c r="R289" s="459"/>
      <c r="S289" s="459"/>
      <c r="T289" s="459"/>
      <c r="U289" s="459"/>
    </row>
    <row r="290" spans="3:21">
      <c r="C290" s="459"/>
      <c r="D290" s="459"/>
      <c r="E290" s="459"/>
      <c r="F290" s="459"/>
      <c r="G290" s="459"/>
      <c r="H290" s="459"/>
      <c r="I290" s="459"/>
      <c r="J290" s="459"/>
      <c r="K290" s="459"/>
      <c r="L290" s="459"/>
      <c r="M290" s="459"/>
      <c r="N290" s="459"/>
      <c r="O290" s="459"/>
      <c r="P290" s="459"/>
      <c r="Q290" s="459"/>
      <c r="R290" s="459"/>
      <c r="S290" s="459"/>
      <c r="T290" s="459"/>
      <c r="U290" s="459"/>
    </row>
    <row r="291" spans="3:21">
      <c r="C291" s="459"/>
      <c r="D291" s="459"/>
      <c r="E291" s="459"/>
      <c r="F291" s="459"/>
      <c r="G291" s="459"/>
      <c r="H291" s="459"/>
      <c r="I291" s="459"/>
      <c r="J291" s="459"/>
      <c r="K291" s="459"/>
      <c r="L291" s="459"/>
      <c r="M291" s="459"/>
      <c r="N291" s="459"/>
      <c r="O291" s="459"/>
      <c r="P291" s="459"/>
      <c r="Q291" s="459"/>
      <c r="R291" s="459"/>
      <c r="S291" s="459"/>
      <c r="T291" s="459"/>
      <c r="U291" s="459"/>
    </row>
    <row r="292" spans="3:21">
      <c r="C292" s="459"/>
      <c r="D292" s="459"/>
      <c r="E292" s="459"/>
      <c r="F292" s="459"/>
      <c r="G292" s="459"/>
      <c r="H292" s="459"/>
      <c r="I292" s="459"/>
      <c r="J292" s="459"/>
      <c r="K292" s="459"/>
      <c r="L292" s="459"/>
      <c r="M292" s="459"/>
      <c r="N292" s="459"/>
      <c r="O292" s="459"/>
      <c r="P292" s="459"/>
      <c r="Q292" s="459"/>
      <c r="R292" s="459"/>
      <c r="S292" s="459"/>
      <c r="T292" s="459"/>
      <c r="U292" s="459"/>
    </row>
    <row r="293" spans="3:21">
      <c r="C293" s="459"/>
      <c r="D293" s="459"/>
      <c r="E293" s="459"/>
      <c r="F293" s="459"/>
      <c r="G293" s="459"/>
      <c r="H293" s="459"/>
      <c r="I293" s="459"/>
      <c r="J293" s="459"/>
      <c r="K293" s="459"/>
      <c r="L293" s="459"/>
      <c r="M293" s="459"/>
      <c r="N293" s="459"/>
      <c r="O293" s="459"/>
      <c r="P293" s="459"/>
      <c r="Q293" s="459"/>
      <c r="R293" s="459"/>
      <c r="S293" s="459"/>
      <c r="T293" s="459"/>
      <c r="U293" s="459"/>
    </row>
    <row r="294" spans="3:21">
      <c r="C294" s="459"/>
      <c r="D294" s="459"/>
      <c r="E294" s="459"/>
      <c r="F294" s="459"/>
      <c r="G294" s="459"/>
      <c r="H294" s="459"/>
      <c r="I294" s="459"/>
      <c r="J294" s="459"/>
      <c r="K294" s="459"/>
      <c r="L294" s="459"/>
      <c r="M294" s="459"/>
      <c r="N294" s="459"/>
      <c r="O294" s="459"/>
      <c r="P294" s="459"/>
      <c r="Q294" s="459"/>
      <c r="R294" s="459"/>
      <c r="S294" s="459"/>
      <c r="T294" s="459"/>
      <c r="U294" s="459"/>
    </row>
    <row r="295" spans="3:21">
      <c r="C295" s="459"/>
      <c r="D295" s="459"/>
      <c r="E295" s="459"/>
      <c r="F295" s="459"/>
      <c r="G295" s="459"/>
      <c r="H295" s="459"/>
      <c r="I295" s="459"/>
      <c r="J295" s="459"/>
      <c r="K295" s="459"/>
      <c r="L295" s="459"/>
      <c r="M295" s="459"/>
      <c r="N295" s="459"/>
      <c r="O295" s="459"/>
      <c r="P295" s="459"/>
      <c r="Q295" s="459"/>
      <c r="R295" s="459"/>
      <c r="S295" s="459"/>
      <c r="T295" s="459"/>
      <c r="U295" s="459"/>
    </row>
    <row r="296" spans="3:21">
      <c r="C296" s="459"/>
      <c r="D296" s="459"/>
      <c r="E296" s="459"/>
      <c r="F296" s="459"/>
      <c r="G296" s="459"/>
      <c r="H296" s="459"/>
      <c r="I296" s="459"/>
      <c r="J296" s="459"/>
      <c r="K296" s="459"/>
      <c r="L296" s="459"/>
      <c r="M296" s="459"/>
      <c r="N296" s="459"/>
      <c r="O296" s="459"/>
      <c r="P296" s="459"/>
      <c r="Q296" s="459"/>
      <c r="R296" s="459"/>
      <c r="S296" s="459"/>
      <c r="T296" s="459"/>
      <c r="U296" s="459"/>
    </row>
    <row r="297" spans="3:21">
      <c r="C297" s="459"/>
      <c r="D297" s="459"/>
      <c r="E297" s="459"/>
      <c r="F297" s="459"/>
      <c r="G297" s="459"/>
      <c r="H297" s="459"/>
      <c r="I297" s="459"/>
      <c r="J297" s="459"/>
      <c r="K297" s="459"/>
      <c r="L297" s="459"/>
      <c r="M297" s="459"/>
      <c r="N297" s="459"/>
      <c r="O297" s="459"/>
      <c r="P297" s="459"/>
      <c r="Q297" s="459"/>
      <c r="R297" s="459"/>
      <c r="S297" s="459"/>
      <c r="T297" s="459"/>
      <c r="U297" s="459"/>
    </row>
    <row r="298" spans="3:21">
      <c r="C298" s="459"/>
      <c r="D298" s="459"/>
      <c r="E298" s="459"/>
      <c r="F298" s="459"/>
      <c r="G298" s="459"/>
      <c r="H298" s="459"/>
      <c r="I298" s="459"/>
      <c r="J298" s="459"/>
      <c r="K298" s="459"/>
      <c r="L298" s="459"/>
      <c r="M298" s="459"/>
      <c r="N298" s="459"/>
      <c r="O298" s="459"/>
      <c r="P298" s="459"/>
      <c r="Q298" s="459"/>
      <c r="R298" s="459"/>
      <c r="S298" s="459"/>
      <c r="T298" s="459"/>
      <c r="U298" s="459"/>
    </row>
    <row r="299" spans="3:21">
      <c r="C299" s="459"/>
      <c r="D299" s="459"/>
      <c r="E299" s="459"/>
      <c r="F299" s="459"/>
      <c r="G299" s="459"/>
      <c r="H299" s="459"/>
      <c r="I299" s="459"/>
      <c r="J299" s="459"/>
      <c r="K299" s="459"/>
      <c r="L299" s="459"/>
      <c r="M299" s="459"/>
      <c r="N299" s="459"/>
    </row>
    <row r="300" spans="3:21">
      <c r="C300" s="459"/>
      <c r="D300" s="459"/>
      <c r="E300" s="459"/>
      <c r="F300" s="459"/>
      <c r="G300" s="459"/>
      <c r="H300" s="459"/>
      <c r="I300" s="459"/>
      <c r="J300" s="459"/>
      <c r="K300" s="459"/>
      <c r="L300" s="459"/>
      <c r="M300" s="459"/>
      <c r="N300" s="459"/>
    </row>
    <row r="301" spans="3:21">
      <c r="C301" s="459"/>
      <c r="D301" s="459"/>
      <c r="E301" s="459"/>
      <c r="F301" s="459"/>
      <c r="G301" s="459"/>
      <c r="H301" s="459"/>
      <c r="I301" s="459"/>
      <c r="J301" s="459"/>
      <c r="K301" s="459"/>
      <c r="L301" s="459"/>
      <c r="M301" s="459"/>
      <c r="N301" s="459"/>
    </row>
    <row r="302" spans="3:21">
      <c r="C302" s="459"/>
      <c r="D302" s="459"/>
      <c r="E302" s="459"/>
      <c r="F302" s="459"/>
      <c r="G302" s="459"/>
      <c r="H302" s="459"/>
      <c r="I302" s="459"/>
      <c r="J302" s="459"/>
      <c r="K302" s="459"/>
      <c r="L302" s="459"/>
      <c r="M302" s="459"/>
      <c r="N302" s="459"/>
    </row>
    <row r="303" spans="3:21">
      <c r="C303" s="459"/>
      <c r="D303" s="459"/>
      <c r="E303" s="459"/>
      <c r="F303" s="459"/>
      <c r="G303" s="459"/>
      <c r="H303" s="459"/>
      <c r="I303" s="459"/>
      <c r="J303" s="459"/>
      <c r="K303" s="459"/>
      <c r="L303" s="459"/>
      <c r="M303" s="459"/>
      <c r="N303" s="459"/>
    </row>
    <row r="304" spans="3:21">
      <c r="C304" s="459"/>
      <c r="D304" s="459"/>
      <c r="E304" s="459"/>
      <c r="F304" s="459"/>
      <c r="G304" s="459"/>
      <c r="H304" s="459"/>
      <c r="I304" s="459"/>
      <c r="J304" s="459"/>
      <c r="K304" s="459"/>
      <c r="L304" s="459"/>
      <c r="M304" s="459"/>
      <c r="N304" s="459"/>
    </row>
    <row r="305" spans="3:14">
      <c r="C305" s="459"/>
      <c r="D305" s="459"/>
      <c r="E305" s="459"/>
      <c r="F305" s="459"/>
      <c r="G305" s="459"/>
      <c r="H305" s="459"/>
      <c r="I305" s="459"/>
      <c r="J305" s="459"/>
      <c r="K305" s="459"/>
      <c r="L305" s="459"/>
      <c r="M305" s="459"/>
      <c r="N305" s="459"/>
    </row>
    <row r="306" spans="3:14">
      <c r="C306" s="459"/>
      <c r="D306" s="459"/>
      <c r="E306" s="459"/>
      <c r="F306" s="459"/>
      <c r="G306" s="459"/>
      <c r="H306" s="459"/>
      <c r="I306" s="459"/>
      <c r="J306" s="459"/>
      <c r="K306" s="459"/>
      <c r="L306" s="459"/>
      <c r="M306" s="459"/>
      <c r="N306" s="459"/>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2015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D10" zoomScale="80" zoomScaleNormal="80" workbookViewId="0">
      <selection activeCell="E28" sqref="E28"/>
    </sheetView>
  </sheetViews>
  <sheetFormatPr defaultColWidth="9" defaultRowHeight="15.75"/>
  <cols>
    <col min="1" max="1" width="4.5546875" style="887" customWidth="1"/>
    <col min="2" max="2" width="17" style="886" customWidth="1"/>
    <col min="3" max="3" width="56.5546875" style="886" customWidth="1"/>
    <col min="4" max="4" width="45.5546875" style="886" customWidth="1"/>
    <col min="5" max="5" width="12.88671875" style="886" bestFit="1" customWidth="1"/>
    <col min="6" max="6" width="10.44140625" style="886" customWidth="1"/>
    <col min="7" max="16384" width="9" style="886"/>
  </cols>
  <sheetData>
    <row r="1" spans="1:21">
      <c r="A1"/>
      <c r="B1"/>
      <c r="C1"/>
      <c r="D1"/>
      <c r="E1"/>
      <c r="F1" s="667" t="str">
        <f>'Att O_RPU'!K$3</f>
        <v>For the 12 months ended 12/31/15</v>
      </c>
    </row>
    <row r="2" spans="1:21">
      <c r="A2"/>
      <c r="B2"/>
      <c r="C2"/>
      <c r="D2"/>
      <c r="E2"/>
      <c r="F2"/>
    </row>
    <row r="3" spans="1:21">
      <c r="A3" s="958" t="s">
        <v>638</v>
      </c>
      <c r="B3" s="958"/>
      <c r="C3" s="958"/>
      <c r="D3" s="958"/>
      <c r="E3" s="958"/>
      <c r="F3" s="958"/>
    </row>
    <row r="4" spans="1:21">
      <c r="A4" s="958" t="s">
        <v>815</v>
      </c>
      <c r="B4" s="958"/>
      <c r="C4" s="958"/>
      <c r="D4" s="958"/>
      <c r="E4" s="958"/>
      <c r="F4" s="958"/>
    </row>
    <row r="5" spans="1:21">
      <c r="A5" s="958" t="s">
        <v>1049</v>
      </c>
      <c r="B5" s="958"/>
      <c r="C5" s="958"/>
      <c r="D5" s="958"/>
      <c r="E5" s="958"/>
      <c r="F5" s="958"/>
    </row>
    <row r="6" spans="1:21">
      <c r="A6" s="510"/>
      <c r="B6" s="510"/>
      <c r="C6" s="510"/>
      <c r="D6" s="510"/>
      <c r="E6" s="510"/>
      <c r="F6" s="510"/>
    </row>
    <row r="7" spans="1:21">
      <c r="A7" s="959" t="str">
        <f>CONCATENATE("Calculation of Schedule 1 Recoverable Expenses for for 12 months ended 12/31/",'Att O_RPU'!E318)</f>
        <v>Calculation of Schedule 1 Recoverable Expenses for for 12 months ended 12/31/2015</v>
      </c>
      <c r="B7" s="959"/>
      <c r="C7" s="959"/>
      <c r="D7" s="959"/>
      <c r="E7" s="959"/>
      <c r="F7" s="959"/>
    </row>
    <row r="8" spans="1:21">
      <c r="A8" s="888"/>
      <c r="B8" s="888"/>
      <c r="C8" s="888"/>
      <c r="D8" s="888"/>
      <c r="E8" s="888"/>
      <c r="F8" s="888"/>
    </row>
    <row r="9" spans="1:21">
      <c r="A9" s="960" t="str">
        <f>CONCATENATE("Includes Schedule 1 True-up Adjustment for 12 months ended 12/31/",'Att O_RPU'!E317-1,"    (1)")</f>
        <v>Includes Schedule 1 True-up Adjustment for 12 months ended 12/31/2013    (1)</v>
      </c>
      <c r="B9" s="960"/>
      <c r="C9" s="960"/>
      <c r="D9" s="960"/>
      <c r="E9" s="960"/>
      <c r="F9" s="960"/>
    </row>
    <row r="10" spans="1:21" ht="31.5">
      <c r="A10" s="536" t="s">
        <v>470</v>
      </c>
      <c r="B10"/>
      <c r="C10"/>
      <c r="D10"/>
      <c r="E10"/>
      <c r="F10"/>
    </row>
    <row r="11" spans="1:21">
      <c r="A11" s="886"/>
      <c r="B11"/>
      <c r="C11" s="932"/>
      <c r="D11" s="932"/>
      <c r="E11" s="932"/>
      <c r="F11" s="931"/>
      <c r="G11" s="931"/>
      <c r="H11" s="931"/>
      <c r="I11" s="931"/>
      <c r="J11" s="931"/>
      <c r="K11" s="931"/>
      <c r="L11" s="931"/>
      <c r="M11" s="931"/>
      <c r="N11" s="931"/>
      <c r="O11" s="931"/>
      <c r="P11" s="931"/>
      <c r="Q11" s="931"/>
      <c r="R11" s="931"/>
      <c r="S11" s="931"/>
      <c r="T11" s="931"/>
      <c r="U11" s="931"/>
    </row>
    <row r="12" spans="1:21">
      <c r="A12" s="886"/>
      <c r="B12" s="899"/>
      <c r="C12" s="899"/>
      <c r="D12" s="898"/>
      <c r="E12" s="900" t="s">
        <v>781</v>
      </c>
      <c r="F12" s="900"/>
    </row>
    <row r="13" spans="1:21">
      <c r="A13" s="886"/>
      <c r="B13" s="899"/>
      <c r="C13" s="899"/>
      <c r="D13" s="51"/>
      <c r="E13" s="896"/>
      <c r="F13" s="896"/>
    </row>
    <row r="14" spans="1:21">
      <c r="A14" s="909">
        <f>1+A11</f>
        <v>1</v>
      </c>
      <c r="B14" s="51" t="s">
        <v>1031</v>
      </c>
      <c r="C14" s="51"/>
      <c r="D14" s="51" t="s">
        <v>1045</v>
      </c>
      <c r="E14" s="902">
        <f>'Transmission O&amp;M'!C9</f>
        <v>226.36</v>
      </c>
      <c r="F14" s="902"/>
    </row>
    <row r="15" spans="1:21">
      <c r="A15" s="909">
        <f>1+A14</f>
        <v>2</v>
      </c>
      <c r="B15" s="51" t="s">
        <v>1032</v>
      </c>
      <c r="C15" s="51"/>
      <c r="D15" s="51" t="s">
        <v>1045</v>
      </c>
      <c r="E15" s="904">
        <f>'Transmission O&amp;M'!C10</f>
        <v>194527.58</v>
      </c>
      <c r="F15" s="904"/>
    </row>
    <row r="16" spans="1:21">
      <c r="A16" s="909">
        <f>1+A15</f>
        <v>3</v>
      </c>
      <c r="B16" s="51" t="s">
        <v>1033</v>
      </c>
      <c r="C16" s="51"/>
      <c r="D16" s="51" t="s">
        <v>1045</v>
      </c>
      <c r="E16" s="904">
        <f>'Transmission O&amp;M'!C11</f>
        <v>10570.4</v>
      </c>
      <c r="F16" s="904"/>
    </row>
    <row r="17" spans="1:8">
      <c r="A17" s="909">
        <f>1+A16</f>
        <v>4</v>
      </c>
      <c r="B17" s="51" t="s">
        <v>1034</v>
      </c>
      <c r="C17" s="51"/>
      <c r="D17" s="51" t="s">
        <v>1053</v>
      </c>
      <c r="E17" s="910">
        <f>+E14+E15+E16</f>
        <v>205324.33999999997</v>
      </c>
      <c r="F17" s="902"/>
    </row>
    <row r="18" spans="1:8">
      <c r="A18" s="886"/>
      <c r="B18" s="51"/>
      <c r="C18" s="51"/>
      <c r="D18" s="51"/>
      <c r="E18" s="904"/>
      <c r="F18" s="904"/>
    </row>
    <row r="19" spans="1:8" ht="18.75">
      <c r="A19" s="909">
        <f>1+A17</f>
        <v>5</v>
      </c>
      <c r="B19" s="12" t="s">
        <v>1042</v>
      </c>
      <c r="C19" s="12"/>
      <c r="D19" s="123" t="s">
        <v>1050</v>
      </c>
      <c r="E19" s="905">
        <v>0</v>
      </c>
      <c r="F19" s="906"/>
    </row>
    <row r="20" spans="1:8">
      <c r="A20" s="886"/>
      <c r="B20" s="12"/>
      <c r="C20" s="12"/>
      <c r="D20" s="12"/>
      <c r="E20" s="748"/>
      <c r="F20" s="748"/>
    </row>
    <row r="21" spans="1:8" ht="18.75">
      <c r="A21" s="909">
        <f>1+A19</f>
        <v>6</v>
      </c>
      <c r="B21" s="895" t="s">
        <v>1054</v>
      </c>
      <c r="C21" s="12"/>
      <c r="D21" s="12" t="s">
        <v>1063</v>
      </c>
      <c r="E21" s="921">
        <f>+E17-E19</f>
        <v>205324.33999999997</v>
      </c>
      <c r="F21" s="907"/>
    </row>
    <row r="22" spans="1:8">
      <c r="A22" s="886"/>
      <c r="B22" s="12"/>
      <c r="C22" s="12"/>
      <c r="D22" s="12"/>
      <c r="E22" s="12"/>
      <c r="F22" s="12"/>
    </row>
    <row r="23" spans="1:8">
      <c r="A23" s="909">
        <f>1+A21</f>
        <v>7</v>
      </c>
      <c r="B23" s="895" t="s">
        <v>1055</v>
      </c>
      <c r="C23" s="12"/>
      <c r="D23" s="123" t="str">
        <f>CONCATENATE("See RPU Attach O_GG ",'Att O_RPU'!E317-1," 2013 True-up and Workpapers")</f>
        <v>See RPU Attach O_GG 2013 2013 True-up and Workpapers</v>
      </c>
      <c r="E23" s="905">
        <v>0</v>
      </c>
      <c r="F23" s="906"/>
    </row>
    <row r="24" spans="1:8">
      <c r="A24" s="909"/>
      <c r="B24" s="895"/>
      <c r="C24" s="12"/>
      <c r="D24" s="123" t="s">
        <v>1083</v>
      </c>
      <c r="E24" s="922"/>
      <c r="F24" s="906"/>
    </row>
    <row r="25" spans="1:8">
      <c r="A25" s="909"/>
      <c r="B25" s="895"/>
      <c r="C25" s="12"/>
      <c r="D25" s="123"/>
      <c r="E25" s="922"/>
      <c r="F25" s="906"/>
    </row>
    <row r="26" spans="1:8">
      <c r="A26" s="909">
        <f>1+A23</f>
        <v>8</v>
      </c>
      <c r="B26" s="895" t="s">
        <v>1062</v>
      </c>
      <c r="C26" s="12"/>
      <c r="D26" s="123" t="s">
        <v>1082</v>
      </c>
      <c r="E26" s="905">
        <f>'Account 456.1'!D11</f>
        <v>0</v>
      </c>
      <c r="F26"/>
      <c r="G26"/>
      <c r="H26"/>
    </row>
    <row r="27" spans="1:8">
      <c r="A27" s="886"/>
      <c r="B27" s="51"/>
      <c r="C27" s="51"/>
      <c r="D27" s="51"/>
      <c r="E27" s="904"/>
      <c r="F27" s="904"/>
    </row>
    <row r="28" spans="1:8" ht="16.5" thickBot="1">
      <c r="A28" s="909">
        <f>1+A26</f>
        <v>9</v>
      </c>
      <c r="B28" s="896" t="s">
        <v>1056</v>
      </c>
      <c r="C28" s="51"/>
      <c r="D28" s="51"/>
      <c r="E28" s="908">
        <f>E21+E23-E26</f>
        <v>205324.33999999997</v>
      </c>
      <c r="F28" s="123"/>
    </row>
    <row r="29" spans="1:8" ht="16.5" thickTop="1">
      <c r="A29" s="886"/>
      <c r="B29" s="51"/>
      <c r="C29" s="51"/>
      <c r="D29" s="51"/>
      <c r="E29" s="51"/>
      <c r="F29" s="51"/>
    </row>
    <row r="30" spans="1:8">
      <c r="A30" s="886"/>
      <c r="B30" s="51" t="s">
        <v>1037</v>
      </c>
      <c r="C30" s="51"/>
      <c r="D30" s="51" t="s">
        <v>1066</v>
      </c>
      <c r="E30" s="911">
        <f>'Att O_RPU'!I41</f>
        <v>193115.83333333334</v>
      </c>
      <c r="F30" s="123"/>
    </row>
    <row r="31" spans="1:8">
      <c r="A31" s="886"/>
      <c r="B31" s="51"/>
      <c r="C31" s="51"/>
      <c r="D31" s="51"/>
      <c r="E31" s="51"/>
      <c r="F31" s="51"/>
    </row>
    <row r="32" spans="1:8">
      <c r="A32" s="909">
        <f>1+A28</f>
        <v>10</v>
      </c>
      <c r="B32" s="51" t="s">
        <v>26</v>
      </c>
      <c r="C32" s="51"/>
      <c r="D32" s="51"/>
      <c r="E32" s="929">
        <f>ROUND(E28/E30,8)</f>
        <v>1.0632185700000001</v>
      </c>
      <c r="F32" s="51"/>
    </row>
    <row r="33" spans="1:6">
      <c r="A33" s="886"/>
      <c r="B33" s="51"/>
      <c r="C33" s="51"/>
      <c r="D33" s="51"/>
      <c r="E33" s="51"/>
      <c r="F33" s="51"/>
    </row>
    <row r="34" spans="1:6">
      <c r="B34" s="957" t="s">
        <v>909</v>
      </c>
      <c r="C34" s="957"/>
      <c r="D34" s="957"/>
      <c r="E34" s="957"/>
      <c r="F34" s="957"/>
    </row>
    <row r="36" spans="1:6">
      <c r="B36" s="506" t="s">
        <v>1052</v>
      </c>
    </row>
    <row r="37" spans="1:6">
      <c r="B37" s="886" t="s">
        <v>1057</v>
      </c>
    </row>
    <row r="38" spans="1:6">
      <c r="B38" s="12" t="s">
        <v>1058</v>
      </c>
      <c r="C38" s="894"/>
    </row>
    <row r="39" spans="1:6">
      <c r="B39" s="12" t="s">
        <v>1059</v>
      </c>
      <c r="C39" s="894"/>
    </row>
    <row r="40" spans="1:6">
      <c r="B40" s="12" t="s">
        <v>1060</v>
      </c>
      <c r="C40" s="894"/>
    </row>
    <row r="41" spans="1:6">
      <c r="B41" s="12" t="s">
        <v>1061</v>
      </c>
      <c r="C41" s="894"/>
    </row>
  </sheetData>
  <mergeCells count="6">
    <mergeCell ref="B34:F34"/>
    <mergeCell ref="A3:F3"/>
    <mergeCell ref="A4:F4"/>
    <mergeCell ref="A5:F5"/>
    <mergeCell ref="A7:F7"/>
    <mergeCell ref="A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zoomScale="80" zoomScaleNormal="80" workbookViewId="0">
      <selection activeCell="D11" sqref="D11"/>
    </sheetView>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12/31/15</v>
      </c>
    </row>
    <row r="2" spans="1:4" ht="15.75">
      <c r="A2" s="3"/>
      <c r="B2" s="3"/>
      <c r="C2" s="3"/>
      <c r="D2" s="13"/>
    </row>
    <row r="3" spans="1:4" ht="15.75" customHeight="1">
      <c r="A3" s="961" t="s">
        <v>638</v>
      </c>
      <c r="B3" s="961"/>
      <c r="C3" s="961"/>
      <c r="D3" s="961"/>
    </row>
    <row r="4" spans="1:4" ht="18.75">
      <c r="A4" s="961" t="s">
        <v>815</v>
      </c>
      <c r="B4" s="961"/>
      <c r="C4" s="961"/>
      <c r="D4" s="961"/>
    </row>
    <row r="5" spans="1:4" ht="15.75">
      <c r="A5" s="3"/>
      <c r="B5" s="3"/>
      <c r="C5" s="3"/>
      <c r="D5" s="3"/>
    </row>
    <row r="6" spans="1:4" ht="18.75">
      <c r="A6" s="961" t="s">
        <v>816</v>
      </c>
      <c r="B6" s="961"/>
      <c r="C6" s="961"/>
      <c r="D6" s="961"/>
    </row>
    <row r="7" spans="1:4" ht="15.75">
      <c r="A7" s="962" t="s">
        <v>817</v>
      </c>
      <c r="B7" s="962"/>
      <c r="C7" s="962"/>
      <c r="D7" s="962"/>
    </row>
    <row r="8" spans="1:4" ht="15.75">
      <c r="A8" s="481"/>
      <c r="B8" s="482" t="s">
        <v>780</v>
      </c>
      <c r="C8" s="481"/>
      <c r="D8" s="482" t="s">
        <v>781</v>
      </c>
    </row>
    <row r="9" spans="1:4" ht="15.75">
      <c r="A9" s="482" t="s">
        <v>4</v>
      </c>
      <c r="B9" s="482" t="s">
        <v>588</v>
      </c>
      <c r="C9" s="481"/>
      <c r="D9" s="482" t="s">
        <v>782</v>
      </c>
    </row>
    <row r="10" spans="1:4" ht="15.75">
      <c r="A10" s="483" t="s">
        <v>6</v>
      </c>
      <c r="B10" s="483" t="s">
        <v>783</v>
      </c>
      <c r="C10" s="483" t="s">
        <v>784</v>
      </c>
      <c r="D10" s="483" t="s">
        <v>1017</v>
      </c>
    </row>
    <row r="11" spans="1:4" ht="15.75">
      <c r="A11" s="481"/>
      <c r="B11" s="482" t="s">
        <v>785</v>
      </c>
      <c r="C11" s="482" t="s">
        <v>786</v>
      </c>
      <c r="D11" s="482" t="s">
        <v>787</v>
      </c>
    </row>
    <row r="12" spans="1:4" ht="15.75">
      <c r="A12" s="481"/>
      <c r="B12" s="481"/>
      <c r="C12" s="481"/>
      <c r="D12" s="482" t="s">
        <v>113</v>
      </c>
    </row>
    <row r="13" spans="1:4" ht="15.75">
      <c r="A13" s="481"/>
      <c r="B13" s="481"/>
      <c r="C13" s="484" t="s">
        <v>788</v>
      </c>
      <c r="D13" s="481"/>
    </row>
    <row r="14" spans="1:4" ht="15.75">
      <c r="A14" s="486">
        <v>1</v>
      </c>
      <c r="B14" s="486">
        <v>350</v>
      </c>
      <c r="C14" s="485" t="s">
        <v>789</v>
      </c>
      <c r="D14" s="31" t="s">
        <v>790</v>
      </c>
    </row>
    <row r="15" spans="1:4" ht="15.75">
      <c r="A15" s="486">
        <v>2</v>
      </c>
      <c r="B15" s="486">
        <v>352</v>
      </c>
      <c r="C15" s="485" t="s">
        <v>791</v>
      </c>
      <c r="D15" s="30">
        <v>2.8570000000000002</v>
      </c>
    </row>
    <row r="16" spans="1:4" ht="15.75">
      <c r="A16" s="486">
        <v>3</v>
      </c>
      <c r="B16" s="486">
        <v>353</v>
      </c>
      <c r="C16" s="485" t="s">
        <v>792</v>
      </c>
      <c r="D16" s="30">
        <v>2.8570000000000002</v>
      </c>
    </row>
    <row r="17" spans="1:4" ht="15.75">
      <c r="A17" s="486">
        <v>4</v>
      </c>
      <c r="B17" s="486">
        <v>355</v>
      </c>
      <c r="C17" s="485" t="s">
        <v>793</v>
      </c>
      <c r="D17" s="30">
        <v>2.8570000000000002</v>
      </c>
    </row>
    <row r="18" spans="1:4" ht="15.75">
      <c r="A18" s="486">
        <v>5</v>
      </c>
      <c r="B18" s="486">
        <v>356</v>
      </c>
      <c r="C18" s="485" t="s">
        <v>794</v>
      </c>
      <c r="D18" s="30">
        <v>2.8570000000000002</v>
      </c>
    </row>
    <row r="19" spans="1:4" ht="15.75">
      <c r="A19" s="487"/>
      <c r="B19" s="487"/>
      <c r="C19" s="481"/>
      <c r="D19" s="488"/>
    </row>
    <row r="20" spans="1:4" ht="15.75">
      <c r="A20" s="487"/>
      <c r="B20" s="487"/>
      <c r="C20" s="484" t="s">
        <v>795</v>
      </c>
      <c r="D20" s="488"/>
    </row>
    <row r="21" spans="1:4" ht="15.75">
      <c r="A21" s="486">
        <v>6</v>
      </c>
      <c r="B21" s="486">
        <v>389</v>
      </c>
      <c r="C21" s="485" t="s">
        <v>789</v>
      </c>
      <c r="D21" s="30" t="s">
        <v>790</v>
      </c>
    </row>
    <row r="22" spans="1:4" ht="15.75">
      <c r="A22" s="486">
        <v>7</v>
      </c>
      <c r="B22" s="486">
        <v>390</v>
      </c>
      <c r="C22" s="485" t="s">
        <v>796</v>
      </c>
      <c r="D22" s="30">
        <v>10</v>
      </c>
    </row>
    <row r="23" spans="1:4" ht="15.75">
      <c r="A23" s="486">
        <v>8</v>
      </c>
      <c r="B23" s="486">
        <v>390</v>
      </c>
      <c r="C23" s="485" t="s">
        <v>797</v>
      </c>
      <c r="D23" s="30">
        <v>5</v>
      </c>
    </row>
    <row r="24" spans="1:4" ht="15.75">
      <c r="A24" s="486">
        <v>9</v>
      </c>
      <c r="B24" s="486">
        <v>390</v>
      </c>
      <c r="C24" s="485" t="s">
        <v>798</v>
      </c>
      <c r="D24" s="30">
        <v>2</v>
      </c>
    </row>
    <row r="25" spans="1:4" ht="15.75">
      <c r="A25" s="486">
        <v>10</v>
      </c>
      <c r="B25" s="486">
        <v>390</v>
      </c>
      <c r="C25" s="485" t="s">
        <v>1000</v>
      </c>
      <c r="D25" s="30">
        <v>20</v>
      </c>
    </row>
    <row r="26" spans="1:4" ht="15.75">
      <c r="A26" s="486">
        <v>11</v>
      </c>
      <c r="B26" s="486">
        <v>391</v>
      </c>
      <c r="C26" s="485" t="s">
        <v>799</v>
      </c>
      <c r="D26" s="30">
        <v>20</v>
      </c>
    </row>
    <row r="27" spans="1:4" ht="15.75">
      <c r="A27" s="486">
        <v>12</v>
      </c>
      <c r="B27" s="486">
        <v>391</v>
      </c>
      <c r="C27" s="485" t="s">
        <v>800</v>
      </c>
      <c r="D27" s="30">
        <v>10</v>
      </c>
    </row>
    <row r="28" spans="1:4" ht="15.75">
      <c r="A28" s="486">
        <v>13</v>
      </c>
      <c r="B28" s="486">
        <v>391</v>
      </c>
      <c r="C28" s="485" t="s">
        <v>801</v>
      </c>
      <c r="D28" s="30">
        <v>5</v>
      </c>
    </row>
    <row r="29" spans="1:4" ht="15.75">
      <c r="A29" s="486">
        <v>14</v>
      </c>
      <c r="B29" s="486">
        <v>392</v>
      </c>
      <c r="C29" s="485" t="s">
        <v>802</v>
      </c>
      <c r="D29" s="30">
        <v>20</v>
      </c>
    </row>
    <row r="30" spans="1:4" ht="15.75">
      <c r="A30" s="486">
        <v>15</v>
      </c>
      <c r="B30" s="486">
        <v>392</v>
      </c>
      <c r="C30" s="485" t="s">
        <v>803</v>
      </c>
      <c r="D30" s="30">
        <v>10</v>
      </c>
    </row>
    <row r="31" spans="1:4" ht="15.75">
      <c r="A31" s="486">
        <v>16</v>
      </c>
      <c r="B31" s="486">
        <v>393</v>
      </c>
      <c r="C31" s="485" t="s">
        <v>804</v>
      </c>
      <c r="D31" s="30">
        <v>10</v>
      </c>
    </row>
    <row r="32" spans="1:4" ht="15.75">
      <c r="A32" s="486">
        <v>17</v>
      </c>
      <c r="B32" s="486">
        <v>394</v>
      </c>
      <c r="C32" s="485" t="s">
        <v>805</v>
      </c>
      <c r="D32" s="30">
        <v>14.286</v>
      </c>
    </row>
    <row r="33" spans="1:15" ht="15.75">
      <c r="A33" s="486">
        <v>18</v>
      </c>
      <c r="B33" s="486">
        <v>394</v>
      </c>
      <c r="C33" s="485" t="s">
        <v>806</v>
      </c>
      <c r="D33" s="30">
        <v>10</v>
      </c>
    </row>
    <row r="34" spans="1:15" ht="15.75">
      <c r="A34" s="486">
        <v>19</v>
      </c>
      <c r="B34" s="486">
        <v>395</v>
      </c>
      <c r="C34" s="485" t="s">
        <v>807</v>
      </c>
      <c r="D34" s="30">
        <v>10</v>
      </c>
    </row>
    <row r="35" spans="1:15" ht="15.75">
      <c r="A35" s="486">
        <v>20</v>
      </c>
      <c r="B35" s="486">
        <v>396</v>
      </c>
      <c r="C35" s="485" t="s">
        <v>808</v>
      </c>
      <c r="D35" s="30">
        <v>10</v>
      </c>
    </row>
    <row r="36" spans="1:15" ht="15.75">
      <c r="A36" s="486">
        <v>21</v>
      </c>
      <c r="B36" s="486">
        <v>397</v>
      </c>
      <c r="C36" s="485" t="s">
        <v>809</v>
      </c>
      <c r="D36" s="30">
        <v>10</v>
      </c>
    </row>
    <row r="37" spans="1:15" ht="15.75">
      <c r="A37" s="486">
        <v>22</v>
      </c>
      <c r="B37" s="486">
        <v>397</v>
      </c>
      <c r="C37" s="485" t="s">
        <v>810</v>
      </c>
      <c r="D37" s="30">
        <v>6.6669999999999998</v>
      </c>
    </row>
    <row r="38" spans="1:15" ht="15.75">
      <c r="A38" s="486">
        <v>23</v>
      </c>
      <c r="B38" s="486">
        <v>397</v>
      </c>
      <c r="C38" s="485" t="s">
        <v>811</v>
      </c>
      <c r="D38" s="30">
        <v>5</v>
      </c>
    </row>
    <row r="39" spans="1:15" ht="15.75">
      <c r="A39" s="486">
        <v>24</v>
      </c>
      <c r="B39" s="486">
        <v>397</v>
      </c>
      <c r="C39" s="485" t="s">
        <v>812</v>
      </c>
      <c r="D39" s="30">
        <v>2.8570000000000002</v>
      </c>
    </row>
    <row r="40" spans="1:15" ht="15.75">
      <c r="A40" s="486">
        <v>25</v>
      </c>
      <c r="B40" s="486">
        <v>398</v>
      </c>
      <c r="C40" s="485" t="s">
        <v>813</v>
      </c>
      <c r="D40" s="30">
        <v>10</v>
      </c>
    </row>
    <row r="41" spans="1:15" ht="15.75">
      <c r="A41" s="486">
        <v>26</v>
      </c>
      <c r="B41" s="486">
        <v>398</v>
      </c>
      <c r="C41" s="485" t="s">
        <v>814</v>
      </c>
      <c r="D41" s="30">
        <v>6.6669999999999998</v>
      </c>
    </row>
    <row r="43" spans="1:15" ht="15.75">
      <c r="I43" s="492"/>
      <c r="J43" s="492"/>
      <c r="K43" s="492"/>
      <c r="L43" s="492"/>
      <c r="M43" s="492"/>
      <c r="N43" s="492"/>
      <c r="O43" s="492"/>
    </row>
  </sheetData>
  <mergeCells count="4">
    <mergeCell ref="A3:D3"/>
    <mergeCell ref="A4:D4"/>
    <mergeCell ref="A6:D6"/>
    <mergeCell ref="A7:D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D187"/>
  <sheetViews>
    <sheetView topLeftCell="A58" zoomScale="80" zoomScaleNormal="80" workbookViewId="0">
      <selection activeCell="V38" sqref="V38"/>
    </sheetView>
  </sheetViews>
  <sheetFormatPr defaultRowHeight="15"/>
  <cols>
    <col min="1" max="1" width="4.44140625" customWidth="1"/>
    <col min="2" max="2" width="6.77734375" customWidth="1"/>
    <col min="3" max="3" width="9.77734375" bestFit="1" customWidth="1"/>
    <col min="4" max="4" width="10.88671875" customWidth="1"/>
    <col min="7" max="7" width="9.44140625" customWidth="1"/>
    <col min="10" max="10" width="12.33203125" customWidth="1"/>
    <col min="12" max="12" width="4.5546875" customWidth="1"/>
    <col min="13" max="13" width="3" customWidth="1"/>
    <col min="14" max="14" width="4.44140625" customWidth="1"/>
    <col min="15" max="15" width="25.88671875" customWidth="1"/>
    <col min="16" max="16" width="29.21875" customWidth="1"/>
    <col min="17" max="18" width="19.77734375" customWidth="1"/>
    <col min="19" max="19" width="8.5546875" bestFit="1" customWidth="1"/>
    <col min="20" max="20" width="9.6640625" bestFit="1" customWidth="1"/>
    <col min="21" max="21" width="3.109375" customWidth="1"/>
    <col min="22" max="22" width="13.5546875" customWidth="1"/>
    <col min="24" max="24" width="8" bestFit="1" customWidth="1"/>
    <col min="25" max="25" width="3.77734375" customWidth="1"/>
    <col min="27" max="27" width="7" bestFit="1" customWidth="1"/>
    <col min="28" max="28" width="3.77734375" customWidth="1"/>
    <col min="30" max="30" width="8" bestFit="1" customWidth="1"/>
    <col min="31" max="31" width="3.77734375" customWidth="1"/>
    <col min="33" max="33" width="8" bestFit="1" customWidth="1"/>
    <col min="34" max="34" width="3.77734375" customWidth="1"/>
    <col min="36" max="36" width="8" bestFit="1" customWidth="1"/>
    <col min="37" max="37" width="3.77734375" customWidth="1"/>
    <col min="39" max="39" width="8" bestFit="1" customWidth="1"/>
    <col min="40" max="40" width="3.77734375" customWidth="1"/>
    <col min="42" max="42" width="8" bestFit="1" customWidth="1"/>
    <col min="43" max="43" width="3.77734375" customWidth="1"/>
    <col min="45" max="45" width="8" bestFit="1" customWidth="1"/>
    <col min="46" max="46" width="3.77734375" customWidth="1"/>
    <col min="48" max="48" width="8" bestFit="1" customWidth="1"/>
    <col min="49" max="49" width="3.77734375" customWidth="1"/>
    <col min="50" max="50" width="9.88671875" bestFit="1" customWidth="1"/>
    <col min="51" max="51" width="8" bestFit="1" customWidth="1"/>
    <col min="52" max="52" width="3.77734375" customWidth="1"/>
    <col min="53" max="53" width="9.88671875" bestFit="1" customWidth="1"/>
    <col min="54" max="54" width="8" bestFit="1" customWidth="1"/>
    <col min="55" max="55" width="3.77734375" customWidth="1"/>
    <col min="56" max="56" width="9.88671875" bestFit="1" customWidth="1"/>
    <col min="57" max="57" width="8" bestFit="1" customWidth="1"/>
    <col min="58" max="58" width="3.77734375" customWidth="1"/>
    <col min="60" max="60" width="7" bestFit="1" customWidth="1"/>
    <col min="61" max="61" width="3.77734375" customWidth="1"/>
    <col min="63" max="63" width="8" bestFit="1" customWidth="1"/>
    <col min="64" max="64" width="3.77734375" customWidth="1"/>
    <col min="66" max="66" width="8" bestFit="1" customWidth="1"/>
    <col min="67" max="67" width="3.77734375" customWidth="1"/>
    <col min="69" max="69" width="8" bestFit="1" customWidth="1"/>
    <col min="70" max="70" width="3.77734375" customWidth="1"/>
    <col min="72" max="72" width="8" bestFit="1" customWidth="1"/>
    <col min="73" max="73" width="3.77734375" customWidth="1"/>
    <col min="75" max="75" width="8" bestFit="1" customWidth="1"/>
    <col min="76" max="76" width="3.77734375" customWidth="1"/>
    <col min="78" max="78" width="8" bestFit="1" customWidth="1"/>
    <col min="79" max="79" width="3.77734375" customWidth="1"/>
    <col min="81" max="81" width="8" bestFit="1" customWidth="1"/>
  </cols>
  <sheetData>
    <row r="1" spans="1:25" ht="15.75">
      <c r="L1" s="667" t="str">
        <f>'Att O_RPU'!K$3</f>
        <v>For the 12 months ended 12/31/15</v>
      </c>
      <c r="V1" s="667" t="str">
        <f>'Att O_RPU'!K$3</f>
        <v>For the 12 months ended 12/31/15</v>
      </c>
    </row>
    <row r="2" spans="1:25" ht="15.75">
      <c r="L2" s="64" t="s">
        <v>1047</v>
      </c>
      <c r="V2" s="64" t="s">
        <v>1046</v>
      </c>
    </row>
    <row r="4" spans="1:25" ht="15.75">
      <c r="A4" s="958" t="s">
        <v>638</v>
      </c>
      <c r="B4" s="958"/>
      <c r="C4" s="958"/>
      <c r="D4" s="958"/>
      <c r="E4" s="958"/>
      <c r="F4" s="958"/>
      <c r="G4" s="958"/>
      <c r="H4" s="958"/>
      <c r="I4" s="958"/>
      <c r="J4" s="958"/>
      <c r="K4" s="958"/>
      <c r="L4" s="958"/>
      <c r="N4" s="958" t="s">
        <v>638</v>
      </c>
      <c r="O4" s="958"/>
      <c r="P4" s="958"/>
      <c r="Q4" s="958"/>
      <c r="R4" s="958"/>
      <c r="S4" s="958"/>
      <c r="T4" s="958"/>
      <c r="U4" s="958"/>
      <c r="V4" s="958"/>
    </row>
    <row r="5" spans="1:25" ht="15.75">
      <c r="A5" s="958" t="s">
        <v>815</v>
      </c>
      <c r="B5" s="958"/>
      <c r="C5" s="958"/>
      <c r="D5" s="958"/>
      <c r="E5" s="958"/>
      <c r="F5" s="958"/>
      <c r="G5" s="958"/>
      <c r="H5" s="958"/>
      <c r="I5" s="958"/>
      <c r="J5" s="958"/>
      <c r="K5" s="958"/>
      <c r="L5" s="958"/>
      <c r="N5" s="958" t="s">
        <v>815</v>
      </c>
      <c r="O5" s="958"/>
      <c r="P5" s="958"/>
      <c r="Q5" s="958"/>
      <c r="R5" s="958"/>
      <c r="S5" s="958"/>
      <c r="T5" s="958"/>
      <c r="U5" s="958"/>
      <c r="V5" s="958"/>
    </row>
    <row r="6" spans="1:25" ht="15.75">
      <c r="A6" s="958" t="s">
        <v>929</v>
      </c>
      <c r="B6" s="958"/>
      <c r="C6" s="958"/>
      <c r="D6" s="958"/>
      <c r="E6" s="958"/>
      <c r="F6" s="958"/>
      <c r="G6" s="958"/>
      <c r="H6" s="958"/>
      <c r="I6" s="958"/>
      <c r="J6" s="958"/>
      <c r="K6" s="958"/>
      <c r="L6" s="958"/>
      <c r="N6" s="958" t="s">
        <v>929</v>
      </c>
      <c r="O6" s="958"/>
      <c r="P6" s="958"/>
      <c r="Q6" s="958"/>
      <c r="R6" s="958"/>
      <c r="S6" s="958"/>
      <c r="T6" s="958"/>
      <c r="U6" s="958"/>
      <c r="V6" s="958"/>
    </row>
    <row r="7" spans="1:25">
      <c r="A7" s="510"/>
      <c r="B7" s="510"/>
      <c r="C7" s="510"/>
      <c r="D7" s="510"/>
      <c r="E7" s="510"/>
      <c r="F7" s="510"/>
      <c r="G7" s="510"/>
      <c r="H7" s="510"/>
      <c r="I7" s="510"/>
      <c r="J7" s="510"/>
      <c r="K7" s="510"/>
      <c r="L7" s="510"/>
      <c r="N7" s="510"/>
      <c r="O7" s="510"/>
      <c r="P7" s="510"/>
      <c r="Q7" s="510"/>
    </row>
    <row r="8" spans="1:25" ht="15.75">
      <c r="A8" s="966" t="s">
        <v>1048</v>
      </c>
      <c r="B8" s="966"/>
      <c r="C8" s="966"/>
      <c r="D8" s="966"/>
      <c r="E8" s="966"/>
      <c r="F8" s="966"/>
      <c r="G8" s="966"/>
      <c r="H8" s="966"/>
      <c r="I8" s="966"/>
      <c r="J8" s="966"/>
      <c r="K8" s="966"/>
      <c r="L8" s="966"/>
      <c r="N8" s="959" t="s">
        <v>1064</v>
      </c>
      <c r="O8" s="959"/>
      <c r="P8" s="959"/>
      <c r="Q8" s="959"/>
      <c r="R8" s="959"/>
      <c r="S8" s="959"/>
      <c r="T8" s="959"/>
      <c r="U8" s="959"/>
      <c r="V8" s="959"/>
    </row>
    <row r="10" spans="1:25" ht="31.5">
      <c r="A10" s="536" t="s">
        <v>470</v>
      </c>
      <c r="N10" s="536" t="s">
        <v>470</v>
      </c>
      <c r="S10" s="927" t="s">
        <v>781</v>
      </c>
      <c r="T10" s="927" t="s">
        <v>1029</v>
      </c>
      <c r="V10" s="900" t="s">
        <v>1030</v>
      </c>
    </row>
    <row r="11" spans="1:25" ht="15.75">
      <c r="A11" s="621"/>
      <c r="C11" s="968" t="s">
        <v>954</v>
      </c>
      <c r="D11" s="968"/>
      <c r="E11" s="968"/>
      <c r="F11" s="968"/>
      <c r="G11" s="968"/>
      <c r="H11" s="968"/>
      <c r="I11" s="968"/>
      <c r="J11" s="968"/>
      <c r="O11" s="925" t="s">
        <v>829</v>
      </c>
      <c r="Q11" s="926" t="s">
        <v>830</v>
      </c>
      <c r="S11" s="897" t="s">
        <v>1028</v>
      </c>
      <c r="T11" s="897" t="s">
        <v>832</v>
      </c>
      <c r="V11" s="897" t="s">
        <v>833</v>
      </c>
      <c r="W11" s="898"/>
      <c r="Y11" s="898"/>
    </row>
    <row r="12" spans="1:25" ht="15.75">
      <c r="A12" s="14">
        <v>1</v>
      </c>
      <c r="C12" s="965" t="s">
        <v>958</v>
      </c>
      <c r="D12" s="965"/>
      <c r="E12" s="965"/>
      <c r="F12" s="965"/>
      <c r="G12" s="965"/>
      <c r="H12" s="965"/>
      <c r="J12" s="863">
        <f>IF(J13&gt;0,'Att O_RPU'!I31,0)</f>
        <v>3482153.0769629469</v>
      </c>
      <c r="N12" s="891">
        <v>1</v>
      </c>
      <c r="O12" s="51" t="s">
        <v>1031</v>
      </c>
      <c r="Q12" s="51" t="s">
        <v>1045</v>
      </c>
      <c r="S12" s="902">
        <f>'Transmission O&amp;M'!C9</f>
        <v>226.36</v>
      </c>
      <c r="T12" s="901">
        <v>110929</v>
      </c>
      <c r="V12" s="912">
        <f>+S12-T12</f>
        <v>-110702.64</v>
      </c>
      <c r="W12" s="900"/>
      <c r="Y12" s="900"/>
    </row>
    <row r="13" spans="1:25" ht="15.75">
      <c r="A13" s="14">
        <f t="shared" ref="A13:A14" si="0">A12+1</f>
        <v>2</v>
      </c>
      <c r="C13" s="965" t="s">
        <v>959</v>
      </c>
      <c r="D13" s="965"/>
      <c r="E13" s="965"/>
      <c r="F13" s="965"/>
      <c r="G13" s="965"/>
      <c r="H13" s="965"/>
      <c r="J13" s="728">
        <v>4492323</v>
      </c>
      <c r="N13" s="891">
        <f t="shared" ref="N13:N14" si="1">N12+1</f>
        <v>2</v>
      </c>
      <c r="O13" s="51" t="s">
        <v>1032</v>
      </c>
      <c r="Q13" s="51" t="s">
        <v>1045</v>
      </c>
      <c r="S13" s="904">
        <f>'Transmission O&amp;M'!C10</f>
        <v>194527.58</v>
      </c>
      <c r="T13" s="903">
        <v>246300</v>
      </c>
      <c r="V13" s="913">
        <f>+S13-T13</f>
        <v>-51772.420000000013</v>
      </c>
      <c r="W13" s="902"/>
      <c r="Y13" s="902"/>
    </row>
    <row r="14" spans="1:25" ht="15.75">
      <c r="A14" s="14">
        <f t="shared" si="0"/>
        <v>3</v>
      </c>
      <c r="C14" s="967" t="s">
        <v>910</v>
      </c>
      <c r="D14" s="967"/>
      <c r="E14" s="967"/>
      <c r="F14" s="967"/>
      <c r="G14" s="967"/>
      <c r="H14" s="967"/>
      <c r="J14" s="741">
        <f>J12-J13</f>
        <v>-1010169.9230370531</v>
      </c>
      <c r="N14" s="891">
        <f t="shared" si="1"/>
        <v>3</v>
      </c>
      <c r="O14" s="51" t="s">
        <v>1033</v>
      </c>
      <c r="Q14" s="51" t="s">
        <v>1045</v>
      </c>
      <c r="S14" s="904">
        <f>'Transmission O&amp;M'!C11</f>
        <v>10570.4</v>
      </c>
      <c r="T14" s="903">
        <v>8741</v>
      </c>
      <c r="V14" s="913">
        <f>+S14-T14</f>
        <v>1829.3999999999996</v>
      </c>
      <c r="W14" s="904"/>
      <c r="Y14" s="904"/>
    </row>
    <row r="15" spans="1:25" ht="15.75">
      <c r="N15" s="891">
        <f>N14+1</f>
        <v>4</v>
      </c>
      <c r="O15" s="51" t="s">
        <v>1034</v>
      </c>
      <c r="Q15" s="51" t="s">
        <v>1053</v>
      </c>
      <c r="S15" s="910">
        <f>+S12+S13+S14</f>
        <v>205324.33999999997</v>
      </c>
      <c r="T15" s="910">
        <f>+T12+T13+T14</f>
        <v>365970</v>
      </c>
      <c r="V15" s="910">
        <f>+V12+V13+V14</f>
        <v>-160645.66</v>
      </c>
      <c r="W15" s="904"/>
      <c r="Y15" s="904"/>
    </row>
    <row r="16" spans="1:25" ht="15.75">
      <c r="A16" s="14">
        <f>A14+1</f>
        <v>4</v>
      </c>
      <c r="C16" s="967" t="s">
        <v>911</v>
      </c>
      <c r="D16" s="967"/>
      <c r="E16" s="967"/>
      <c r="F16" s="967"/>
      <c r="G16" s="967"/>
      <c r="H16" s="967"/>
      <c r="J16" s="862">
        <f>IF(J17&gt;0,Divisor!M23,0)</f>
        <v>193115.83333333334</v>
      </c>
      <c r="O16" s="51"/>
      <c r="Q16" s="51"/>
      <c r="S16" s="904"/>
      <c r="T16" s="904"/>
      <c r="V16" s="913"/>
      <c r="W16" s="902"/>
      <c r="Y16" s="902"/>
    </row>
    <row r="17" spans="1:25" ht="18.75">
      <c r="A17" s="14">
        <f>A16+1</f>
        <v>5</v>
      </c>
      <c r="C17" s="963" t="s">
        <v>912</v>
      </c>
      <c r="D17" s="963"/>
      <c r="E17" s="963"/>
      <c r="F17" s="963"/>
      <c r="G17" s="963"/>
      <c r="H17" s="963"/>
      <c r="J17" s="729">
        <v>207080</v>
      </c>
      <c r="N17" s="891">
        <f>N15+1</f>
        <v>5</v>
      </c>
      <c r="O17" s="12" t="s">
        <v>1042</v>
      </c>
      <c r="Q17" s="123" t="s">
        <v>1050</v>
      </c>
      <c r="S17" s="905">
        <v>0</v>
      </c>
      <c r="T17" s="905"/>
      <c r="V17" s="912">
        <f>+S17-T17</f>
        <v>0</v>
      </c>
      <c r="W17" s="904"/>
      <c r="Y17" s="904"/>
    </row>
    <row r="18" spans="1:25" ht="15.75">
      <c r="A18" s="14">
        <f>A17+1</f>
        <v>6</v>
      </c>
      <c r="C18" s="965" t="s">
        <v>953</v>
      </c>
      <c r="D18" s="965"/>
      <c r="E18" s="965"/>
      <c r="F18" s="965"/>
      <c r="G18" s="965"/>
      <c r="H18" s="965"/>
      <c r="J18" s="738">
        <f>J17-J16</f>
        <v>13964.166666666657</v>
      </c>
      <c r="O18" s="12"/>
      <c r="Q18" s="12"/>
      <c r="S18" s="928"/>
      <c r="T18" s="904"/>
      <c r="V18" s="913"/>
      <c r="W18" s="906"/>
      <c r="Y18" s="902"/>
    </row>
    <row r="19" spans="1:25" ht="18.75">
      <c r="A19" s="14">
        <f>A18+1</f>
        <v>7</v>
      </c>
      <c r="C19" s="965" t="s">
        <v>913</v>
      </c>
      <c r="D19" s="965"/>
      <c r="E19" s="965"/>
      <c r="F19" s="965"/>
      <c r="G19" s="965"/>
      <c r="H19" s="965"/>
      <c r="J19" s="861">
        <f>ROUND(J13/J17,3)</f>
        <v>21.693999999999999</v>
      </c>
      <c r="N19" s="891">
        <f>N17+1</f>
        <v>6</v>
      </c>
      <c r="O19" s="12" t="s">
        <v>1043</v>
      </c>
      <c r="Q19" s="12" t="s">
        <v>1035</v>
      </c>
      <c r="S19" s="907">
        <f>+S15-S17</f>
        <v>205324.33999999997</v>
      </c>
      <c r="T19" s="907">
        <f>+T15-T17</f>
        <v>365970</v>
      </c>
      <c r="V19" s="912">
        <f>+S19-T19</f>
        <v>-160645.66000000003</v>
      </c>
      <c r="W19" s="748"/>
      <c r="Y19" s="904"/>
    </row>
    <row r="20" spans="1:25" ht="15.75">
      <c r="A20" s="14">
        <f>A19+1</f>
        <v>8</v>
      </c>
      <c r="C20" s="965" t="s">
        <v>1078</v>
      </c>
      <c r="D20" s="965"/>
      <c r="E20" s="965"/>
      <c r="F20" s="965"/>
      <c r="G20" s="965"/>
      <c r="H20" s="965"/>
      <c r="J20" s="739">
        <f>ROUND(J18*J19,2)</f>
        <v>302938.63</v>
      </c>
      <c r="O20" s="12"/>
      <c r="Q20" s="12"/>
      <c r="S20" s="12"/>
      <c r="T20" s="51"/>
      <c r="V20" s="915"/>
      <c r="W20" s="907"/>
      <c r="Y20" s="914"/>
    </row>
    <row r="21" spans="1:25" ht="16.5" thickBot="1">
      <c r="A21" s="14">
        <f>A20+1</f>
        <v>9</v>
      </c>
      <c r="C21" s="761" t="s">
        <v>914</v>
      </c>
      <c r="D21" s="761"/>
      <c r="E21" s="761"/>
      <c r="F21" s="761"/>
      <c r="G21" s="761"/>
      <c r="H21" s="761"/>
      <c r="J21" s="740">
        <f>J14+J20</f>
        <v>-707231.29303705308</v>
      </c>
      <c r="N21" s="891">
        <f>N19+1</f>
        <v>7</v>
      </c>
      <c r="O21" s="895" t="s">
        <v>1044</v>
      </c>
      <c r="Q21" s="123" t="s">
        <v>1082</v>
      </c>
      <c r="S21" s="905">
        <f>'Account 456.1'!D11</f>
        <v>0</v>
      </c>
      <c r="T21" s="905">
        <v>0</v>
      </c>
      <c r="V21" s="912">
        <f>+S21-T21</f>
        <v>0</v>
      </c>
      <c r="W21" s="12"/>
      <c r="Y21" s="51"/>
    </row>
    <row r="22" spans="1:25" ht="16.5" thickTop="1">
      <c r="O22" s="51"/>
      <c r="Q22" s="51"/>
      <c r="S22" s="904"/>
      <c r="T22" s="904"/>
      <c r="V22" s="915"/>
      <c r="W22" s="906"/>
      <c r="Y22" s="914"/>
    </row>
    <row r="23" spans="1:25" ht="15.95" customHeight="1" thickBot="1">
      <c r="A23" s="14">
        <f>A21+1</f>
        <v>10</v>
      </c>
      <c r="C23" s="963" t="s">
        <v>915</v>
      </c>
      <c r="D23" s="963"/>
      <c r="E23" s="963"/>
      <c r="F23" s="963"/>
      <c r="G23" s="963"/>
      <c r="H23" s="963"/>
      <c r="I23" s="963"/>
      <c r="J23" s="730">
        <f>IF(J21&lt;0,I84,K84)</f>
        <v>2.7799999999999999E-3</v>
      </c>
      <c r="N23" s="891">
        <f>N21+1</f>
        <v>8</v>
      </c>
      <c r="O23" s="51" t="s">
        <v>1036</v>
      </c>
      <c r="Q23" s="51" t="str">
        <f>"(Line "&amp;N36&amp;" - Line "&amp;N33&amp;")"</f>
        <v>(Line  - Line 14)</v>
      </c>
      <c r="S23" s="908">
        <f>S19-S21</f>
        <v>205324.33999999997</v>
      </c>
      <c r="T23" s="908">
        <f>T19-T21</f>
        <v>365970</v>
      </c>
      <c r="V23" s="908">
        <f>S23-T23</f>
        <v>-160645.66000000003</v>
      </c>
      <c r="W23" s="904"/>
      <c r="Y23" s="51"/>
    </row>
    <row r="24" spans="1:25" ht="15.95" customHeight="1" thickTop="1">
      <c r="A24" s="14">
        <f>A23+1</f>
        <v>11</v>
      </c>
      <c r="C24" s="964" t="s">
        <v>917</v>
      </c>
      <c r="D24" s="964"/>
      <c r="E24" s="964"/>
      <c r="F24" s="964"/>
      <c r="G24" s="964"/>
      <c r="H24" s="964"/>
      <c r="I24" s="964"/>
      <c r="J24" s="731">
        <v>24</v>
      </c>
      <c r="O24" s="51"/>
      <c r="Q24" s="51"/>
      <c r="S24" s="51"/>
      <c r="T24" s="51"/>
      <c r="V24" s="51"/>
      <c r="W24" s="123"/>
      <c r="Y24" s="123"/>
    </row>
    <row r="25" spans="1:25" ht="15.95" customHeight="1" thickBot="1">
      <c r="A25" s="14">
        <f>A24+1</f>
        <v>12</v>
      </c>
      <c r="C25" s="964" t="s">
        <v>916</v>
      </c>
      <c r="D25" s="964"/>
      <c r="E25" s="964"/>
      <c r="F25" s="964"/>
      <c r="G25" s="964"/>
      <c r="H25" s="964"/>
      <c r="J25" s="742">
        <f>ROUND(J21*J23*J24,2)</f>
        <v>-47186.47</v>
      </c>
      <c r="N25" s="891">
        <f>N23+1</f>
        <v>9</v>
      </c>
      <c r="O25" s="51" t="s">
        <v>1037</v>
      </c>
      <c r="Q25" s="51" t="s">
        <v>1066</v>
      </c>
      <c r="S25" s="911">
        <f>J16</f>
        <v>193115.83333333334</v>
      </c>
      <c r="T25" s="911">
        <f>J17</f>
        <v>207080</v>
      </c>
      <c r="V25" s="916"/>
      <c r="W25" s="51"/>
      <c r="Y25" s="51"/>
    </row>
    <row r="26" spans="1:25" ht="16.5" thickTop="1">
      <c r="O26" s="51"/>
      <c r="Q26" s="51"/>
      <c r="T26" s="51"/>
      <c r="V26" s="51"/>
      <c r="W26" s="123"/>
      <c r="Y26" s="123"/>
    </row>
    <row r="27" spans="1:25" ht="15.75">
      <c r="A27" s="14">
        <f>A25+1</f>
        <v>13</v>
      </c>
      <c r="C27" s="965" t="s">
        <v>955</v>
      </c>
      <c r="D27" s="965"/>
      <c r="E27" s="965"/>
      <c r="F27" s="965"/>
      <c r="G27" s="965"/>
      <c r="H27" s="965"/>
      <c r="J27" s="863">
        <f>IF(J28&gt;0,'Att GG_RPU'!L95,0)</f>
        <v>1620071.4890287474</v>
      </c>
      <c r="N27" s="891">
        <f>N25+1</f>
        <v>10</v>
      </c>
      <c r="O27" s="51" t="s">
        <v>26</v>
      </c>
      <c r="Q27" s="51"/>
      <c r="S27" s="123">
        <f>ROUND(S23/S25,8)</f>
        <v>1.0632185700000001</v>
      </c>
      <c r="T27" s="123">
        <f>ROUND(T23/T25,8)</f>
        <v>1.767288</v>
      </c>
      <c r="V27" s="917"/>
      <c r="W27" s="51"/>
      <c r="Y27" s="51"/>
    </row>
    <row r="28" spans="1:25" ht="15.75">
      <c r="A28" s="14">
        <f>A27+1</f>
        <v>14</v>
      </c>
      <c r="C28" s="965" t="str">
        <f>CONCATENATE("Actual Att GG Receipts for 12 months ending 12/31/",'Att O_RPU'!E318,"                         (9)")</f>
        <v>Actual Att GG Receipts for 12 months ending 12/31/2015                         (9)</v>
      </c>
      <c r="D28" s="965"/>
      <c r="E28" s="965"/>
      <c r="F28" s="965"/>
      <c r="G28" s="965"/>
      <c r="H28" s="965"/>
      <c r="J28" s="791">
        <f>'Account 456.1'!D14+'Account 456.1'!D15</f>
        <v>1315724.45</v>
      </c>
      <c r="O28" s="51"/>
      <c r="Q28" s="51"/>
      <c r="V28" s="51"/>
      <c r="W28" s="51"/>
      <c r="Y28" s="51"/>
    </row>
    <row r="29" spans="1:25" ht="15.75">
      <c r="A29" s="14">
        <f>A28+1</f>
        <v>15</v>
      </c>
      <c r="C29" s="967" t="s">
        <v>956</v>
      </c>
      <c r="D29" s="967"/>
      <c r="E29" s="967"/>
      <c r="F29" s="967"/>
      <c r="G29" s="967"/>
      <c r="H29" s="967"/>
      <c r="J29" s="741">
        <f>J27-J28</f>
        <v>304347.03902874747</v>
      </c>
      <c r="N29" s="891">
        <f>N27+1</f>
        <v>11</v>
      </c>
      <c r="O29" s="51" t="s">
        <v>898</v>
      </c>
      <c r="Q29" s="51"/>
      <c r="V29" s="862">
        <f>S25</f>
        <v>193115.83333333334</v>
      </c>
      <c r="W29" s="51"/>
      <c r="X29" s="51"/>
      <c r="Y29" s="51"/>
    </row>
    <row r="30" spans="1:25" ht="15.75">
      <c r="A30" s="14"/>
      <c r="J30" s="761"/>
      <c r="N30" s="891">
        <f>N29+1</f>
        <v>12</v>
      </c>
      <c r="O30" s="51" t="s">
        <v>899</v>
      </c>
      <c r="Q30" s="51"/>
      <c r="V30" s="521">
        <f>T25</f>
        <v>207080</v>
      </c>
      <c r="W30" s="51"/>
      <c r="X30" s="51"/>
      <c r="Y30" s="51"/>
    </row>
    <row r="31" spans="1:25" ht="15.75">
      <c r="A31" s="14">
        <f>A29+1</f>
        <v>16</v>
      </c>
      <c r="C31" s="963" t="s">
        <v>915</v>
      </c>
      <c r="D31" s="963"/>
      <c r="E31" s="963"/>
      <c r="F31" s="963"/>
      <c r="G31" s="963"/>
      <c r="H31" s="963"/>
      <c r="I31" s="963"/>
      <c r="J31" s="730">
        <f>IF(J29&lt;0,I84,K84)</f>
        <v>2.3027999999999998E-3</v>
      </c>
      <c r="N31" s="891">
        <f>N30+1</f>
        <v>13</v>
      </c>
      <c r="O31" s="51" t="s">
        <v>1069</v>
      </c>
      <c r="Q31" s="51" t="s">
        <v>1067</v>
      </c>
      <c r="V31" s="918">
        <f>V30-V29</f>
        <v>13964.166666666657</v>
      </c>
      <c r="W31" s="51"/>
      <c r="X31" s="51"/>
      <c r="Y31" s="51"/>
    </row>
    <row r="32" spans="1:25" ht="15.75">
      <c r="A32" s="14">
        <f>A31+1</f>
        <v>17</v>
      </c>
      <c r="C32" s="964" t="s">
        <v>917</v>
      </c>
      <c r="D32" s="964"/>
      <c r="E32" s="964"/>
      <c r="F32" s="964"/>
      <c r="G32" s="964"/>
      <c r="H32" s="964"/>
      <c r="I32" s="964"/>
      <c r="J32" s="731">
        <v>24</v>
      </c>
      <c r="O32" s="51"/>
      <c r="Q32" s="51"/>
      <c r="V32" s="51"/>
      <c r="W32" s="51"/>
      <c r="X32" s="51"/>
      <c r="Y32" s="51"/>
    </row>
    <row r="33" spans="1:27" ht="16.5" thickBot="1">
      <c r="A33" s="14">
        <f>A32+1</f>
        <v>18</v>
      </c>
      <c r="C33" s="964" t="s">
        <v>957</v>
      </c>
      <c r="D33" s="964"/>
      <c r="E33" s="964"/>
      <c r="F33" s="964"/>
      <c r="G33" s="964"/>
      <c r="H33" s="964"/>
      <c r="J33" s="742">
        <f>ROUND(J29*J31*J32,2)</f>
        <v>16820.41</v>
      </c>
      <c r="N33" s="891">
        <f>N31+1</f>
        <v>14</v>
      </c>
      <c r="O33" s="51" t="s">
        <v>901</v>
      </c>
      <c r="Q33" s="51" t="s">
        <v>1068</v>
      </c>
      <c r="V33" s="51">
        <f>T27</f>
        <v>1.767288</v>
      </c>
      <c r="W33" s="51"/>
      <c r="X33" s="51"/>
      <c r="Y33" s="51"/>
    </row>
    <row r="34" spans="1:27" ht="16.5" thickTop="1">
      <c r="O34" s="51"/>
      <c r="Q34" s="51"/>
      <c r="V34" s="51"/>
      <c r="W34" s="51"/>
      <c r="X34" s="51"/>
      <c r="Y34" s="51"/>
    </row>
    <row r="35" spans="1:27" ht="16.5" thickBot="1">
      <c r="A35" s="14"/>
      <c r="N35" s="891">
        <f>N33+1</f>
        <v>15</v>
      </c>
      <c r="O35" s="51" t="s">
        <v>902</v>
      </c>
      <c r="Q35" s="51" t="s">
        <v>1070</v>
      </c>
      <c r="V35" s="919">
        <f>V31*V33</f>
        <v>24678.704179999982</v>
      </c>
      <c r="W35" s="51"/>
      <c r="X35" s="51"/>
      <c r="Y35" s="51"/>
    </row>
    <row r="36" spans="1:27" ht="16.5" thickTop="1">
      <c r="A36" s="14"/>
      <c r="O36" s="51"/>
      <c r="Q36" s="51"/>
      <c r="V36" s="51"/>
      <c r="W36" s="51"/>
      <c r="X36" s="51"/>
      <c r="Y36" s="51"/>
    </row>
    <row r="37" spans="1:27" ht="16.5" thickBot="1">
      <c r="A37" s="14"/>
      <c r="B37" s="957" t="s">
        <v>909</v>
      </c>
      <c r="C37" s="957"/>
      <c r="D37" s="957"/>
      <c r="E37" s="957"/>
      <c r="F37" s="957"/>
      <c r="G37" s="957"/>
      <c r="H37" s="957"/>
      <c r="I37" s="957"/>
      <c r="J37" s="957"/>
      <c r="N37" s="891">
        <f>N35+1</f>
        <v>16</v>
      </c>
      <c r="O37" s="896" t="s">
        <v>1038</v>
      </c>
      <c r="Q37" s="51" t="s">
        <v>1071</v>
      </c>
      <c r="V37" s="920">
        <f>V35+V23</f>
        <v>-135966.95582000006</v>
      </c>
      <c r="W37" s="51"/>
      <c r="X37" s="51"/>
      <c r="Y37" s="51"/>
    </row>
    <row r="38" spans="1:27" ht="16.5" thickTop="1">
      <c r="A38" s="14"/>
      <c r="B38" s="621" t="str">
        <f>CONCATENATE("(1) Att O_RPU Page 1 of 5, line 7 of RPU True-up Attachment O for 12 months ended 12/31/",'Att O_RPU'!E318)</f>
        <v>(1) Att O_RPU Page 1 of 5, line 7 of RPU True-up Attachment O for 12 months ended 12/31/2015</v>
      </c>
      <c r="C38" s="621"/>
      <c r="D38" s="621"/>
      <c r="E38" s="621"/>
      <c r="F38" s="621"/>
      <c r="G38" s="621"/>
      <c r="H38" s="621"/>
      <c r="I38" s="621"/>
      <c r="J38" s="621"/>
      <c r="K38" s="621"/>
      <c r="L38" s="621"/>
      <c r="N38" s="891">
        <f>N37+1</f>
        <v>17</v>
      </c>
      <c r="O38" s="51" t="s">
        <v>1084</v>
      </c>
      <c r="P38" s="890"/>
      <c r="Q38" s="51" t="s">
        <v>1072</v>
      </c>
      <c r="V38" s="930">
        <f>IF(V37&lt;0,I84,K84)</f>
        <v>2.7799999999999999E-3</v>
      </c>
      <c r="W38" s="51"/>
      <c r="X38" s="51"/>
      <c r="Y38" s="51"/>
    </row>
    <row r="39" spans="1:27" ht="15.75">
      <c r="A39" s="14"/>
      <c r="B39" s="621" t="str">
        <f>CONCATENATE("(2) Att O_RPU Page 1 of 5, line 7of RPU FLTY Attachment O for 12 months ended 12/31/",'Att O_RPU'!E318)</f>
        <v>(2) Att O_RPU Page 1 of 5, line 7of RPU FLTY Attachment O for 12 months ended 12/31/2015</v>
      </c>
      <c r="C39" s="621"/>
      <c r="D39" s="621"/>
      <c r="E39" s="621"/>
      <c r="F39" s="621"/>
      <c r="G39" s="621"/>
      <c r="H39" s="621"/>
      <c r="I39" s="621"/>
      <c r="J39" s="621"/>
      <c r="K39" s="621"/>
      <c r="L39" s="621"/>
      <c r="N39" s="891">
        <f>N38+1</f>
        <v>18</v>
      </c>
      <c r="O39" s="51" t="s">
        <v>1039</v>
      </c>
      <c r="P39" s="890"/>
      <c r="Q39" s="51"/>
      <c r="V39" s="923">
        <v>24</v>
      </c>
    </row>
    <row r="40" spans="1:27" ht="15.75">
      <c r="A40" s="14"/>
      <c r="B40" s="621" t="str">
        <f>CONCATENATE("(3) Att O_RPU Page 1 of 5, line 8 of RPU True-up Attachment O for 12 months ended 12/31/",'Att O_RPU'!E318)</f>
        <v>(3) Att O_RPU Page 1 of 5, line 8 of RPU True-up Attachment O for 12 months ended 12/31/2015</v>
      </c>
      <c r="C40" s="621"/>
      <c r="D40" s="621"/>
      <c r="E40" s="621"/>
      <c r="F40" s="621"/>
      <c r="G40" s="621"/>
      <c r="H40" s="621"/>
      <c r="I40" s="621"/>
      <c r="J40" s="621"/>
      <c r="K40" s="621"/>
      <c r="L40" s="621"/>
      <c r="O40" s="51"/>
      <c r="P40" s="890"/>
      <c r="Q40" s="51"/>
      <c r="V40" s="51"/>
      <c r="W40" s="51"/>
      <c r="X40" s="51"/>
      <c r="Y40" s="51"/>
      <c r="AA40" s="886"/>
    </row>
    <row r="41" spans="1:27" ht="15.75">
      <c r="A41" s="14"/>
      <c r="B41" s="621" t="str">
        <f>CONCATENATE("(4) Att O_RPU Page 1 of 5, line 8 of RPU FLTY Attachment O for 12 months ended 12/31/",'Att O_RPU'!E318)</f>
        <v>(4) Att O_RPU Page 1 of 5, line 8 of RPU FLTY Attachment O for 12 months ended 12/31/2015</v>
      </c>
      <c r="C41" s="621"/>
      <c r="D41" s="621"/>
      <c r="E41" s="621"/>
      <c r="F41" s="621"/>
      <c r="G41" s="621"/>
      <c r="H41" s="621"/>
      <c r="I41" s="621"/>
      <c r="J41" s="621"/>
      <c r="K41" s="621"/>
      <c r="L41" s="621"/>
      <c r="N41" s="891">
        <f>N39+1</f>
        <v>19</v>
      </c>
      <c r="O41" s="51" t="s">
        <v>1040</v>
      </c>
      <c r="P41" s="890"/>
      <c r="Q41" s="51" t="s">
        <v>1073</v>
      </c>
      <c r="V41" s="914">
        <f>ROUND(V37*V38*V39,0)</f>
        <v>-9072</v>
      </c>
      <c r="W41" s="51"/>
      <c r="X41" s="51"/>
      <c r="Y41" s="51"/>
    </row>
    <row r="42" spans="1:27" ht="15.75">
      <c r="A42" s="14"/>
      <c r="B42" s="621" t="str">
        <f>CONCATENATE("(5) Att O_RPU Page 1 of 5, line 16 of RPU FLTY Attachment O for 12 months ended 12/31/",'Att O_RPU'!E318)</f>
        <v>(5) Att O_RPU Page 1 of 5, line 16 of RPU FLTY Attachment O for 12 months ended 12/31/2015</v>
      </c>
      <c r="C42" s="621"/>
      <c r="D42" s="621"/>
      <c r="E42" s="621"/>
      <c r="F42" s="621"/>
      <c r="G42" s="621"/>
      <c r="H42" s="621"/>
      <c r="I42" s="621"/>
      <c r="J42" s="621"/>
      <c r="K42" s="621"/>
      <c r="L42" s="621"/>
      <c r="O42" s="51"/>
      <c r="P42" s="890"/>
      <c r="Q42" s="51"/>
      <c r="V42" s="51"/>
      <c r="W42" s="51"/>
      <c r="X42" s="915"/>
      <c r="Y42" s="51"/>
    </row>
    <row r="43" spans="1:27" ht="16.5" thickBot="1">
      <c r="A43" s="14"/>
      <c r="B43" s="970" t="s">
        <v>920</v>
      </c>
      <c r="C43" s="970"/>
      <c r="D43" s="970"/>
      <c r="E43" s="970"/>
      <c r="F43" s="970"/>
      <c r="G43" s="970"/>
      <c r="H43" s="970"/>
      <c r="I43" s="970"/>
      <c r="J43" s="970"/>
      <c r="K43" s="970"/>
      <c r="L43" s="970"/>
      <c r="N43" s="891">
        <f>N41+1</f>
        <v>20</v>
      </c>
      <c r="O43" s="896" t="s">
        <v>1041</v>
      </c>
      <c r="P43" s="890"/>
      <c r="Q43" s="51" t="s">
        <v>1075</v>
      </c>
      <c r="V43" s="924">
        <f>V37+V41</f>
        <v>-145038.95582000006</v>
      </c>
      <c r="W43" s="51"/>
      <c r="X43" s="915"/>
      <c r="Y43" s="51"/>
    </row>
    <row r="44" spans="1:27" ht="16.5" thickTop="1">
      <c r="A44" s="14"/>
      <c r="B44" s="971" t="s">
        <v>1079</v>
      </c>
      <c r="C44" s="967"/>
      <c r="D44" s="967"/>
      <c r="E44" s="967"/>
      <c r="F44" s="967"/>
      <c r="G44" s="967"/>
      <c r="H44" s="967"/>
      <c r="I44" s="967"/>
      <c r="J44" s="967"/>
      <c r="K44" s="967"/>
      <c r="L44" s="967"/>
      <c r="W44" s="51"/>
      <c r="X44" s="915"/>
      <c r="Y44" s="51"/>
    </row>
    <row r="45" spans="1:27" ht="15.75">
      <c r="A45" s="14"/>
      <c r="B45" s="967" t="s">
        <v>1080</v>
      </c>
      <c r="C45" s="967"/>
      <c r="D45" s="967"/>
      <c r="E45" s="967"/>
      <c r="F45" s="967"/>
      <c r="G45" s="967"/>
      <c r="H45" s="967"/>
      <c r="I45" s="967"/>
      <c r="J45" s="967"/>
      <c r="K45" s="967"/>
      <c r="L45" s="967"/>
      <c r="O45" s="889" t="s">
        <v>909</v>
      </c>
      <c r="P45" s="889"/>
      <c r="Q45" s="889"/>
      <c r="R45" s="889"/>
      <c r="S45" s="889"/>
      <c r="T45" s="889"/>
      <c r="U45" s="889"/>
      <c r="V45" s="889"/>
      <c r="W45" s="51"/>
      <c r="X45" s="51"/>
      <c r="Y45" s="51"/>
    </row>
    <row r="46" spans="1:27" ht="15.75">
      <c r="A46" s="14"/>
      <c r="B46" s="967" t="s">
        <v>1081</v>
      </c>
      <c r="C46" s="967"/>
      <c r="D46" s="967"/>
      <c r="E46" s="967"/>
      <c r="F46" s="967"/>
      <c r="G46" s="967"/>
      <c r="H46" s="967"/>
      <c r="I46" s="967"/>
      <c r="J46" s="967"/>
      <c r="K46" s="967"/>
      <c r="L46" s="967"/>
      <c r="O46" s="506" t="s">
        <v>1051</v>
      </c>
      <c r="W46" s="51"/>
      <c r="X46" s="51"/>
      <c r="Y46" s="51"/>
    </row>
    <row r="47" spans="1:27" ht="15.75">
      <c r="A47" s="14"/>
      <c r="B47" s="621" t="str">
        <f>CONCATENATE("(7) Interest began accruing in January ",'Att O_RPU'!E$318," and will begin to be paid back in January ",'Att O_RPU'!E$319+1)</f>
        <v>(7) Interest began accruing in January 2015 and will begin to be paid back in January 2017</v>
      </c>
      <c r="O47" s="506" t="s">
        <v>1076</v>
      </c>
    </row>
    <row r="48" spans="1:27" ht="15.75">
      <c r="A48" s="14"/>
      <c r="B48" s="795" t="str">
        <f>CONCATENATE("(8) Att GG_RPU Page 2 of 2, line 2 col (12) of RPU True-up Attachment GG for 12 months ended 12/31/",'Att O_RPU'!E318)</f>
        <v>(8) Att GG_RPU Page 2 of 2, line 2 col (12) of RPU True-up Attachment GG for 12 months ended 12/31/2015</v>
      </c>
      <c r="C48" s="621"/>
      <c r="D48" s="621"/>
      <c r="E48" s="621"/>
      <c r="F48" s="621"/>
      <c r="G48" s="621"/>
      <c r="H48" s="621"/>
      <c r="O48" s="506" t="s">
        <v>1077</v>
      </c>
      <c r="P48" s="510"/>
      <c r="Q48" s="510"/>
      <c r="R48" s="510"/>
      <c r="S48" s="510"/>
    </row>
    <row r="49" spans="1:82" ht="15.75">
      <c r="B49" s="795" t="s">
        <v>1018</v>
      </c>
      <c r="O49" s="12" t="s">
        <v>1065</v>
      </c>
    </row>
    <row r="50" spans="1:82" ht="15.75">
      <c r="O50" s="12" t="s">
        <v>1059</v>
      </c>
    </row>
    <row r="51" spans="1:82" ht="15.75">
      <c r="O51" s="12" t="s">
        <v>1060</v>
      </c>
    </row>
    <row r="52" spans="1:82" ht="15.75">
      <c r="N52" s="510"/>
      <c r="O52" s="12" t="s">
        <v>1061</v>
      </c>
      <c r="T52" s="510"/>
      <c r="U52" s="510"/>
      <c r="V52" s="510"/>
    </row>
    <row r="53" spans="1:82" ht="15.75">
      <c r="A53" s="508"/>
      <c r="B53" s="508"/>
      <c r="C53" s="508"/>
      <c r="D53" s="508"/>
      <c r="E53" s="508"/>
      <c r="F53" s="508"/>
      <c r="G53" s="508"/>
      <c r="H53" s="508"/>
      <c r="I53" s="508"/>
      <c r="J53" s="508"/>
      <c r="K53" s="508"/>
      <c r="L53" s="667" t="str">
        <f>'Att O_RPU'!K$3</f>
        <v>For the 12 months ended 12/31/15</v>
      </c>
      <c r="M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row>
    <row r="54" spans="1:82" ht="15.75">
      <c r="A54" s="508"/>
      <c r="B54" s="508"/>
      <c r="C54" s="508"/>
      <c r="D54" s="508"/>
      <c r="E54" s="508"/>
      <c r="F54" s="508"/>
      <c r="G54" s="508"/>
      <c r="H54" s="508"/>
      <c r="I54" s="508"/>
      <c r="J54" s="508"/>
      <c r="K54" s="508"/>
      <c r="L54" s="64" t="s">
        <v>1074</v>
      </c>
      <c r="M54" s="510"/>
      <c r="N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row>
    <row r="55" spans="1:82" ht="15.75">
      <c r="A55" s="958" t="s">
        <v>638</v>
      </c>
      <c r="B55" s="958"/>
      <c r="C55" s="958"/>
      <c r="D55" s="958"/>
      <c r="E55" s="958"/>
      <c r="F55" s="958"/>
      <c r="G55" s="958"/>
      <c r="H55" s="958"/>
      <c r="I55" s="958"/>
      <c r="J55" s="958"/>
      <c r="K55" s="958"/>
      <c r="L55" s="958"/>
      <c r="M55" s="510"/>
      <c r="N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row>
    <row r="56" spans="1:82" ht="15.75">
      <c r="A56" s="958" t="s">
        <v>815</v>
      </c>
      <c r="B56" s="958"/>
      <c r="C56" s="958"/>
      <c r="D56" s="958"/>
      <c r="E56" s="958"/>
      <c r="F56" s="958"/>
      <c r="G56" s="958"/>
      <c r="H56" s="958"/>
      <c r="I56" s="958"/>
      <c r="J56" s="958"/>
      <c r="K56" s="958"/>
      <c r="L56" s="958"/>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row>
    <row r="57" spans="1:82" ht="15.75">
      <c r="A57" s="958" t="s">
        <v>1007</v>
      </c>
      <c r="B57" s="958"/>
      <c r="C57" s="958"/>
      <c r="D57" s="958"/>
      <c r="E57" s="958"/>
      <c r="F57" s="958"/>
      <c r="G57" s="958"/>
      <c r="H57" s="958"/>
      <c r="I57" s="958"/>
      <c r="J57" s="958"/>
      <c r="K57" s="958"/>
      <c r="L57" s="958"/>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row>
    <row r="58" spans="1:82">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row>
    <row r="59" spans="1:82" ht="15.75">
      <c r="A59" s="966" t="s">
        <v>908</v>
      </c>
      <c r="B59" s="966"/>
      <c r="C59" s="966"/>
      <c r="D59" s="966"/>
      <c r="E59" s="966"/>
      <c r="F59" s="966"/>
      <c r="G59" s="966"/>
      <c r="H59" s="966"/>
      <c r="I59" s="966"/>
      <c r="J59" s="966"/>
      <c r="K59" s="966"/>
      <c r="L59" s="966"/>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row>
    <row r="60" spans="1:82">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row>
    <row r="61" spans="1:82" ht="15.75">
      <c r="A61" s="510"/>
      <c r="B61" s="510"/>
      <c r="C61" s="510"/>
      <c r="D61" s="510"/>
      <c r="E61" s="510"/>
      <c r="F61" s="510"/>
      <c r="G61" s="510"/>
      <c r="H61" s="510"/>
      <c r="I61" s="703" t="s">
        <v>923</v>
      </c>
      <c r="J61" s="668"/>
      <c r="K61" s="703" t="s">
        <v>923</v>
      </c>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row>
    <row r="62" spans="1:82" ht="63">
      <c r="A62" s="536" t="s">
        <v>470</v>
      </c>
      <c r="B62" s="673" t="s">
        <v>472</v>
      </c>
      <c r="C62" s="673" t="s">
        <v>827</v>
      </c>
      <c r="D62" s="621"/>
      <c r="E62" s="620" t="s">
        <v>924</v>
      </c>
      <c r="F62" s="510"/>
      <c r="G62" s="620" t="s">
        <v>925</v>
      </c>
      <c r="H62" s="510"/>
      <c r="I62" s="620" t="s">
        <v>882</v>
      </c>
      <c r="J62" s="510"/>
      <c r="K62" s="620" t="s">
        <v>883</v>
      </c>
      <c r="L62" s="510"/>
      <c r="M62" s="669"/>
      <c r="W62" s="674"/>
      <c r="X62" s="675"/>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c r="CA62" s="510"/>
      <c r="CB62" s="510"/>
      <c r="CC62" s="510"/>
      <c r="CD62" s="510"/>
    </row>
    <row r="63" spans="1:82" ht="15.75">
      <c r="A63" s="621"/>
      <c r="B63" s="621"/>
      <c r="C63" s="621"/>
      <c r="D63" s="621"/>
      <c r="E63" s="621"/>
      <c r="F63" s="510"/>
      <c r="G63" s="506"/>
      <c r="H63" s="510"/>
      <c r="I63" s="506"/>
      <c r="J63" s="510"/>
      <c r="K63" s="621"/>
      <c r="L63" s="510"/>
      <c r="M63" s="52"/>
      <c r="W63" s="510"/>
      <c r="X63" s="675">
        <f>ROUND(AVERAGE(X64:X86),4)</f>
        <v>0.1681</v>
      </c>
      <c r="Y63" s="510"/>
      <c r="Z63" s="510"/>
      <c r="AA63" s="675">
        <f>ROUND(AVERAGE(AA64:AA86),4)</f>
        <v>0.1721</v>
      </c>
      <c r="AB63" s="510"/>
      <c r="AC63" s="510"/>
      <c r="AD63" s="675">
        <f>ROUND(AVERAGE(AD64:AD86),4)</f>
        <v>0.17560000000000001</v>
      </c>
      <c r="AE63" s="510"/>
      <c r="AF63" s="510"/>
      <c r="AG63" s="675">
        <f>ROUND(AVERAGE(AG64:AG86),4)</f>
        <v>0.18079999999999999</v>
      </c>
      <c r="AH63" s="510"/>
      <c r="AI63" s="510"/>
      <c r="AJ63" s="675">
        <f>ROUND(AVERAGE(AJ64:AJ86),4)</f>
        <v>0.1842</v>
      </c>
      <c r="AK63" s="510"/>
      <c r="AL63" s="510"/>
      <c r="AM63" s="675">
        <f>ROUND(AVERAGE(AM64:AM86),4)</f>
        <v>0.18590000000000001</v>
      </c>
      <c r="AN63" s="510"/>
      <c r="AO63" s="510"/>
      <c r="AP63" s="675">
        <f>ROUND(AVERAGE(AP64:AP86),4)</f>
        <v>0.18820000000000001</v>
      </c>
      <c r="AQ63" s="510"/>
      <c r="AR63" s="510"/>
      <c r="AS63" s="675">
        <f>ROUND(AVERAGE(AS64:AS86),4)</f>
        <v>0.19670000000000001</v>
      </c>
      <c r="AT63" s="510"/>
      <c r="AU63" s="510"/>
      <c r="AV63" s="675">
        <f>ROUND(AVERAGE(AV64:AV86),4)</f>
        <v>0.2011</v>
      </c>
      <c r="AW63" s="510"/>
      <c r="AX63" s="510"/>
      <c r="AY63" s="675">
        <f>ROUND(AVERAGE(AY64:AY86),4)</f>
        <v>0.19450000000000001</v>
      </c>
      <c r="AZ63" s="510"/>
      <c r="BA63" s="510"/>
      <c r="BB63" s="675">
        <f>ROUND(AVERAGE(BB64:BB86),4)</f>
        <v>0.2084</v>
      </c>
      <c r="BC63" s="510"/>
      <c r="BD63" s="510"/>
      <c r="BE63" s="675">
        <f>ROUND(AVERAGE(BE64:BE86),4)</f>
        <v>0.3523</v>
      </c>
      <c r="BF63" s="510"/>
      <c r="BG63" s="510"/>
      <c r="BH63" s="675">
        <f>ROUND(AVERAGE(BH64:BH86),4)</f>
        <v>0.42549999999999999</v>
      </c>
      <c r="BI63" s="510"/>
      <c r="BJ63" s="510"/>
      <c r="BK63" s="675">
        <f>ROUND(AVERAGE(BK64:BK86),4)</f>
        <v>0.43130000000000002</v>
      </c>
      <c r="BL63" s="510"/>
      <c r="BM63" s="510"/>
      <c r="BN63" s="675">
        <f>ROUND(AVERAGE(BN64:BN86),4)</f>
        <v>0.43640000000000001</v>
      </c>
      <c r="BO63" s="510"/>
      <c r="BP63" s="510"/>
      <c r="BQ63" s="675">
        <f>ROUND(AVERAGE(BQ64:BQ86),4)</f>
        <v>0.43740000000000001</v>
      </c>
      <c r="BR63" s="510"/>
      <c r="BS63" s="510"/>
      <c r="BT63" s="675">
        <f>ROUND(AVERAGE(BT64:BT86),4)</f>
        <v>0.4425</v>
      </c>
      <c r="BU63" s="510"/>
      <c r="BV63" s="510"/>
      <c r="BW63" s="675">
        <f>ROUND(AVERAGE(BW64:BW86),4)</f>
        <v>0.45269999999999999</v>
      </c>
      <c r="BX63" s="510"/>
      <c r="BY63" s="510"/>
      <c r="BZ63" s="675">
        <f>ROUND(AVERAGE(BZ64:BZ86),4)</f>
        <v>0.4829</v>
      </c>
      <c r="CA63" s="510"/>
      <c r="CB63" s="510"/>
      <c r="CC63" s="675">
        <f>ROUND(AVERAGE(CC64:CC86),4)</f>
        <v>0.51219999999999999</v>
      </c>
    </row>
    <row r="64" spans="1:82" ht="15.75">
      <c r="A64" s="14">
        <v>1</v>
      </c>
      <c r="B64" s="619">
        <f>'Att O_RPU'!E$318</f>
        <v>2015</v>
      </c>
      <c r="C64" s="639" t="s">
        <v>457</v>
      </c>
      <c r="D64" s="882"/>
      <c r="E64" s="723">
        <v>2.8E-3</v>
      </c>
      <c r="F64" s="510"/>
      <c r="G64" s="670">
        <f>X$63/100</f>
        <v>1.681E-3</v>
      </c>
      <c r="H64" s="510"/>
      <c r="I64" s="671">
        <f t="shared" ref="I64:I78" si="2">E64</f>
        <v>2.8E-3</v>
      </c>
      <c r="J64" s="510"/>
      <c r="K64" s="671">
        <f t="shared" ref="K64:K78" si="3">IF(E64&lt;G64,E64,G64)</f>
        <v>1.681E-3</v>
      </c>
      <c r="L64" s="510"/>
      <c r="M64" s="52"/>
      <c r="W64" s="724">
        <v>42005</v>
      </c>
      <c r="X64" s="727"/>
      <c r="Y64" s="726"/>
      <c r="Z64" s="724">
        <v>42037</v>
      </c>
      <c r="AA64" s="725">
        <v>0.16950000000000001</v>
      </c>
      <c r="AB64" s="726"/>
      <c r="AC64" s="724">
        <v>42065</v>
      </c>
      <c r="AD64" s="725">
        <v>0.17269999999999999</v>
      </c>
      <c r="AE64" s="726"/>
      <c r="AF64" s="724">
        <v>42095</v>
      </c>
      <c r="AG64" s="725">
        <v>0.17755000000000001</v>
      </c>
      <c r="AH64" s="726"/>
      <c r="AI64" s="724">
        <v>42125</v>
      </c>
      <c r="AJ64" s="725">
        <v>0.18225</v>
      </c>
      <c r="AK64" s="726"/>
      <c r="AL64" s="724">
        <v>42156</v>
      </c>
      <c r="AM64" s="725">
        <v>0.183</v>
      </c>
      <c r="AN64" s="726"/>
      <c r="AO64" s="724">
        <v>42186</v>
      </c>
      <c r="AP64" s="725">
        <v>0.185</v>
      </c>
      <c r="AQ64" s="726"/>
      <c r="AR64" s="724">
        <v>42219</v>
      </c>
      <c r="AS64" s="725">
        <v>0.1905</v>
      </c>
      <c r="AT64" s="726"/>
      <c r="AU64" s="724">
        <v>42248</v>
      </c>
      <c r="AV64" s="725">
        <v>0.20119999999999999</v>
      </c>
      <c r="AW64" s="726"/>
      <c r="AX64" s="724">
        <v>42278</v>
      </c>
      <c r="AY64" s="725">
        <v>0.19400000000000001</v>
      </c>
      <c r="AZ64" s="726"/>
      <c r="BA64" s="724">
        <v>42310</v>
      </c>
      <c r="BB64" s="725">
        <v>0.19</v>
      </c>
      <c r="BC64" s="726"/>
      <c r="BD64" s="724">
        <v>42339</v>
      </c>
      <c r="BE64" s="725">
        <v>0.24374999999999999</v>
      </c>
      <c r="BF64" s="726"/>
      <c r="BG64" s="724">
        <v>42370</v>
      </c>
      <c r="BH64" s="725"/>
      <c r="BI64" s="726"/>
      <c r="BJ64" s="724">
        <v>42401</v>
      </c>
      <c r="BK64" s="727">
        <v>0.42699999999999999</v>
      </c>
      <c r="BL64" s="726"/>
      <c r="BM64" s="724">
        <v>42430</v>
      </c>
      <c r="BN64" s="725">
        <v>0.43525000000000003</v>
      </c>
      <c r="BO64" s="726"/>
      <c r="BP64" s="724">
        <v>42461</v>
      </c>
      <c r="BQ64" s="725">
        <v>0.43735000000000002</v>
      </c>
      <c r="BR64" s="726"/>
      <c r="BS64" s="724">
        <v>42492</v>
      </c>
      <c r="BT64" s="725"/>
      <c r="BU64" s="726"/>
      <c r="BV64" s="724">
        <v>42522</v>
      </c>
      <c r="BW64" s="725">
        <v>0.46955000000000002</v>
      </c>
      <c r="BX64" s="726"/>
      <c r="BY64" s="724">
        <v>42552</v>
      </c>
      <c r="BZ64" s="725">
        <v>0.46755000000000002</v>
      </c>
      <c r="CA64" s="726"/>
      <c r="CB64" s="724">
        <v>42583</v>
      </c>
      <c r="CC64" s="725">
        <v>0.49390000000000001</v>
      </c>
    </row>
    <row r="65" spans="1:81" ht="15.75">
      <c r="A65" s="14">
        <f t="shared" ref="A65:A84" si="4">A64+1</f>
        <v>2</v>
      </c>
      <c r="B65" s="882"/>
      <c r="C65" s="639" t="s">
        <v>458</v>
      </c>
      <c r="D65" s="882"/>
      <c r="E65" s="723">
        <v>2.5000000000000001E-3</v>
      </c>
      <c r="F65" s="510"/>
      <c r="G65" s="670">
        <f>AA$63/100</f>
        <v>1.7210000000000001E-3</v>
      </c>
      <c r="H65" s="510"/>
      <c r="I65" s="671">
        <f t="shared" si="2"/>
        <v>2.5000000000000001E-3</v>
      </c>
      <c r="J65" s="510"/>
      <c r="K65" s="671">
        <f t="shared" si="3"/>
        <v>1.7210000000000001E-3</v>
      </c>
      <c r="L65" s="510"/>
      <c r="M65" s="52"/>
      <c r="W65" s="724">
        <v>42006</v>
      </c>
      <c r="X65" s="725">
        <v>0.16750000000000001</v>
      </c>
      <c r="Y65" s="726"/>
      <c r="Z65" s="724">
        <v>42038</v>
      </c>
      <c r="AA65" s="725">
        <v>0.17100000000000001</v>
      </c>
      <c r="AB65" s="726"/>
      <c r="AC65" s="724">
        <v>42066</v>
      </c>
      <c r="AD65" s="725">
        <v>0.17299999999999999</v>
      </c>
      <c r="AE65" s="726"/>
      <c r="AF65" s="724">
        <v>42096</v>
      </c>
      <c r="AG65" s="725">
        <v>0.17974999999999999</v>
      </c>
      <c r="AH65" s="726"/>
      <c r="AI65" s="724">
        <v>42128</v>
      </c>
      <c r="AJ65" s="725"/>
      <c r="AK65" s="726"/>
      <c r="AL65" s="724">
        <v>42157</v>
      </c>
      <c r="AM65" s="725">
        <v>0.18479999999999999</v>
      </c>
      <c r="AN65" s="726"/>
      <c r="AO65" s="724">
        <v>42187</v>
      </c>
      <c r="AP65" s="725">
        <v>0.18815000000000001</v>
      </c>
      <c r="AQ65" s="726"/>
      <c r="AR65" s="724">
        <v>42220</v>
      </c>
      <c r="AS65" s="725">
        <v>0.19075</v>
      </c>
      <c r="AT65" s="726"/>
      <c r="AU65" s="724">
        <v>42249</v>
      </c>
      <c r="AV65" s="725">
        <v>0.20280000000000001</v>
      </c>
      <c r="AW65" s="726"/>
      <c r="AX65" s="724">
        <v>42279</v>
      </c>
      <c r="AY65" s="725">
        <v>0.19470000000000001</v>
      </c>
      <c r="AZ65" s="726"/>
      <c r="BA65" s="724">
        <v>42311</v>
      </c>
      <c r="BB65" s="725">
        <v>0.19220000000000001</v>
      </c>
      <c r="BC65" s="726"/>
      <c r="BD65" s="724">
        <v>42340</v>
      </c>
      <c r="BE65" s="725">
        <v>0.251</v>
      </c>
      <c r="BF65" s="726"/>
      <c r="BG65" s="724">
        <v>42373</v>
      </c>
      <c r="BH65" s="725">
        <v>0.42249999999999999</v>
      </c>
      <c r="BI65" s="726"/>
      <c r="BJ65" s="724">
        <v>42402</v>
      </c>
      <c r="BK65" s="725">
        <v>0.42849999999999999</v>
      </c>
      <c r="BL65" s="726"/>
      <c r="BM65" s="724">
        <v>42431</v>
      </c>
      <c r="BN65" s="725">
        <v>0.43759999999999999</v>
      </c>
      <c r="BO65" s="726"/>
      <c r="BP65" s="724">
        <v>42464</v>
      </c>
      <c r="BQ65" s="725">
        <v>0.44019999999999998</v>
      </c>
      <c r="BR65" s="726"/>
      <c r="BS65" s="724">
        <v>42493</v>
      </c>
      <c r="BT65" s="725">
        <v>0.43590000000000001</v>
      </c>
      <c r="BU65" s="726"/>
      <c r="BV65" s="724">
        <v>42523</v>
      </c>
      <c r="BW65" s="725">
        <v>0.46305000000000002</v>
      </c>
      <c r="BX65" s="726"/>
      <c r="BY65" s="724">
        <v>42555</v>
      </c>
      <c r="BZ65" s="725">
        <v>0.46955000000000002</v>
      </c>
      <c r="CA65" s="726"/>
      <c r="CB65" s="724">
        <v>42584</v>
      </c>
      <c r="CC65" s="725">
        <v>0.49390000000000001</v>
      </c>
    </row>
    <row r="66" spans="1:81" ht="15.75">
      <c r="A66" s="14">
        <f t="shared" si="4"/>
        <v>3</v>
      </c>
      <c r="B66" s="882"/>
      <c r="C66" s="639" t="s">
        <v>459</v>
      </c>
      <c r="D66" s="882"/>
      <c r="E66" s="723">
        <v>2.8E-3</v>
      </c>
      <c r="F66" s="510"/>
      <c r="G66" s="670">
        <f>AD$63/100</f>
        <v>1.756E-3</v>
      </c>
      <c r="H66" s="510"/>
      <c r="I66" s="671">
        <f t="shared" si="2"/>
        <v>2.8E-3</v>
      </c>
      <c r="J66" s="510"/>
      <c r="K66" s="671">
        <f t="shared" si="3"/>
        <v>1.756E-3</v>
      </c>
      <c r="L66" s="510"/>
      <c r="M66" s="52"/>
      <c r="W66" s="724">
        <v>42009</v>
      </c>
      <c r="X66" s="725">
        <v>0.16800000000000001</v>
      </c>
      <c r="Y66" s="726"/>
      <c r="Z66" s="724">
        <v>42039</v>
      </c>
      <c r="AA66" s="725">
        <v>0.17349999999999999</v>
      </c>
      <c r="AB66" s="726"/>
      <c r="AC66" s="724">
        <v>42067</v>
      </c>
      <c r="AD66" s="725">
        <v>0.17499999999999999</v>
      </c>
      <c r="AE66" s="726"/>
      <c r="AF66" s="724">
        <v>42097</v>
      </c>
      <c r="AG66" s="725"/>
      <c r="AH66" s="726"/>
      <c r="AI66" s="724">
        <v>42129</v>
      </c>
      <c r="AJ66" s="725">
        <v>0.18049999999999999</v>
      </c>
      <c r="AK66" s="726"/>
      <c r="AL66" s="724">
        <v>42158</v>
      </c>
      <c r="AM66" s="727">
        <v>0.185</v>
      </c>
      <c r="AN66" s="726"/>
      <c r="AO66" s="724">
        <v>42188</v>
      </c>
      <c r="AP66" s="725">
        <v>0.18840000000000001</v>
      </c>
      <c r="AQ66" s="726"/>
      <c r="AR66" s="724">
        <v>42221</v>
      </c>
      <c r="AS66" s="725">
        <v>0.19350000000000001</v>
      </c>
      <c r="AT66" s="726"/>
      <c r="AU66" s="724">
        <v>42250</v>
      </c>
      <c r="AV66" s="725">
        <v>0.20430000000000001</v>
      </c>
      <c r="AW66" s="726"/>
      <c r="AX66" s="724">
        <v>42282</v>
      </c>
      <c r="AY66" s="725">
        <v>0.19375000000000001</v>
      </c>
      <c r="AZ66" s="726"/>
      <c r="BA66" s="724">
        <v>42312</v>
      </c>
      <c r="BB66" s="725">
        <v>0.19320000000000001</v>
      </c>
      <c r="BC66" s="726"/>
      <c r="BD66" s="724">
        <v>42341</v>
      </c>
      <c r="BE66" s="725">
        <v>0.26860000000000001</v>
      </c>
      <c r="BF66" s="726"/>
      <c r="BG66" s="724">
        <v>42374</v>
      </c>
      <c r="BH66" s="725">
        <v>0.42199999999999999</v>
      </c>
      <c r="BI66" s="726"/>
      <c r="BJ66" s="724">
        <v>42403</v>
      </c>
      <c r="BK66" s="725">
        <v>0.42849999999999999</v>
      </c>
      <c r="BL66" s="726"/>
      <c r="BM66" s="724">
        <v>42432</v>
      </c>
      <c r="BN66" s="725">
        <v>0.4405</v>
      </c>
      <c r="BO66" s="726"/>
      <c r="BP66" s="724">
        <v>42465</v>
      </c>
      <c r="BQ66" s="725">
        <v>0.4385</v>
      </c>
      <c r="BR66" s="726"/>
      <c r="BS66" s="724">
        <v>42494</v>
      </c>
      <c r="BT66" s="725">
        <v>0.43590000000000001</v>
      </c>
      <c r="BU66" s="726"/>
      <c r="BV66" s="724">
        <v>42524</v>
      </c>
      <c r="BW66" s="725">
        <v>0.46479999999999999</v>
      </c>
      <c r="BX66" s="726"/>
      <c r="BY66" s="724">
        <v>42556</v>
      </c>
      <c r="BZ66" s="725">
        <v>0.4703</v>
      </c>
      <c r="CA66" s="726"/>
      <c r="CB66" s="724">
        <v>42585</v>
      </c>
      <c r="CC66" s="725">
        <v>0.49690000000000001</v>
      </c>
    </row>
    <row r="67" spans="1:81" ht="15.75">
      <c r="A67" s="14">
        <f t="shared" si="4"/>
        <v>4</v>
      </c>
      <c r="B67" s="882"/>
      <c r="C67" s="639" t="s">
        <v>460</v>
      </c>
      <c r="D67" s="882"/>
      <c r="E67" s="723">
        <v>2.7000000000000001E-3</v>
      </c>
      <c r="F67" s="510"/>
      <c r="G67" s="670">
        <f>AG$63/100</f>
        <v>1.8079999999999999E-3</v>
      </c>
      <c r="H67" s="510"/>
      <c r="I67" s="671">
        <f t="shared" si="2"/>
        <v>2.7000000000000001E-3</v>
      </c>
      <c r="J67" s="510"/>
      <c r="K67" s="671">
        <f t="shared" si="3"/>
        <v>1.8079999999999999E-3</v>
      </c>
      <c r="L67" s="510"/>
      <c r="M67" s="52"/>
      <c r="W67" s="724">
        <v>42010</v>
      </c>
      <c r="X67" s="725">
        <v>0.16775000000000001</v>
      </c>
      <c r="Y67" s="726"/>
      <c r="Z67" s="724">
        <v>42040</v>
      </c>
      <c r="AA67" s="725">
        <v>0.17100000000000001</v>
      </c>
      <c r="AB67" s="726"/>
      <c r="AC67" s="724">
        <v>42068</v>
      </c>
      <c r="AD67" s="725">
        <v>0.17499999999999999</v>
      </c>
      <c r="AE67" s="726"/>
      <c r="AF67" s="724">
        <v>42100</v>
      </c>
      <c r="AG67" s="725"/>
      <c r="AH67" s="726"/>
      <c r="AI67" s="724">
        <v>42130</v>
      </c>
      <c r="AJ67" s="725">
        <v>0.18024999999999999</v>
      </c>
      <c r="AK67" s="726"/>
      <c r="AL67" s="724">
        <v>42159</v>
      </c>
      <c r="AM67" s="725">
        <v>0.18404999999999999</v>
      </c>
      <c r="AN67" s="726"/>
      <c r="AO67" s="724">
        <v>42191</v>
      </c>
      <c r="AP67" s="725">
        <v>0.1865</v>
      </c>
      <c r="AQ67" s="726"/>
      <c r="AR67" s="724">
        <v>42222</v>
      </c>
      <c r="AS67" s="725">
        <v>0.1915</v>
      </c>
      <c r="AT67" s="726"/>
      <c r="AU67" s="724">
        <v>42251</v>
      </c>
      <c r="AV67" s="725">
        <v>0.19925000000000001</v>
      </c>
      <c r="AW67" s="726"/>
      <c r="AX67" s="724">
        <v>42283</v>
      </c>
      <c r="AY67" s="725">
        <v>0.19409999999999999</v>
      </c>
      <c r="AZ67" s="726"/>
      <c r="BA67" s="724">
        <v>42313</v>
      </c>
      <c r="BB67" s="725">
        <v>0.19475000000000001</v>
      </c>
      <c r="BC67" s="726"/>
      <c r="BD67" s="724">
        <v>42342</v>
      </c>
      <c r="BE67" s="725">
        <v>0.27550000000000002</v>
      </c>
      <c r="BF67" s="726"/>
      <c r="BG67" s="724">
        <v>42375</v>
      </c>
      <c r="BH67" s="725">
        <v>0.42349999999999999</v>
      </c>
      <c r="BI67" s="726"/>
      <c r="BJ67" s="724">
        <v>42404</v>
      </c>
      <c r="BK67" s="725">
        <v>0.42770000000000002</v>
      </c>
      <c r="BL67" s="726"/>
      <c r="BM67" s="724">
        <v>42433</v>
      </c>
      <c r="BN67" s="725">
        <v>0.438</v>
      </c>
      <c r="BO67" s="726"/>
      <c r="BP67" s="724">
        <v>42466</v>
      </c>
      <c r="BQ67" s="725">
        <v>0.439</v>
      </c>
      <c r="BR67" s="726"/>
      <c r="BS67" s="724">
        <v>42495</v>
      </c>
      <c r="BT67" s="725">
        <v>0.43714999999999998</v>
      </c>
      <c r="BU67" s="726"/>
      <c r="BV67" s="724">
        <v>42527</v>
      </c>
      <c r="BW67" s="725">
        <v>0.44705</v>
      </c>
      <c r="BX67" s="726"/>
      <c r="BY67" s="724">
        <v>42557</v>
      </c>
      <c r="BZ67" s="725">
        <v>0.47255000000000003</v>
      </c>
      <c r="CA67" s="726"/>
      <c r="CB67" s="724">
        <v>42586</v>
      </c>
      <c r="CC67" s="725">
        <v>0.49840000000000001</v>
      </c>
    </row>
    <row r="68" spans="1:81" ht="15.75">
      <c r="A68" s="14">
        <f t="shared" si="4"/>
        <v>5</v>
      </c>
      <c r="B68" s="619"/>
      <c r="C68" s="639" t="s">
        <v>461</v>
      </c>
      <c r="D68" s="882"/>
      <c r="E68" s="723">
        <v>2.8E-3</v>
      </c>
      <c r="F68" s="510"/>
      <c r="G68" s="670">
        <f>AJ$63/100</f>
        <v>1.8420000000000001E-3</v>
      </c>
      <c r="H68" s="510"/>
      <c r="I68" s="671">
        <f t="shared" si="2"/>
        <v>2.8E-3</v>
      </c>
      <c r="J68" s="510"/>
      <c r="K68" s="671">
        <f t="shared" si="3"/>
        <v>1.8420000000000001E-3</v>
      </c>
      <c r="L68" s="510"/>
      <c r="M68" s="52"/>
      <c r="W68" s="724">
        <v>42011</v>
      </c>
      <c r="X68" s="725">
        <v>0.16650000000000001</v>
      </c>
      <c r="Y68" s="726"/>
      <c r="Z68" s="724">
        <v>42041</v>
      </c>
      <c r="AA68" s="725">
        <v>0.17150000000000001</v>
      </c>
      <c r="AB68" s="726"/>
      <c r="AC68" s="724">
        <v>42069</v>
      </c>
      <c r="AD68" s="725">
        <v>0.17499999999999999</v>
      </c>
      <c r="AE68" s="726"/>
      <c r="AF68" s="724">
        <v>42101</v>
      </c>
      <c r="AG68" s="725">
        <v>0.18015</v>
      </c>
      <c r="AH68" s="726"/>
      <c r="AI68" s="724">
        <v>42131</v>
      </c>
      <c r="AJ68" s="725">
        <v>0.18149999999999999</v>
      </c>
      <c r="AK68" s="726"/>
      <c r="AL68" s="724">
        <v>42160</v>
      </c>
      <c r="AM68" s="725">
        <v>0.183</v>
      </c>
      <c r="AN68" s="726"/>
      <c r="AO68" s="724">
        <v>42192</v>
      </c>
      <c r="AP68" s="725">
        <v>0.1895</v>
      </c>
      <c r="AQ68" s="726"/>
      <c r="AR68" s="724">
        <v>42223</v>
      </c>
      <c r="AS68" s="725">
        <v>0.19125</v>
      </c>
      <c r="AT68" s="726"/>
      <c r="AU68" s="724">
        <v>42254</v>
      </c>
      <c r="AV68" s="725">
        <v>0.20269999999999999</v>
      </c>
      <c r="AW68" s="726"/>
      <c r="AX68" s="724">
        <v>42284</v>
      </c>
      <c r="AY68" s="725">
        <v>0.19605</v>
      </c>
      <c r="AZ68" s="726"/>
      <c r="BA68" s="724">
        <v>42314</v>
      </c>
      <c r="BB68" s="725">
        <v>0.19450000000000001</v>
      </c>
      <c r="BC68" s="726"/>
      <c r="BD68" s="724">
        <v>42345</v>
      </c>
      <c r="BE68" s="725">
        <v>0.28699999999999998</v>
      </c>
      <c r="BF68" s="726"/>
      <c r="BG68" s="724">
        <v>42376</v>
      </c>
      <c r="BH68" s="725">
        <v>0.42349999999999999</v>
      </c>
      <c r="BI68" s="726"/>
      <c r="BJ68" s="724">
        <v>42405</v>
      </c>
      <c r="BK68" s="725">
        <v>0.4289</v>
      </c>
      <c r="BL68" s="726"/>
      <c r="BM68" s="724">
        <v>42436</v>
      </c>
      <c r="BN68" s="725">
        <v>0.4405</v>
      </c>
      <c r="BO68" s="726"/>
      <c r="BP68" s="724">
        <v>42467</v>
      </c>
      <c r="BQ68" s="725">
        <v>0.43645</v>
      </c>
      <c r="BR68" s="726"/>
      <c r="BS68" s="724">
        <v>42496</v>
      </c>
      <c r="BT68" s="725"/>
      <c r="BU68" s="726"/>
      <c r="BV68" s="724">
        <v>42528</v>
      </c>
      <c r="BW68" s="725">
        <v>0.44579999999999997</v>
      </c>
      <c r="BX68" s="726"/>
      <c r="BY68" s="724">
        <v>42558</v>
      </c>
      <c r="BZ68" s="725">
        <v>0.4743</v>
      </c>
      <c r="CA68" s="726"/>
      <c r="CB68" s="724">
        <v>42587</v>
      </c>
      <c r="CC68" s="725">
        <v>0.50390000000000001</v>
      </c>
    </row>
    <row r="69" spans="1:81" ht="15.75">
      <c r="A69" s="14">
        <f t="shared" si="4"/>
        <v>6</v>
      </c>
      <c r="B69" s="882"/>
      <c r="C69" s="639" t="s">
        <v>462</v>
      </c>
      <c r="D69" s="882"/>
      <c r="E69" s="723">
        <v>2.7000000000000001E-3</v>
      </c>
      <c r="F69" s="510"/>
      <c r="G69" s="670">
        <f>AM$63/100</f>
        <v>1.8590000000000002E-3</v>
      </c>
      <c r="H69" s="510"/>
      <c r="I69" s="671">
        <f t="shared" si="2"/>
        <v>2.7000000000000001E-3</v>
      </c>
      <c r="J69" s="510"/>
      <c r="K69" s="671">
        <f t="shared" si="3"/>
        <v>1.8590000000000002E-3</v>
      </c>
      <c r="L69" s="510"/>
      <c r="M69" s="52"/>
      <c r="W69" s="724">
        <v>42012</v>
      </c>
      <c r="X69" s="725">
        <v>0.16625000000000001</v>
      </c>
      <c r="Y69" s="726"/>
      <c r="Z69" s="724">
        <v>42044</v>
      </c>
      <c r="AA69" s="725">
        <v>0.17219999999999999</v>
      </c>
      <c r="AB69" s="726"/>
      <c r="AC69" s="724">
        <v>42072</v>
      </c>
      <c r="AD69" s="725">
        <v>0.17649999999999999</v>
      </c>
      <c r="AE69" s="726"/>
      <c r="AF69" s="724">
        <v>42102</v>
      </c>
      <c r="AG69" s="725">
        <v>0.18095</v>
      </c>
      <c r="AH69" s="726"/>
      <c r="AI69" s="724">
        <v>42132</v>
      </c>
      <c r="AJ69" s="725">
        <v>0.18475</v>
      </c>
      <c r="AK69" s="726"/>
      <c r="AL69" s="724">
        <v>42163</v>
      </c>
      <c r="AM69" s="725">
        <v>0.18540000000000001</v>
      </c>
      <c r="AN69" s="726"/>
      <c r="AO69" s="724">
        <v>42193</v>
      </c>
      <c r="AP69" s="725">
        <v>0.1885</v>
      </c>
      <c r="AQ69" s="726"/>
      <c r="AR69" s="724">
        <v>42226</v>
      </c>
      <c r="AS69" s="725">
        <v>0.19255</v>
      </c>
      <c r="AT69" s="726"/>
      <c r="AU69" s="724">
        <v>42255</v>
      </c>
      <c r="AV69" s="725">
        <v>0.20300000000000001</v>
      </c>
      <c r="AW69" s="726"/>
      <c r="AX69" s="724">
        <v>42285</v>
      </c>
      <c r="AY69" s="725">
        <v>0.19545000000000001</v>
      </c>
      <c r="AZ69" s="726"/>
      <c r="BA69" s="724">
        <v>42317</v>
      </c>
      <c r="BB69" s="725">
        <v>0.19700000000000001</v>
      </c>
      <c r="BC69" s="726"/>
      <c r="BD69" s="724">
        <v>42346</v>
      </c>
      <c r="BE69" s="725">
        <v>0.29310000000000003</v>
      </c>
      <c r="BF69" s="726"/>
      <c r="BG69" s="724">
        <v>42377</v>
      </c>
      <c r="BH69" s="725">
        <v>0.42380000000000001</v>
      </c>
      <c r="BI69" s="726"/>
      <c r="BJ69" s="724">
        <v>42408</v>
      </c>
      <c r="BK69" s="725">
        <v>0.42925000000000002</v>
      </c>
      <c r="BL69" s="726"/>
      <c r="BM69" s="724">
        <v>42437</v>
      </c>
      <c r="BN69" s="725">
        <v>0.44185000000000002</v>
      </c>
      <c r="BO69" s="726"/>
      <c r="BP69" s="724">
        <v>42468</v>
      </c>
      <c r="BQ69" s="725">
        <v>0.43469999999999998</v>
      </c>
      <c r="BR69" s="726"/>
      <c r="BS69" s="724">
        <v>42499</v>
      </c>
      <c r="BT69" s="725">
        <v>0.43864999999999998</v>
      </c>
      <c r="BU69" s="726"/>
      <c r="BV69" s="724">
        <v>42529</v>
      </c>
      <c r="BW69" s="725">
        <v>0.44529999999999997</v>
      </c>
      <c r="BX69" s="726"/>
      <c r="BY69" s="724">
        <v>42559</v>
      </c>
      <c r="BZ69" s="725">
        <v>0.4758</v>
      </c>
      <c r="CA69" s="726"/>
      <c r="CB69" s="724">
        <v>42590</v>
      </c>
      <c r="CC69" s="725">
        <v>0.51190000000000002</v>
      </c>
    </row>
    <row r="70" spans="1:81" ht="15.75">
      <c r="A70" s="14">
        <f t="shared" si="4"/>
        <v>7</v>
      </c>
      <c r="B70" s="882"/>
      <c r="C70" s="639" t="s">
        <v>463</v>
      </c>
      <c r="D70" s="882"/>
      <c r="E70" s="723">
        <v>2.8E-3</v>
      </c>
      <c r="F70" s="510"/>
      <c r="G70" s="670">
        <f>AP$63/100</f>
        <v>1.882E-3</v>
      </c>
      <c r="H70" s="510"/>
      <c r="I70" s="671">
        <f t="shared" si="2"/>
        <v>2.8E-3</v>
      </c>
      <c r="J70" s="510"/>
      <c r="K70" s="671">
        <f t="shared" si="3"/>
        <v>1.882E-3</v>
      </c>
      <c r="L70" s="510"/>
      <c r="M70" s="52"/>
      <c r="W70" s="724">
        <v>42013</v>
      </c>
      <c r="X70" s="725">
        <v>0.16675000000000001</v>
      </c>
      <c r="Y70" s="726"/>
      <c r="Z70" s="724">
        <v>42045</v>
      </c>
      <c r="AA70" s="725">
        <v>0.17169999999999999</v>
      </c>
      <c r="AB70" s="726"/>
      <c r="AC70" s="724">
        <v>42073</v>
      </c>
      <c r="AD70" s="725">
        <v>0.1779</v>
      </c>
      <c r="AE70" s="726"/>
      <c r="AF70" s="724">
        <v>42103</v>
      </c>
      <c r="AG70" s="725">
        <v>0.18</v>
      </c>
      <c r="AH70" s="726"/>
      <c r="AI70" s="724">
        <v>42135</v>
      </c>
      <c r="AJ70" s="725">
        <v>0.18559999999999999</v>
      </c>
      <c r="AK70" s="726"/>
      <c r="AL70" s="724">
        <v>42164</v>
      </c>
      <c r="AM70" s="725">
        <v>0.1875</v>
      </c>
      <c r="AN70" s="726"/>
      <c r="AO70" s="724">
        <v>42194</v>
      </c>
      <c r="AP70" s="725">
        <v>0.1867</v>
      </c>
      <c r="AQ70" s="726"/>
      <c r="AR70" s="724">
        <v>42227</v>
      </c>
      <c r="AS70" s="725">
        <v>0.19345000000000001</v>
      </c>
      <c r="AT70" s="726"/>
      <c r="AU70" s="724">
        <v>42256</v>
      </c>
      <c r="AV70" s="725">
        <v>0.20399999999999999</v>
      </c>
      <c r="AW70" s="726"/>
      <c r="AX70" s="724">
        <v>42286</v>
      </c>
      <c r="AY70" s="725">
        <v>0.19685</v>
      </c>
      <c r="AZ70" s="726"/>
      <c r="BA70" s="724">
        <v>42318</v>
      </c>
      <c r="BB70" s="725">
        <v>0.19550000000000001</v>
      </c>
      <c r="BC70" s="726"/>
      <c r="BD70" s="724">
        <v>42347</v>
      </c>
      <c r="BE70" s="725">
        <v>0.30049999999999999</v>
      </c>
      <c r="BF70" s="726"/>
      <c r="BG70" s="724">
        <v>42380</v>
      </c>
      <c r="BH70" s="725">
        <v>0.42399999999999999</v>
      </c>
      <c r="BI70" s="726"/>
      <c r="BJ70" s="724">
        <v>42409</v>
      </c>
      <c r="BK70" s="725">
        <v>0.42849999999999999</v>
      </c>
      <c r="BL70" s="726"/>
      <c r="BM70" s="724">
        <v>42438</v>
      </c>
      <c r="BN70" s="725">
        <v>0.438</v>
      </c>
      <c r="BO70" s="726"/>
      <c r="BP70" s="724">
        <v>42471</v>
      </c>
      <c r="BQ70" s="725">
        <v>0.43590000000000001</v>
      </c>
      <c r="BR70" s="726"/>
      <c r="BS70" s="724">
        <v>42500</v>
      </c>
      <c r="BT70" s="725">
        <v>0.43730000000000002</v>
      </c>
      <c r="BU70" s="726"/>
      <c r="BV70" s="724">
        <v>42530</v>
      </c>
      <c r="BW70" s="725">
        <v>0.44705</v>
      </c>
      <c r="BX70" s="726"/>
      <c r="BY70" s="724">
        <v>42562</v>
      </c>
      <c r="BZ70" s="725">
        <v>0.47785</v>
      </c>
      <c r="CA70" s="726"/>
      <c r="CB70" s="724">
        <v>42591</v>
      </c>
      <c r="CC70" s="725">
        <v>0.51315</v>
      </c>
    </row>
    <row r="71" spans="1:81" ht="15.75">
      <c r="A71" s="14">
        <f t="shared" si="4"/>
        <v>8</v>
      </c>
      <c r="B71" s="882"/>
      <c r="C71" s="639" t="s">
        <v>464</v>
      </c>
      <c r="D71" s="882"/>
      <c r="E71" s="723">
        <v>2.8E-3</v>
      </c>
      <c r="F71" s="510"/>
      <c r="G71" s="670">
        <f>AS$63/100</f>
        <v>1.967E-3</v>
      </c>
      <c r="H71" s="510"/>
      <c r="I71" s="671">
        <f t="shared" si="2"/>
        <v>2.8E-3</v>
      </c>
      <c r="J71" s="510"/>
      <c r="K71" s="671">
        <f t="shared" si="3"/>
        <v>1.967E-3</v>
      </c>
      <c r="L71" s="510"/>
      <c r="M71" s="52"/>
      <c r="W71" s="724">
        <v>42016</v>
      </c>
      <c r="X71" s="725">
        <v>0.16650000000000001</v>
      </c>
      <c r="Y71" s="726"/>
      <c r="Z71" s="724">
        <v>42046</v>
      </c>
      <c r="AA71" s="725">
        <v>0.17169999999999999</v>
      </c>
      <c r="AB71" s="726"/>
      <c r="AC71" s="724">
        <v>42074</v>
      </c>
      <c r="AD71" s="725">
        <v>0.17599999999999999</v>
      </c>
      <c r="AE71" s="726"/>
      <c r="AF71" s="724">
        <v>42104</v>
      </c>
      <c r="AG71" s="725">
        <v>0.17849999999999999</v>
      </c>
      <c r="AH71" s="726"/>
      <c r="AI71" s="724">
        <v>42136</v>
      </c>
      <c r="AJ71" s="725">
        <v>0.18559999999999999</v>
      </c>
      <c r="AK71" s="726"/>
      <c r="AL71" s="724">
        <v>42165</v>
      </c>
      <c r="AM71" s="725">
        <v>0.18875</v>
      </c>
      <c r="AN71" s="726"/>
      <c r="AO71" s="724">
        <v>42195</v>
      </c>
      <c r="AP71" s="725">
        <v>0.186</v>
      </c>
      <c r="AQ71" s="726"/>
      <c r="AR71" s="724">
        <v>42228</v>
      </c>
      <c r="AS71" s="725">
        <v>0.19400000000000001</v>
      </c>
      <c r="AT71" s="726"/>
      <c r="AU71" s="724">
        <v>42257</v>
      </c>
      <c r="AV71" s="725">
        <v>0.20635000000000001</v>
      </c>
      <c r="AW71" s="726"/>
      <c r="AX71" s="724">
        <v>42289</v>
      </c>
      <c r="AY71" s="725">
        <v>0.19325000000000001</v>
      </c>
      <c r="AZ71" s="726"/>
      <c r="BA71" s="724">
        <v>42319</v>
      </c>
      <c r="BB71" s="725">
        <v>0.19575000000000001</v>
      </c>
      <c r="BC71" s="726"/>
      <c r="BD71" s="724">
        <v>42348</v>
      </c>
      <c r="BE71" s="725">
        <v>0.317</v>
      </c>
      <c r="BF71" s="726"/>
      <c r="BG71" s="724">
        <v>42381</v>
      </c>
      <c r="BH71" s="725">
        <v>0.42449999999999999</v>
      </c>
      <c r="BI71" s="726"/>
      <c r="BJ71" s="724">
        <v>42410</v>
      </c>
      <c r="BK71" s="725">
        <v>0.42649999999999999</v>
      </c>
      <c r="BL71" s="726"/>
      <c r="BM71" s="724">
        <v>42439</v>
      </c>
      <c r="BN71" s="725">
        <v>0.43809999999999999</v>
      </c>
      <c r="BO71" s="726"/>
      <c r="BP71" s="724">
        <v>42472</v>
      </c>
      <c r="BQ71" s="725">
        <v>0.43714999999999998</v>
      </c>
      <c r="BR71" s="726"/>
      <c r="BS71" s="724">
        <v>42501</v>
      </c>
      <c r="BT71" s="725">
        <v>0.43464999999999998</v>
      </c>
      <c r="BU71" s="726"/>
      <c r="BV71" s="724">
        <v>42531</v>
      </c>
      <c r="BW71" s="725">
        <v>0.44655</v>
      </c>
      <c r="BX71" s="726"/>
      <c r="BY71" s="724">
        <v>42563</v>
      </c>
      <c r="BZ71" s="725">
        <v>0.47935</v>
      </c>
      <c r="CA71" s="726"/>
      <c r="CB71" s="724">
        <v>42592</v>
      </c>
      <c r="CC71" s="725">
        <v>0.51765000000000005</v>
      </c>
    </row>
    <row r="72" spans="1:81" ht="15.75">
      <c r="A72" s="14">
        <f t="shared" si="4"/>
        <v>9</v>
      </c>
      <c r="B72" s="882"/>
      <c r="C72" s="639" t="s">
        <v>465</v>
      </c>
      <c r="D72" s="882"/>
      <c r="E72" s="723">
        <v>2.7000000000000001E-3</v>
      </c>
      <c r="F72" s="510"/>
      <c r="G72" s="670">
        <f>AV$63/100</f>
        <v>2.0110000000000002E-3</v>
      </c>
      <c r="H72" s="510"/>
      <c r="I72" s="671">
        <f t="shared" si="2"/>
        <v>2.7000000000000001E-3</v>
      </c>
      <c r="J72" s="510"/>
      <c r="K72" s="671">
        <f t="shared" si="3"/>
        <v>2.0110000000000002E-3</v>
      </c>
      <c r="L72" s="510"/>
      <c r="M72" s="52"/>
      <c r="W72" s="724">
        <v>42017</v>
      </c>
      <c r="X72" s="725">
        <v>0.16650000000000001</v>
      </c>
      <c r="Y72" s="726"/>
      <c r="Z72" s="724">
        <v>42047</v>
      </c>
      <c r="AA72" s="725">
        <v>0.17199999999999999</v>
      </c>
      <c r="AB72" s="726"/>
      <c r="AC72" s="724">
        <v>42075</v>
      </c>
      <c r="AD72" s="725">
        <v>0.17449999999999999</v>
      </c>
      <c r="AE72" s="726"/>
      <c r="AF72" s="724">
        <v>42107</v>
      </c>
      <c r="AG72" s="725">
        <v>0.18149999999999999</v>
      </c>
      <c r="AH72" s="726"/>
      <c r="AI72" s="724">
        <v>42137</v>
      </c>
      <c r="AJ72" s="725">
        <v>0.18559999999999999</v>
      </c>
      <c r="AK72" s="726"/>
      <c r="AL72" s="724">
        <v>42166</v>
      </c>
      <c r="AM72" s="725">
        <v>0.1855</v>
      </c>
      <c r="AN72" s="726"/>
      <c r="AO72" s="724">
        <v>42198</v>
      </c>
      <c r="AP72" s="725">
        <v>0.18729999999999999</v>
      </c>
      <c r="AQ72" s="726"/>
      <c r="AR72" s="724">
        <v>42229</v>
      </c>
      <c r="AS72" s="725">
        <v>0.1976</v>
      </c>
      <c r="AT72" s="726"/>
      <c r="AU72" s="724">
        <v>42258</v>
      </c>
      <c r="AV72" s="725">
        <v>0.20655000000000001</v>
      </c>
      <c r="AW72" s="726"/>
      <c r="AX72" s="724">
        <v>42290</v>
      </c>
      <c r="AY72" s="725">
        <v>0.19575000000000001</v>
      </c>
      <c r="AZ72" s="726"/>
      <c r="BA72" s="724">
        <v>42320</v>
      </c>
      <c r="BB72" s="725">
        <v>0.19700000000000001</v>
      </c>
      <c r="BC72" s="726"/>
      <c r="BD72" s="724">
        <v>42349</v>
      </c>
      <c r="BE72" s="725">
        <v>0.33050000000000002</v>
      </c>
      <c r="BF72" s="726"/>
      <c r="BG72" s="724">
        <v>42382</v>
      </c>
      <c r="BH72" s="725">
        <v>0.42549999999999999</v>
      </c>
      <c r="BI72" s="726"/>
      <c r="BJ72" s="724">
        <v>42411</v>
      </c>
      <c r="BK72" s="725">
        <v>0.42699999999999999</v>
      </c>
      <c r="BL72" s="726"/>
      <c r="BM72" s="724">
        <v>42440</v>
      </c>
      <c r="BN72" s="725">
        <v>0.43619999999999998</v>
      </c>
      <c r="BO72" s="726"/>
      <c r="BP72" s="724">
        <v>42473</v>
      </c>
      <c r="BQ72" s="725">
        <v>0.43275000000000002</v>
      </c>
      <c r="BR72" s="726"/>
      <c r="BS72" s="724">
        <v>42502</v>
      </c>
      <c r="BT72" s="725">
        <v>0.43445</v>
      </c>
      <c r="BU72" s="726"/>
      <c r="BV72" s="724">
        <v>42534</v>
      </c>
      <c r="BW72" s="725">
        <v>0.44205</v>
      </c>
      <c r="BX72" s="726"/>
      <c r="BY72" s="724">
        <v>42564</v>
      </c>
      <c r="BZ72" s="725">
        <v>0.48135</v>
      </c>
      <c r="CA72" s="726"/>
      <c r="CB72" s="724">
        <v>42593</v>
      </c>
      <c r="CC72" s="725">
        <v>0.50765000000000005</v>
      </c>
    </row>
    <row r="73" spans="1:81" ht="15.75">
      <c r="A73" s="14">
        <f t="shared" si="4"/>
        <v>10</v>
      </c>
      <c r="B73" s="882"/>
      <c r="C73" s="639" t="s">
        <v>466</v>
      </c>
      <c r="D73" s="882"/>
      <c r="E73" s="723">
        <v>2.8E-3</v>
      </c>
      <c r="F73" s="510"/>
      <c r="G73" s="670">
        <f>AY$63/100</f>
        <v>1.9450000000000001E-3</v>
      </c>
      <c r="H73" s="510"/>
      <c r="I73" s="671">
        <f t="shared" si="2"/>
        <v>2.8E-3</v>
      </c>
      <c r="J73" s="510"/>
      <c r="K73" s="671">
        <f t="shared" si="3"/>
        <v>1.9450000000000001E-3</v>
      </c>
      <c r="L73" s="510"/>
      <c r="M73" s="52"/>
      <c r="W73" s="724">
        <v>42018</v>
      </c>
      <c r="X73" s="725">
        <v>0.16825000000000001</v>
      </c>
      <c r="Y73" s="726"/>
      <c r="Z73" s="724">
        <v>42048</v>
      </c>
      <c r="AA73" s="725">
        <v>0.17299999999999999</v>
      </c>
      <c r="AB73" s="726"/>
      <c r="AC73" s="724">
        <v>42076</v>
      </c>
      <c r="AD73" s="725">
        <v>0.17649999999999999</v>
      </c>
      <c r="AE73" s="726"/>
      <c r="AF73" s="724">
        <v>42108</v>
      </c>
      <c r="AG73" s="725">
        <v>0.1825</v>
      </c>
      <c r="AH73" s="726"/>
      <c r="AI73" s="724">
        <v>42138</v>
      </c>
      <c r="AJ73" s="725">
        <v>0.18335000000000001</v>
      </c>
      <c r="AK73" s="726"/>
      <c r="AL73" s="724">
        <v>42167</v>
      </c>
      <c r="AM73" s="725">
        <v>0.18475</v>
      </c>
      <c r="AN73" s="726"/>
      <c r="AO73" s="724">
        <v>42199</v>
      </c>
      <c r="AP73" s="725">
        <v>0.187</v>
      </c>
      <c r="AQ73" s="726"/>
      <c r="AR73" s="724">
        <v>42230</v>
      </c>
      <c r="AS73" s="725">
        <v>0.1996</v>
      </c>
      <c r="AT73" s="726"/>
      <c r="AU73" s="724">
        <v>42261</v>
      </c>
      <c r="AV73" s="725">
        <v>0.20899999999999999</v>
      </c>
      <c r="AW73" s="726"/>
      <c r="AX73" s="724">
        <v>42291</v>
      </c>
      <c r="AY73" s="725">
        <v>0.19900000000000001</v>
      </c>
      <c r="AZ73" s="726"/>
      <c r="BA73" s="724">
        <v>42321</v>
      </c>
      <c r="BB73" s="725">
        <v>0.19725000000000001</v>
      </c>
      <c r="BC73" s="726"/>
      <c r="BD73" s="724">
        <v>42352</v>
      </c>
      <c r="BE73" s="725">
        <v>0.34449999999999997</v>
      </c>
      <c r="BF73" s="726"/>
      <c r="BG73" s="724">
        <v>42383</v>
      </c>
      <c r="BH73" s="725">
        <v>0.42549999999999999</v>
      </c>
      <c r="BI73" s="726"/>
      <c r="BJ73" s="724">
        <v>42412</v>
      </c>
      <c r="BK73" s="725">
        <v>0.43049999999999999</v>
      </c>
      <c r="BL73" s="726"/>
      <c r="BM73" s="724">
        <v>42443</v>
      </c>
      <c r="BN73" s="725">
        <v>0.44130000000000003</v>
      </c>
      <c r="BO73" s="726"/>
      <c r="BP73" s="724">
        <v>42474</v>
      </c>
      <c r="BQ73" s="725">
        <v>0.43625000000000003</v>
      </c>
      <c r="BR73" s="726"/>
      <c r="BS73" s="724">
        <v>42503</v>
      </c>
      <c r="BT73" s="725">
        <v>0.43395</v>
      </c>
      <c r="BU73" s="726"/>
      <c r="BV73" s="724">
        <v>42535</v>
      </c>
      <c r="BW73" s="725">
        <v>0.44230000000000003</v>
      </c>
      <c r="BX73" s="726"/>
      <c r="BY73" s="724">
        <v>42565</v>
      </c>
      <c r="BZ73" s="725">
        <v>0.48209999999999997</v>
      </c>
      <c r="CA73" s="726"/>
      <c r="CB73" s="724">
        <v>42594</v>
      </c>
      <c r="CC73" s="725">
        <v>0.50665000000000004</v>
      </c>
    </row>
    <row r="74" spans="1:81" ht="15.75">
      <c r="A74" s="14">
        <f t="shared" si="4"/>
        <v>11</v>
      </c>
      <c r="B74" s="882"/>
      <c r="C74" s="639" t="s">
        <v>467</v>
      </c>
      <c r="D74" s="882"/>
      <c r="E74" s="723">
        <v>2.7000000000000001E-3</v>
      </c>
      <c r="F74" s="510"/>
      <c r="G74" s="670">
        <f>BB$63/100</f>
        <v>2.0839999999999999E-3</v>
      </c>
      <c r="H74" s="510"/>
      <c r="I74" s="671">
        <f t="shared" si="2"/>
        <v>2.7000000000000001E-3</v>
      </c>
      <c r="J74" s="510"/>
      <c r="K74" s="671">
        <f t="shared" si="3"/>
        <v>2.0839999999999999E-3</v>
      </c>
      <c r="L74" s="510"/>
      <c r="M74" s="52"/>
      <c r="W74" s="724">
        <v>42019</v>
      </c>
      <c r="X74" s="725">
        <v>0.16800000000000001</v>
      </c>
      <c r="Y74" s="726"/>
      <c r="Z74" s="724">
        <v>42051</v>
      </c>
      <c r="AA74" s="725">
        <v>0.17299999999999999</v>
      </c>
      <c r="AB74" s="726"/>
      <c r="AC74" s="724">
        <v>42079</v>
      </c>
      <c r="AD74" s="725">
        <v>0.17699999999999999</v>
      </c>
      <c r="AE74" s="726"/>
      <c r="AF74" s="724">
        <v>42109</v>
      </c>
      <c r="AG74" s="725">
        <v>0.1804</v>
      </c>
      <c r="AH74" s="726"/>
      <c r="AI74" s="724">
        <v>42139</v>
      </c>
      <c r="AJ74" s="725">
        <v>0.1862</v>
      </c>
      <c r="AK74" s="726"/>
      <c r="AL74" s="724">
        <v>42170</v>
      </c>
      <c r="AM74" s="725">
        <v>0.18525</v>
      </c>
      <c r="AN74" s="726"/>
      <c r="AO74" s="724">
        <v>42200</v>
      </c>
      <c r="AP74" s="725">
        <v>0.186</v>
      </c>
      <c r="AQ74" s="726"/>
      <c r="AR74" s="724">
        <v>42233</v>
      </c>
      <c r="AS74" s="725">
        <v>0.2046</v>
      </c>
      <c r="AT74" s="726"/>
      <c r="AU74" s="724">
        <v>42262</v>
      </c>
      <c r="AV74" s="725">
        <v>0.20724999999999999</v>
      </c>
      <c r="AW74" s="726"/>
      <c r="AX74" s="724">
        <v>42292</v>
      </c>
      <c r="AY74" s="725">
        <v>0.19675000000000001</v>
      </c>
      <c r="AZ74" s="726"/>
      <c r="BA74" s="724">
        <v>42324</v>
      </c>
      <c r="BB74" s="725">
        <v>0.19925000000000001</v>
      </c>
      <c r="BC74" s="726"/>
      <c r="BD74" s="724">
        <v>42353</v>
      </c>
      <c r="BE74" s="725">
        <v>0.35049999999999998</v>
      </c>
      <c r="BF74" s="726"/>
      <c r="BG74" s="724">
        <v>42384</v>
      </c>
      <c r="BH74" s="725">
        <v>0.42549999999999999</v>
      </c>
      <c r="BI74" s="726"/>
      <c r="BJ74" s="724">
        <v>42415</v>
      </c>
      <c r="BK74" s="725">
        <v>0.42925000000000002</v>
      </c>
      <c r="BL74" s="726"/>
      <c r="BM74" s="724">
        <v>42444</v>
      </c>
      <c r="BN74" s="725">
        <v>0.44124999999999998</v>
      </c>
      <c r="BO74" s="726"/>
      <c r="BP74" s="724">
        <v>42475</v>
      </c>
      <c r="BQ74" s="725">
        <v>0.43625000000000003</v>
      </c>
      <c r="BR74" s="726"/>
      <c r="BS74" s="724">
        <v>42506</v>
      </c>
      <c r="BT74" s="725">
        <v>0.43619999999999998</v>
      </c>
      <c r="BU74" s="726"/>
      <c r="BV74" s="724">
        <v>42536</v>
      </c>
      <c r="BW74" s="725">
        <v>0.44605</v>
      </c>
      <c r="BX74" s="726"/>
      <c r="BY74" s="724">
        <v>42566</v>
      </c>
      <c r="BZ74" s="725">
        <v>0.48330000000000001</v>
      </c>
      <c r="CA74" s="726"/>
      <c r="CB74" s="724">
        <v>42597</v>
      </c>
      <c r="CC74" s="725">
        <v>0.50744</v>
      </c>
    </row>
    <row r="75" spans="1:81" ht="15.75">
      <c r="A75" s="14">
        <f t="shared" si="4"/>
        <v>12</v>
      </c>
      <c r="B75" s="882"/>
      <c r="C75" s="639" t="s">
        <v>468</v>
      </c>
      <c r="D75" s="882"/>
      <c r="E75" s="723">
        <v>2.8E-3</v>
      </c>
      <c r="F75" s="510"/>
      <c r="G75" s="670">
        <f>BE$63/100</f>
        <v>3.5230000000000001E-3</v>
      </c>
      <c r="H75" s="510"/>
      <c r="I75" s="671">
        <f t="shared" si="2"/>
        <v>2.8E-3</v>
      </c>
      <c r="J75" s="510"/>
      <c r="K75" s="671">
        <f t="shared" si="3"/>
        <v>2.8E-3</v>
      </c>
      <c r="L75" s="510"/>
      <c r="M75" s="52"/>
      <c r="W75" s="724">
        <v>42020</v>
      </c>
      <c r="X75" s="725">
        <v>0.16800000000000001</v>
      </c>
      <c r="Y75" s="726"/>
      <c r="Z75" s="724">
        <v>42052</v>
      </c>
      <c r="AA75" s="725">
        <v>0.17349999999999999</v>
      </c>
      <c r="AB75" s="726"/>
      <c r="AC75" s="724">
        <v>42080</v>
      </c>
      <c r="AD75" s="725">
        <v>0.17749999999999999</v>
      </c>
      <c r="AE75" s="726"/>
      <c r="AF75" s="724">
        <v>42110</v>
      </c>
      <c r="AG75" s="725">
        <v>0.18054999999999999</v>
      </c>
      <c r="AH75" s="726"/>
      <c r="AI75" s="724">
        <v>42142</v>
      </c>
      <c r="AJ75" s="725">
        <v>0.184</v>
      </c>
      <c r="AK75" s="726"/>
      <c r="AL75" s="724">
        <v>42171</v>
      </c>
      <c r="AM75" s="725">
        <v>0.185</v>
      </c>
      <c r="AN75" s="726"/>
      <c r="AO75" s="724">
        <v>42201</v>
      </c>
      <c r="AP75" s="725">
        <v>0.188</v>
      </c>
      <c r="AQ75" s="726"/>
      <c r="AR75" s="724">
        <v>42234</v>
      </c>
      <c r="AS75" s="725">
        <v>0.20275000000000001</v>
      </c>
      <c r="AT75" s="726"/>
      <c r="AU75" s="724">
        <v>42263</v>
      </c>
      <c r="AV75" s="725">
        <v>0.21279999999999999</v>
      </c>
      <c r="AW75" s="726"/>
      <c r="AX75" s="724">
        <v>42293</v>
      </c>
      <c r="AY75" s="725">
        <v>0.19425000000000001</v>
      </c>
      <c r="AZ75" s="726"/>
      <c r="BA75" s="724">
        <v>42325</v>
      </c>
      <c r="BB75" s="725">
        <v>0.20250000000000001</v>
      </c>
      <c r="BC75" s="726"/>
      <c r="BD75" s="724">
        <v>42354</v>
      </c>
      <c r="BE75" s="725">
        <v>0.36</v>
      </c>
      <c r="BF75" s="726"/>
      <c r="BG75" s="724">
        <v>42387</v>
      </c>
      <c r="BH75" s="725">
        <v>0.42599999999999999</v>
      </c>
      <c r="BI75" s="726"/>
      <c r="BJ75" s="724">
        <v>42416</v>
      </c>
      <c r="BK75" s="725">
        <v>0.42949999999999999</v>
      </c>
      <c r="BL75" s="726"/>
      <c r="BM75" s="724">
        <v>42445</v>
      </c>
      <c r="BN75" s="725">
        <v>0.43990000000000001</v>
      </c>
      <c r="BO75" s="726"/>
      <c r="BP75" s="724">
        <v>42478</v>
      </c>
      <c r="BQ75" s="725">
        <v>0.43874999999999997</v>
      </c>
      <c r="BR75" s="726"/>
      <c r="BS75" s="724">
        <v>42507</v>
      </c>
      <c r="BT75" s="725">
        <v>0.43869999999999998</v>
      </c>
      <c r="BU75" s="726"/>
      <c r="BV75" s="724">
        <v>42537</v>
      </c>
      <c r="BW75" s="725">
        <v>0.44805</v>
      </c>
      <c r="BX75" s="726"/>
      <c r="BY75" s="724">
        <v>42569</v>
      </c>
      <c r="BZ75" s="725">
        <v>0.48654999999999998</v>
      </c>
      <c r="CA75" s="726"/>
      <c r="CB75" s="724">
        <v>42598</v>
      </c>
      <c r="CC75" s="725">
        <v>0.50744</v>
      </c>
    </row>
    <row r="76" spans="1:81" ht="15.75">
      <c r="A76" s="14">
        <f t="shared" si="4"/>
        <v>13</v>
      </c>
      <c r="B76" s="619">
        <f>'Att O_RPU'!E$319</f>
        <v>2016</v>
      </c>
      <c r="C76" s="639" t="s">
        <v>457</v>
      </c>
      <c r="D76" s="882"/>
      <c r="E76" s="723">
        <v>2.8E-3</v>
      </c>
      <c r="F76" s="510"/>
      <c r="G76" s="670">
        <f>BH$63/100</f>
        <v>4.2550000000000001E-3</v>
      </c>
      <c r="H76" s="510"/>
      <c r="I76" s="671">
        <f t="shared" si="2"/>
        <v>2.8E-3</v>
      </c>
      <c r="J76" s="510"/>
      <c r="K76" s="671">
        <f t="shared" si="3"/>
        <v>2.8E-3</v>
      </c>
      <c r="L76" s="510"/>
      <c r="M76" s="52"/>
      <c r="W76" s="724">
        <v>42023</v>
      </c>
      <c r="X76" s="725">
        <v>0.16875000000000001</v>
      </c>
      <c r="Y76" s="726"/>
      <c r="Z76" s="724">
        <v>42053</v>
      </c>
      <c r="AA76" s="725">
        <v>0.17349999999999999</v>
      </c>
      <c r="AB76" s="726"/>
      <c r="AC76" s="724">
        <v>42081</v>
      </c>
      <c r="AD76" s="725">
        <v>0.17599999999999999</v>
      </c>
      <c r="AE76" s="726"/>
      <c r="AF76" s="724">
        <v>42111</v>
      </c>
      <c r="AG76" s="725">
        <v>0.18024999999999999</v>
      </c>
      <c r="AH76" s="726"/>
      <c r="AI76" s="724">
        <v>42143</v>
      </c>
      <c r="AJ76" s="725">
        <v>0.18675</v>
      </c>
      <c r="AK76" s="726"/>
      <c r="AL76" s="724">
        <v>42172</v>
      </c>
      <c r="AM76" s="725">
        <v>0.1875</v>
      </c>
      <c r="AN76" s="726"/>
      <c r="AO76" s="724">
        <v>42202</v>
      </c>
      <c r="AP76" s="725">
        <v>0.1905</v>
      </c>
      <c r="AQ76" s="726"/>
      <c r="AR76" s="724">
        <v>42235</v>
      </c>
      <c r="AS76" s="725">
        <v>0.20200000000000001</v>
      </c>
      <c r="AT76" s="726"/>
      <c r="AU76" s="724">
        <v>42264</v>
      </c>
      <c r="AV76" s="725">
        <v>0.216</v>
      </c>
      <c r="AW76" s="726"/>
      <c r="AX76" s="724">
        <v>42296</v>
      </c>
      <c r="AY76" s="725">
        <v>0.19600000000000001</v>
      </c>
      <c r="AZ76" s="726"/>
      <c r="BA76" s="724">
        <v>42326</v>
      </c>
      <c r="BB76" s="725">
        <v>0.20674999999999999</v>
      </c>
      <c r="BC76" s="726"/>
      <c r="BD76" s="724">
        <v>42355</v>
      </c>
      <c r="BE76" s="725">
        <v>0.40210000000000001</v>
      </c>
      <c r="BF76" s="726"/>
      <c r="BG76" s="724">
        <v>42388</v>
      </c>
      <c r="BH76" s="725">
        <v>0.42499999999999999</v>
      </c>
      <c r="BI76" s="726"/>
      <c r="BJ76" s="724">
        <v>42417</v>
      </c>
      <c r="BK76" s="725">
        <v>0.43004999999999999</v>
      </c>
      <c r="BL76" s="726"/>
      <c r="BM76" s="724">
        <v>42446</v>
      </c>
      <c r="BN76" s="725">
        <v>0.43209999999999998</v>
      </c>
      <c r="BO76" s="726"/>
      <c r="BP76" s="724">
        <v>42479</v>
      </c>
      <c r="BQ76" s="725">
        <v>0.44114999999999999</v>
      </c>
      <c r="BR76" s="726"/>
      <c r="BS76" s="724">
        <v>42508</v>
      </c>
      <c r="BT76" s="725">
        <v>0.43845000000000001</v>
      </c>
      <c r="BU76" s="726"/>
      <c r="BV76" s="724">
        <v>42538</v>
      </c>
      <c r="BW76" s="725">
        <v>0.44779999999999998</v>
      </c>
      <c r="BX76" s="726"/>
      <c r="BY76" s="724">
        <v>42570</v>
      </c>
      <c r="BZ76" s="725">
        <v>0.48530000000000001</v>
      </c>
      <c r="CA76" s="726"/>
      <c r="CB76" s="724">
        <v>42599</v>
      </c>
      <c r="CC76" s="725">
        <v>0.51410999999999996</v>
      </c>
    </row>
    <row r="77" spans="1:81" ht="15.75">
      <c r="A77" s="14">
        <f t="shared" si="4"/>
        <v>14</v>
      </c>
      <c r="B77" s="882"/>
      <c r="C77" s="639" t="s">
        <v>458</v>
      </c>
      <c r="D77" s="882"/>
      <c r="E77" s="723">
        <v>2.5999999999999999E-3</v>
      </c>
      <c r="F77" s="510"/>
      <c r="G77" s="670">
        <f>BK$63/100</f>
        <v>4.313E-3</v>
      </c>
      <c r="H77" s="510"/>
      <c r="I77" s="671">
        <f t="shared" si="2"/>
        <v>2.5999999999999999E-3</v>
      </c>
      <c r="J77" s="510"/>
      <c r="K77" s="671">
        <f t="shared" si="3"/>
        <v>2.5999999999999999E-3</v>
      </c>
      <c r="L77" s="510"/>
      <c r="M77" s="52"/>
      <c r="W77" s="724">
        <v>42024</v>
      </c>
      <c r="X77" s="725">
        <v>0.16850000000000001</v>
      </c>
      <c r="Y77" s="726"/>
      <c r="Z77" s="724">
        <v>42054</v>
      </c>
      <c r="AA77" s="725">
        <v>0.17349999999999999</v>
      </c>
      <c r="AB77" s="726"/>
      <c r="AC77" s="724">
        <v>42082</v>
      </c>
      <c r="AD77" s="725">
        <v>0.17324999999999999</v>
      </c>
      <c r="AE77" s="726"/>
      <c r="AF77" s="724">
        <v>42114</v>
      </c>
      <c r="AG77" s="725">
        <v>0.18049999999999999</v>
      </c>
      <c r="AH77" s="726"/>
      <c r="AI77" s="724">
        <v>42144</v>
      </c>
      <c r="AJ77" s="727">
        <v>0.18475</v>
      </c>
      <c r="AK77" s="726"/>
      <c r="AL77" s="724">
        <v>42173</v>
      </c>
      <c r="AM77" s="725">
        <v>0.18675</v>
      </c>
      <c r="AN77" s="726"/>
      <c r="AO77" s="724">
        <v>42205</v>
      </c>
      <c r="AP77" s="725">
        <v>0.189</v>
      </c>
      <c r="AQ77" s="726"/>
      <c r="AR77" s="724">
        <v>42236</v>
      </c>
      <c r="AS77" s="725">
        <v>0.20039999999999999</v>
      </c>
      <c r="AT77" s="726"/>
      <c r="AU77" s="724">
        <v>42265</v>
      </c>
      <c r="AV77" s="725">
        <v>0.1958</v>
      </c>
      <c r="AW77" s="726"/>
      <c r="AX77" s="724">
        <v>42297</v>
      </c>
      <c r="AY77" s="725">
        <v>0.19650000000000001</v>
      </c>
      <c r="AZ77" s="726"/>
      <c r="BA77" s="724">
        <v>42327</v>
      </c>
      <c r="BB77" s="725">
        <v>0.21325</v>
      </c>
      <c r="BC77" s="726"/>
      <c r="BD77" s="724">
        <v>42356</v>
      </c>
      <c r="BE77" s="725">
        <v>0.41299999999999998</v>
      </c>
      <c r="BF77" s="726"/>
      <c r="BG77" s="724">
        <v>42389</v>
      </c>
      <c r="BH77" s="725">
        <v>0.42530000000000001</v>
      </c>
      <c r="BI77" s="726"/>
      <c r="BJ77" s="724">
        <v>42418</v>
      </c>
      <c r="BK77" s="725">
        <v>0.432</v>
      </c>
      <c r="BL77" s="726"/>
      <c r="BM77" s="724">
        <v>42447</v>
      </c>
      <c r="BN77" s="725">
        <v>0.42830000000000001</v>
      </c>
      <c r="BO77" s="726"/>
      <c r="BP77" s="724">
        <v>42480</v>
      </c>
      <c r="BQ77" s="725">
        <v>0.44124999999999998</v>
      </c>
      <c r="BR77" s="726"/>
      <c r="BS77" s="724">
        <v>42509</v>
      </c>
      <c r="BT77" s="725">
        <v>0.443</v>
      </c>
      <c r="BU77" s="726"/>
      <c r="BV77" s="724">
        <v>42541</v>
      </c>
      <c r="BW77" s="725">
        <v>0.44805</v>
      </c>
      <c r="BX77" s="726"/>
      <c r="BY77" s="724">
        <v>42571</v>
      </c>
      <c r="BZ77" s="725">
        <v>0.4874</v>
      </c>
      <c r="CA77" s="726"/>
      <c r="CB77" s="724">
        <v>42600</v>
      </c>
      <c r="CC77" s="725">
        <v>0.51244000000000001</v>
      </c>
    </row>
    <row r="78" spans="1:81" ht="15.75">
      <c r="A78" s="14">
        <f t="shared" si="4"/>
        <v>15</v>
      </c>
      <c r="B78" s="882"/>
      <c r="C78" s="639" t="s">
        <v>459</v>
      </c>
      <c r="D78" s="882"/>
      <c r="E78" s="723">
        <v>2.8E-3</v>
      </c>
      <c r="F78" s="510"/>
      <c r="G78" s="670">
        <f>BN$63/100</f>
        <v>4.3639999999999998E-3</v>
      </c>
      <c r="H78" s="510"/>
      <c r="I78" s="671">
        <f t="shared" si="2"/>
        <v>2.8E-3</v>
      </c>
      <c r="J78" s="510"/>
      <c r="K78" s="671">
        <f t="shared" si="3"/>
        <v>2.8E-3</v>
      </c>
      <c r="L78" s="510"/>
      <c r="M78" s="52"/>
      <c r="W78" s="724">
        <v>42025</v>
      </c>
      <c r="X78" s="725">
        <v>0.16675000000000001</v>
      </c>
      <c r="Y78" s="726"/>
      <c r="Z78" s="724">
        <v>42055</v>
      </c>
      <c r="AA78" s="725">
        <v>0.17150000000000001</v>
      </c>
      <c r="AB78" s="726"/>
      <c r="AC78" s="724">
        <v>42083</v>
      </c>
      <c r="AD78" s="725">
        <v>0.17399999999999999</v>
      </c>
      <c r="AE78" s="726"/>
      <c r="AF78" s="724">
        <v>42115</v>
      </c>
      <c r="AG78" s="725">
        <v>0.18149999999999999</v>
      </c>
      <c r="AH78" s="726"/>
      <c r="AI78" s="724">
        <v>42145</v>
      </c>
      <c r="AJ78" s="727">
        <v>0.18475</v>
      </c>
      <c r="AK78" s="726"/>
      <c r="AL78" s="724">
        <v>42174</v>
      </c>
      <c r="AM78" s="725">
        <v>0.187</v>
      </c>
      <c r="AN78" s="726"/>
      <c r="AO78" s="724">
        <v>42206</v>
      </c>
      <c r="AP78" s="725">
        <v>0.185</v>
      </c>
      <c r="AQ78" s="726"/>
      <c r="AR78" s="724">
        <v>42237</v>
      </c>
      <c r="AS78" s="725">
        <v>0.19939999999999999</v>
      </c>
      <c r="AT78" s="726"/>
      <c r="AU78" s="724">
        <v>42268</v>
      </c>
      <c r="AV78" s="725">
        <v>0.19500000000000001</v>
      </c>
      <c r="AW78" s="726"/>
      <c r="AX78" s="724">
        <v>42298</v>
      </c>
      <c r="AY78" s="725">
        <v>0.1948</v>
      </c>
      <c r="AZ78" s="726"/>
      <c r="BA78" s="724">
        <v>42328</v>
      </c>
      <c r="BB78" s="725">
        <v>0.21149999999999999</v>
      </c>
      <c r="BC78" s="726"/>
      <c r="BD78" s="724">
        <v>42359</v>
      </c>
      <c r="BE78" s="725">
        <v>0.41949999999999998</v>
      </c>
      <c r="BF78" s="726"/>
      <c r="BG78" s="724">
        <v>42390</v>
      </c>
      <c r="BH78" s="725">
        <v>0.42649999999999999</v>
      </c>
      <c r="BI78" s="726"/>
      <c r="BJ78" s="724">
        <v>42419</v>
      </c>
      <c r="BK78" s="725">
        <v>0.4335</v>
      </c>
      <c r="BL78" s="726"/>
      <c r="BM78" s="724">
        <v>42450</v>
      </c>
      <c r="BN78" s="725">
        <v>0.43180000000000002</v>
      </c>
      <c r="BO78" s="726"/>
      <c r="BP78" s="724">
        <v>42481</v>
      </c>
      <c r="BQ78" s="725">
        <v>0.43885000000000002</v>
      </c>
      <c r="BR78" s="726"/>
      <c r="BS78" s="724">
        <v>42510</v>
      </c>
      <c r="BT78" s="725">
        <v>0.44324999999999998</v>
      </c>
      <c r="BU78" s="726"/>
      <c r="BV78" s="724">
        <v>42542</v>
      </c>
      <c r="BW78" s="725">
        <v>0.45079999999999998</v>
      </c>
      <c r="BX78" s="726"/>
      <c r="BY78" s="724">
        <v>42572</v>
      </c>
      <c r="BZ78" s="725">
        <v>0.4879</v>
      </c>
      <c r="CA78" s="726"/>
      <c r="CB78" s="724">
        <v>42601</v>
      </c>
      <c r="CC78" s="725">
        <v>0.52105999999999997</v>
      </c>
    </row>
    <row r="79" spans="1:81" ht="15.75">
      <c r="A79" s="14">
        <f t="shared" si="4"/>
        <v>16</v>
      </c>
      <c r="B79" s="878"/>
      <c r="C79" s="639" t="s">
        <v>460</v>
      </c>
      <c r="D79" s="621"/>
      <c r="E79" s="723">
        <v>2.8E-3</v>
      </c>
      <c r="F79" s="510"/>
      <c r="G79" s="670">
        <f>BQ$63/100</f>
        <v>4.3740000000000003E-3</v>
      </c>
      <c r="H79" s="510"/>
      <c r="I79" s="671">
        <f t="shared" ref="I79:I83" si="5">E79</f>
        <v>2.8E-3</v>
      </c>
      <c r="J79" s="510"/>
      <c r="K79" s="671">
        <f t="shared" ref="K79:K83" si="6">IF(E79&lt;G79,E79,G79)</f>
        <v>2.8E-3</v>
      </c>
      <c r="L79" s="510"/>
      <c r="M79" s="52"/>
      <c r="W79" s="724">
        <v>42026</v>
      </c>
      <c r="X79" s="725">
        <v>0.16825000000000001</v>
      </c>
      <c r="Y79" s="726"/>
      <c r="Z79" s="724">
        <v>42058</v>
      </c>
      <c r="AA79" s="725">
        <v>0.17100000000000001</v>
      </c>
      <c r="AB79" s="726"/>
      <c r="AC79" s="724">
        <v>42086</v>
      </c>
      <c r="AD79" s="725">
        <v>0.17374999999999999</v>
      </c>
      <c r="AE79" s="726"/>
      <c r="AF79" s="724">
        <v>42116</v>
      </c>
      <c r="AG79" s="725">
        <v>0.18174999999999999</v>
      </c>
      <c r="AH79" s="726"/>
      <c r="AI79" s="724">
        <v>42146</v>
      </c>
      <c r="AJ79" s="725">
        <v>0.18484999999999999</v>
      </c>
      <c r="AK79" s="726"/>
      <c r="AL79" s="724">
        <v>42177</v>
      </c>
      <c r="AM79" s="725">
        <v>0.187</v>
      </c>
      <c r="AN79" s="726"/>
      <c r="AO79" s="724">
        <v>42207</v>
      </c>
      <c r="AP79" s="725">
        <v>0.187</v>
      </c>
      <c r="AQ79" s="726"/>
      <c r="AR79" s="724">
        <v>42240</v>
      </c>
      <c r="AS79" s="725">
        <v>0.19939999999999999</v>
      </c>
      <c r="AT79" s="726"/>
      <c r="AU79" s="724">
        <v>42269</v>
      </c>
      <c r="AV79" s="725">
        <v>0.1956</v>
      </c>
      <c r="AW79" s="726"/>
      <c r="AX79" s="724">
        <v>42299</v>
      </c>
      <c r="AY79" s="725">
        <v>0.19694999999999999</v>
      </c>
      <c r="AZ79" s="726"/>
      <c r="BA79" s="724">
        <v>42331</v>
      </c>
      <c r="BB79" s="725">
        <v>0.221</v>
      </c>
      <c r="BC79" s="726"/>
      <c r="BD79" s="724">
        <v>42360</v>
      </c>
      <c r="BE79" s="725">
        <v>0.41749999999999998</v>
      </c>
      <c r="BF79" s="726"/>
      <c r="BG79" s="724">
        <v>42391</v>
      </c>
      <c r="BH79" s="725">
        <v>0.42549999999999999</v>
      </c>
      <c r="BI79" s="726"/>
      <c r="BJ79" s="724">
        <v>42422</v>
      </c>
      <c r="BK79" s="725">
        <v>0.4335</v>
      </c>
      <c r="BL79" s="726"/>
      <c r="BM79" s="724">
        <v>42451</v>
      </c>
      <c r="BN79" s="725">
        <v>0.43149999999999999</v>
      </c>
      <c r="BO79" s="726"/>
      <c r="BP79" s="724">
        <v>42482</v>
      </c>
      <c r="BQ79" s="725">
        <v>0.43645</v>
      </c>
      <c r="BR79" s="726"/>
      <c r="BS79" s="724">
        <v>42513</v>
      </c>
      <c r="BT79" s="725">
        <v>0.44600000000000001</v>
      </c>
      <c r="BU79" s="726"/>
      <c r="BV79" s="724">
        <v>42543</v>
      </c>
      <c r="BW79" s="725">
        <v>0.45205000000000001</v>
      </c>
      <c r="BX79" s="726"/>
      <c r="BY79" s="724">
        <v>42573</v>
      </c>
      <c r="BZ79" s="725">
        <v>0.4904</v>
      </c>
      <c r="CA79" s="726"/>
      <c r="CB79" s="724">
        <v>42604</v>
      </c>
      <c r="CC79" s="725">
        <v>0.52217000000000002</v>
      </c>
    </row>
    <row r="80" spans="1:81" ht="15.75">
      <c r="A80" s="14">
        <f t="shared" si="4"/>
        <v>17</v>
      </c>
      <c r="B80" s="878"/>
      <c r="C80" s="639" t="s">
        <v>461</v>
      </c>
      <c r="D80" s="621"/>
      <c r="E80" s="723">
        <v>2.8999999999999998E-3</v>
      </c>
      <c r="F80" s="510"/>
      <c r="G80" s="670">
        <f>BT$63/100</f>
        <v>4.4250000000000001E-3</v>
      </c>
      <c r="H80" s="510"/>
      <c r="I80" s="671">
        <f t="shared" si="5"/>
        <v>2.8999999999999998E-3</v>
      </c>
      <c r="J80" s="510"/>
      <c r="K80" s="671">
        <f t="shared" si="6"/>
        <v>2.8999999999999998E-3</v>
      </c>
      <c r="L80" s="510"/>
      <c r="M80" s="52"/>
      <c r="W80" s="724">
        <v>42027</v>
      </c>
      <c r="X80" s="725">
        <v>0.16775000000000001</v>
      </c>
      <c r="Y80" s="726"/>
      <c r="Z80" s="724">
        <v>42059</v>
      </c>
      <c r="AA80" s="725">
        <v>0.17150000000000001</v>
      </c>
      <c r="AB80" s="726"/>
      <c r="AC80" s="724">
        <v>42087</v>
      </c>
      <c r="AD80" s="725">
        <v>0.17274999999999999</v>
      </c>
      <c r="AE80" s="726"/>
      <c r="AF80" s="724">
        <v>42117</v>
      </c>
      <c r="AG80" s="725">
        <v>0.18124999999999999</v>
      </c>
      <c r="AH80" s="726"/>
      <c r="AI80" s="724">
        <v>42149</v>
      </c>
      <c r="AJ80" s="725"/>
      <c r="AK80" s="726"/>
      <c r="AL80" s="724">
        <v>42178</v>
      </c>
      <c r="AM80" s="725">
        <v>0.187</v>
      </c>
      <c r="AN80" s="726"/>
      <c r="AO80" s="724">
        <v>42208</v>
      </c>
      <c r="AP80" s="725">
        <v>0.1905</v>
      </c>
      <c r="AQ80" s="726"/>
      <c r="AR80" s="724">
        <v>42241</v>
      </c>
      <c r="AS80" s="725">
        <v>0.19775000000000001</v>
      </c>
      <c r="AT80" s="726"/>
      <c r="AU80" s="724">
        <v>42270</v>
      </c>
      <c r="AV80" s="727">
        <v>0.19389999999999999</v>
      </c>
      <c r="AW80" s="726"/>
      <c r="AX80" s="724">
        <v>42300</v>
      </c>
      <c r="AY80" s="725">
        <v>0.19350000000000001</v>
      </c>
      <c r="AZ80" s="726"/>
      <c r="BA80" s="724">
        <v>42332</v>
      </c>
      <c r="BB80" s="725">
        <v>0.22500000000000001</v>
      </c>
      <c r="BC80" s="726"/>
      <c r="BD80" s="724">
        <v>42361</v>
      </c>
      <c r="BE80" s="725">
        <v>0.42159999999999997</v>
      </c>
      <c r="BF80" s="726"/>
      <c r="BG80" s="724">
        <v>42394</v>
      </c>
      <c r="BH80" s="725">
        <v>0.43059999999999998</v>
      </c>
      <c r="BI80" s="726"/>
      <c r="BJ80" s="724">
        <v>42423</v>
      </c>
      <c r="BK80" s="725">
        <v>0.43580000000000002</v>
      </c>
      <c r="BL80" s="726"/>
      <c r="BM80" s="724">
        <v>42452</v>
      </c>
      <c r="BN80" s="725">
        <v>0.433</v>
      </c>
      <c r="BO80" s="726"/>
      <c r="BP80" s="724">
        <v>42485</v>
      </c>
      <c r="BQ80" s="725">
        <v>0.43695000000000001</v>
      </c>
      <c r="BR80" s="726"/>
      <c r="BS80" s="724">
        <v>42514</v>
      </c>
      <c r="BT80" s="725">
        <v>0.44419999999999998</v>
      </c>
      <c r="BU80" s="726"/>
      <c r="BV80" s="724">
        <v>42544</v>
      </c>
      <c r="BW80" s="725">
        <v>0.45329999999999998</v>
      </c>
      <c r="BX80" s="726"/>
      <c r="BY80" s="724">
        <v>42576</v>
      </c>
      <c r="BZ80" s="725">
        <v>0.4909</v>
      </c>
      <c r="CA80" s="726"/>
      <c r="CB80" s="724">
        <v>42605</v>
      </c>
      <c r="CC80" s="725">
        <v>0.52439000000000002</v>
      </c>
    </row>
    <row r="81" spans="1:82" ht="15.4" customHeight="1">
      <c r="A81" s="14">
        <f t="shared" si="4"/>
        <v>18</v>
      </c>
      <c r="B81" s="878"/>
      <c r="C81" s="639" t="s">
        <v>462</v>
      </c>
      <c r="D81" s="621"/>
      <c r="E81" s="723">
        <v>2.8E-3</v>
      </c>
      <c r="F81" s="510"/>
      <c r="G81" s="670">
        <f>BW$63/100</f>
        <v>4.5269999999999998E-3</v>
      </c>
      <c r="H81" s="510"/>
      <c r="I81" s="671">
        <f t="shared" si="5"/>
        <v>2.8E-3</v>
      </c>
      <c r="J81" s="510"/>
      <c r="K81" s="671">
        <f t="shared" si="6"/>
        <v>2.8E-3</v>
      </c>
      <c r="L81" s="510"/>
      <c r="M81" s="52"/>
      <c r="W81" s="724">
        <v>42030</v>
      </c>
      <c r="X81" s="725">
        <v>0.16900000000000001</v>
      </c>
      <c r="Y81" s="726"/>
      <c r="Z81" s="724">
        <v>42060</v>
      </c>
      <c r="AA81" s="725">
        <v>0.17199999999999999</v>
      </c>
      <c r="AB81" s="726"/>
      <c r="AC81" s="724">
        <v>42088</v>
      </c>
      <c r="AD81" s="725">
        <v>0.17560000000000001</v>
      </c>
      <c r="AE81" s="726"/>
      <c r="AF81" s="724">
        <v>42118</v>
      </c>
      <c r="AG81" s="725">
        <v>0.18149999999999999</v>
      </c>
      <c r="AH81" s="726"/>
      <c r="AI81" s="724">
        <v>42150</v>
      </c>
      <c r="AJ81" s="725">
        <v>0.18629999999999999</v>
      </c>
      <c r="AK81" s="726"/>
      <c r="AL81" s="724">
        <v>42179</v>
      </c>
      <c r="AM81" s="727">
        <v>0.1865</v>
      </c>
      <c r="AN81" s="726"/>
      <c r="AO81" s="724">
        <v>42209</v>
      </c>
      <c r="AP81" s="725">
        <v>0.189</v>
      </c>
      <c r="AQ81" s="726"/>
      <c r="AR81" s="724">
        <v>42242</v>
      </c>
      <c r="AS81" s="725">
        <v>0.19800000000000001</v>
      </c>
      <c r="AT81" s="726"/>
      <c r="AU81" s="724">
        <v>42271</v>
      </c>
      <c r="AV81" s="725">
        <v>0.1943</v>
      </c>
      <c r="AW81" s="726"/>
      <c r="AX81" s="724">
        <v>42303</v>
      </c>
      <c r="AY81" s="725">
        <v>0.19355</v>
      </c>
      <c r="AZ81" s="726"/>
      <c r="BA81" s="724">
        <v>42333</v>
      </c>
      <c r="BB81" s="725">
        <v>0.23150000000000001</v>
      </c>
      <c r="BC81" s="726"/>
      <c r="BD81" s="724">
        <v>42362</v>
      </c>
      <c r="BE81" s="725">
        <v>0.4219</v>
      </c>
      <c r="BF81" s="726"/>
      <c r="BG81" s="724">
        <v>42395</v>
      </c>
      <c r="BH81" s="725">
        <v>0.43059999999999998</v>
      </c>
      <c r="BI81" s="726"/>
      <c r="BJ81" s="724">
        <v>42424</v>
      </c>
      <c r="BK81" s="725">
        <v>0.43380000000000002</v>
      </c>
      <c r="BL81" s="726"/>
      <c r="BM81" s="724">
        <v>42453</v>
      </c>
      <c r="BN81" s="725">
        <v>0.435</v>
      </c>
      <c r="BO81" s="726"/>
      <c r="BP81" s="724">
        <v>42486</v>
      </c>
      <c r="BQ81" s="725">
        <v>0.43769999999999998</v>
      </c>
      <c r="BR81" s="726"/>
      <c r="BS81" s="724">
        <v>42515</v>
      </c>
      <c r="BT81" s="725">
        <v>0.44969999999999999</v>
      </c>
      <c r="BU81" s="726"/>
      <c r="BV81" s="724">
        <v>42545</v>
      </c>
      <c r="BW81" s="725">
        <v>0.44929999999999998</v>
      </c>
      <c r="BX81" s="726"/>
      <c r="BY81" s="724">
        <v>42577</v>
      </c>
      <c r="BZ81" s="725">
        <v>0.49264999999999998</v>
      </c>
      <c r="CA81" s="726"/>
      <c r="CB81" s="724">
        <v>42606</v>
      </c>
      <c r="CC81" s="725">
        <v>0.51993999999999996</v>
      </c>
    </row>
    <row r="82" spans="1:82" ht="15.75">
      <c r="A82" s="14">
        <f t="shared" si="4"/>
        <v>19</v>
      </c>
      <c r="B82" s="878"/>
      <c r="C82" s="639" t="s">
        <v>463</v>
      </c>
      <c r="D82" s="621"/>
      <c r="E82" s="723">
        <v>3.0000000000000001E-3</v>
      </c>
      <c r="F82" s="510"/>
      <c r="G82" s="670">
        <f>BZ$63/100</f>
        <v>4.829E-3</v>
      </c>
      <c r="H82" s="510"/>
      <c r="I82" s="671">
        <f t="shared" si="5"/>
        <v>3.0000000000000001E-3</v>
      </c>
      <c r="J82" s="510"/>
      <c r="K82" s="671">
        <f t="shared" si="6"/>
        <v>3.0000000000000001E-3</v>
      </c>
      <c r="L82" s="510"/>
      <c r="M82" s="52"/>
      <c r="W82" s="724">
        <v>42031</v>
      </c>
      <c r="X82" s="725">
        <v>0.16800000000000001</v>
      </c>
      <c r="Y82" s="726"/>
      <c r="Z82" s="724">
        <v>42061</v>
      </c>
      <c r="AA82" s="725">
        <v>0.1719</v>
      </c>
      <c r="AB82" s="726"/>
      <c r="AC82" s="724">
        <v>42089</v>
      </c>
      <c r="AD82" s="725">
        <v>0.17774999999999999</v>
      </c>
      <c r="AE82" s="726"/>
      <c r="AF82" s="724">
        <v>42121</v>
      </c>
      <c r="AG82" s="725">
        <v>0.18124999999999999</v>
      </c>
      <c r="AH82" s="726"/>
      <c r="AI82" s="724">
        <v>42151</v>
      </c>
      <c r="AJ82" s="725">
        <v>0.18534999999999999</v>
      </c>
      <c r="AK82" s="726"/>
      <c r="AL82" s="724">
        <v>42180</v>
      </c>
      <c r="AM82" s="725">
        <v>0.186</v>
      </c>
      <c r="AN82" s="726"/>
      <c r="AO82" s="724">
        <v>42212</v>
      </c>
      <c r="AP82" s="725">
        <v>0.189</v>
      </c>
      <c r="AQ82" s="726"/>
      <c r="AR82" s="724">
        <v>42243</v>
      </c>
      <c r="AS82" s="725">
        <v>0.19700000000000001</v>
      </c>
      <c r="AT82" s="726"/>
      <c r="AU82" s="724">
        <v>42272</v>
      </c>
      <c r="AV82" s="725">
        <v>0.1943</v>
      </c>
      <c r="AW82" s="726"/>
      <c r="AX82" s="724">
        <v>42304</v>
      </c>
      <c r="AY82" s="725">
        <v>0.19075</v>
      </c>
      <c r="AZ82" s="726"/>
      <c r="BA82" s="724">
        <v>42334</v>
      </c>
      <c r="BB82" s="725">
        <v>0.23275000000000001</v>
      </c>
      <c r="BC82" s="726"/>
      <c r="BD82" s="724">
        <v>42363</v>
      </c>
      <c r="BE82" s="725"/>
      <c r="BF82" s="726"/>
      <c r="BG82" s="724">
        <v>42396</v>
      </c>
      <c r="BH82" s="727">
        <v>0.42799999999999999</v>
      </c>
      <c r="BI82" s="726"/>
      <c r="BJ82" s="724">
        <v>42425</v>
      </c>
      <c r="BK82" s="725">
        <v>0.4385</v>
      </c>
      <c r="BL82" s="726"/>
      <c r="BM82" s="724">
        <v>42454</v>
      </c>
      <c r="BN82" s="725"/>
      <c r="BO82" s="726"/>
      <c r="BP82" s="724">
        <v>42487</v>
      </c>
      <c r="BQ82" s="725">
        <v>0.43519999999999998</v>
      </c>
      <c r="BR82" s="726"/>
      <c r="BS82" s="724">
        <v>42516</v>
      </c>
      <c r="BT82" s="725">
        <v>0.45445000000000002</v>
      </c>
      <c r="BU82" s="726"/>
      <c r="BV82" s="724">
        <v>42548</v>
      </c>
      <c r="BW82" s="725">
        <v>0.45879999999999999</v>
      </c>
      <c r="BX82" s="726"/>
      <c r="BY82" s="724">
        <v>42578</v>
      </c>
      <c r="BZ82" s="725">
        <v>0.49564999999999998</v>
      </c>
      <c r="CA82" s="726"/>
      <c r="CB82" s="724">
        <v>42607</v>
      </c>
      <c r="CC82" s="725">
        <v>0.52383000000000002</v>
      </c>
    </row>
    <row r="83" spans="1:82" ht="15.75">
      <c r="A83" s="14">
        <f t="shared" si="4"/>
        <v>20</v>
      </c>
      <c r="B83" s="878"/>
      <c r="C83" s="639" t="s">
        <v>464</v>
      </c>
      <c r="D83" s="621"/>
      <c r="E83" s="723">
        <v>3.0000000000000001E-3</v>
      </c>
      <c r="F83" s="510"/>
      <c r="G83" s="670">
        <f>CC$63/100</f>
        <v>5.1219999999999998E-3</v>
      </c>
      <c r="H83" s="510"/>
      <c r="I83" s="671">
        <f t="shared" si="5"/>
        <v>3.0000000000000001E-3</v>
      </c>
      <c r="J83" s="510"/>
      <c r="K83" s="671">
        <f t="shared" si="6"/>
        <v>3.0000000000000001E-3</v>
      </c>
      <c r="L83" s="510"/>
      <c r="M83" s="52"/>
      <c r="W83" s="724">
        <v>42032</v>
      </c>
      <c r="X83" s="725">
        <v>0.17050000000000001</v>
      </c>
      <c r="Y83" s="726"/>
      <c r="Z83" s="724">
        <v>42062</v>
      </c>
      <c r="AA83" s="725">
        <v>0.17299999999999999</v>
      </c>
      <c r="AB83" s="726"/>
      <c r="AC83" s="724">
        <v>42090</v>
      </c>
      <c r="AD83" s="725">
        <v>0.17799999999999999</v>
      </c>
      <c r="AE83" s="726"/>
      <c r="AF83" s="724">
        <v>42122</v>
      </c>
      <c r="AG83" s="725">
        <v>0.18425</v>
      </c>
      <c r="AH83" s="726"/>
      <c r="AI83" s="724">
        <v>42152</v>
      </c>
      <c r="AJ83" s="725">
        <v>0.184</v>
      </c>
      <c r="AK83" s="726"/>
      <c r="AL83" s="724">
        <v>42181</v>
      </c>
      <c r="AM83" s="725">
        <v>0.18659999999999999</v>
      </c>
      <c r="AN83" s="726"/>
      <c r="AO83" s="724">
        <v>42213</v>
      </c>
      <c r="AP83" s="725">
        <v>0.1908</v>
      </c>
      <c r="AQ83" s="726"/>
      <c r="AR83" s="724">
        <v>42244</v>
      </c>
      <c r="AS83" s="725">
        <v>0.19855</v>
      </c>
      <c r="AT83" s="726"/>
      <c r="AU83" s="724">
        <v>42275</v>
      </c>
      <c r="AV83" s="725">
        <v>0.19359999999999999</v>
      </c>
      <c r="AW83" s="726"/>
      <c r="AX83" s="724">
        <v>42305</v>
      </c>
      <c r="AY83" s="725">
        <v>0.1883</v>
      </c>
      <c r="AZ83" s="726"/>
      <c r="BA83" s="724">
        <v>42335</v>
      </c>
      <c r="BB83" s="725">
        <v>0.24374999999999999</v>
      </c>
      <c r="BC83" s="726"/>
      <c r="BD83" s="724">
        <v>42366</v>
      </c>
      <c r="BE83" s="725"/>
      <c r="BF83" s="726"/>
      <c r="BG83" s="724">
        <v>42397</v>
      </c>
      <c r="BH83" s="727">
        <v>0.42620000000000002</v>
      </c>
      <c r="BI83" s="726"/>
      <c r="BJ83" s="724">
        <v>42426</v>
      </c>
      <c r="BK83" s="725">
        <v>0.4385</v>
      </c>
      <c r="BL83" s="726"/>
      <c r="BM83" s="724">
        <v>42457</v>
      </c>
      <c r="BN83" s="725"/>
      <c r="BO83" s="726"/>
      <c r="BP83" s="724">
        <v>42488</v>
      </c>
      <c r="BQ83" s="725">
        <v>0.43880000000000002</v>
      </c>
      <c r="BR83" s="726"/>
      <c r="BS83" s="724">
        <v>42517</v>
      </c>
      <c r="BT83" s="725">
        <v>0.45665</v>
      </c>
      <c r="BU83" s="726"/>
      <c r="BV83" s="724">
        <v>42549</v>
      </c>
      <c r="BW83" s="725">
        <v>0.46029999999999999</v>
      </c>
      <c r="BX83" s="726"/>
      <c r="BY83" s="724">
        <v>42579</v>
      </c>
      <c r="BZ83" s="725">
        <v>0.49390000000000001</v>
      </c>
      <c r="CA83" s="726"/>
      <c r="CB83" s="724">
        <v>42608</v>
      </c>
      <c r="CC83" s="725">
        <v>0.52439000000000002</v>
      </c>
    </row>
    <row r="84" spans="1:82" ht="16.5" thickBot="1">
      <c r="A84" s="884">
        <f t="shared" si="4"/>
        <v>21</v>
      </c>
      <c r="B84" s="40" t="s">
        <v>1019</v>
      </c>
      <c r="C84" s="882"/>
      <c r="D84" s="882"/>
      <c r="E84" s="880">
        <f>AVERAGE(E64:E83)</f>
        <v>2.7799999999999999E-3</v>
      </c>
      <c r="F84" s="730"/>
      <c r="G84" s="880">
        <f>AVERAGE(G64:G83)</f>
        <v>3.0143999999999995E-3</v>
      </c>
      <c r="H84" s="730"/>
      <c r="I84" s="880">
        <f>AVERAGE(I64:I83)</f>
        <v>2.7799999999999999E-3</v>
      </c>
      <c r="J84" s="881"/>
      <c r="K84" s="880">
        <f>AVERAGE(K64:K83)</f>
        <v>2.3027999999999998E-3</v>
      </c>
      <c r="L84" s="510"/>
      <c r="M84" s="52"/>
      <c r="W84" s="724">
        <v>42033</v>
      </c>
      <c r="X84" s="725">
        <v>0.1709</v>
      </c>
      <c r="Y84" s="726"/>
      <c r="Z84" s="726"/>
      <c r="AA84" s="726"/>
      <c r="AB84" s="726"/>
      <c r="AC84" s="724">
        <v>42093</v>
      </c>
      <c r="AD84" s="725">
        <v>0.17924999999999999</v>
      </c>
      <c r="AE84" s="726"/>
      <c r="AF84" s="724">
        <v>42123</v>
      </c>
      <c r="AG84" s="725">
        <v>0.18024999999999999</v>
      </c>
      <c r="AH84" s="726"/>
      <c r="AI84" s="724">
        <v>42153</v>
      </c>
      <c r="AJ84" s="725">
        <v>0.184</v>
      </c>
      <c r="AK84" s="726"/>
      <c r="AL84" s="724">
        <v>42184</v>
      </c>
      <c r="AM84" s="725">
        <v>0.18659999999999999</v>
      </c>
      <c r="AN84" s="726"/>
      <c r="AO84" s="724">
        <v>42214</v>
      </c>
      <c r="AP84" s="725">
        <v>0.18955</v>
      </c>
      <c r="AQ84" s="726"/>
      <c r="AR84" s="724">
        <v>42247</v>
      </c>
      <c r="AS84" s="725"/>
      <c r="AT84" s="726"/>
      <c r="AU84" s="724">
        <v>42276</v>
      </c>
      <c r="AV84" s="725">
        <v>0.193</v>
      </c>
      <c r="AW84" s="726"/>
      <c r="AX84" s="724">
        <v>42306</v>
      </c>
      <c r="AY84" s="725">
        <v>0.193</v>
      </c>
      <c r="AZ84" s="726"/>
      <c r="BA84" s="724">
        <v>42338</v>
      </c>
      <c r="BB84" s="725">
        <v>0.24299999999999999</v>
      </c>
      <c r="BC84" s="726"/>
      <c r="BD84" s="724">
        <v>42367</v>
      </c>
      <c r="BE84" s="725">
        <v>0.4239</v>
      </c>
      <c r="BF84" s="726"/>
      <c r="BG84" s="724">
        <v>42398</v>
      </c>
      <c r="BH84" s="725">
        <v>0.42499999999999999</v>
      </c>
      <c r="BI84" s="726"/>
      <c r="BJ84" s="724">
        <v>42429</v>
      </c>
      <c r="BK84" s="725">
        <v>0.4405</v>
      </c>
      <c r="BL84" s="726"/>
      <c r="BM84" s="724">
        <v>42458</v>
      </c>
      <c r="BN84" s="725">
        <v>0.43290000000000001</v>
      </c>
      <c r="BO84" s="726"/>
      <c r="BP84" s="724">
        <v>42489</v>
      </c>
      <c r="BQ84" s="725">
        <v>0.43575000000000003</v>
      </c>
      <c r="BR84" s="726"/>
      <c r="BS84" s="724">
        <v>42520</v>
      </c>
      <c r="BT84" s="725"/>
      <c r="BU84" s="726"/>
      <c r="BV84" s="724">
        <v>42550</v>
      </c>
      <c r="BW84" s="725">
        <v>0.46655000000000002</v>
      </c>
      <c r="BX84" s="726"/>
      <c r="BY84" s="724">
        <v>42580</v>
      </c>
      <c r="BZ84" s="725">
        <v>0.49590000000000001</v>
      </c>
      <c r="CA84" s="726"/>
      <c r="CB84" s="724">
        <v>42611</v>
      </c>
      <c r="CC84" s="725"/>
    </row>
    <row r="85" spans="1:82" ht="16.5" thickTop="1">
      <c r="A85" s="882"/>
      <c r="B85" s="882"/>
      <c r="C85" s="882"/>
      <c r="D85" s="882"/>
      <c r="E85" s="882"/>
      <c r="F85" s="882"/>
      <c r="G85" s="882"/>
      <c r="H85" s="882"/>
      <c r="I85" s="882"/>
      <c r="J85" s="882"/>
      <c r="K85" s="882"/>
      <c r="L85" s="882"/>
      <c r="M85" s="52"/>
      <c r="W85" s="724">
        <v>42034</v>
      </c>
      <c r="X85" s="725">
        <v>0.17125000000000001</v>
      </c>
      <c r="Y85" s="726"/>
      <c r="Z85" s="726"/>
      <c r="AA85" s="726"/>
      <c r="AB85" s="726"/>
      <c r="AC85" s="724">
        <v>42094</v>
      </c>
      <c r="AD85" s="725">
        <v>0.17624999999999999</v>
      </c>
      <c r="AE85" s="726"/>
      <c r="AF85" s="724">
        <v>42124</v>
      </c>
      <c r="AG85" s="725">
        <v>0.18099999999999999</v>
      </c>
      <c r="AH85" s="726"/>
      <c r="AI85" s="724"/>
      <c r="AJ85" s="725"/>
      <c r="AK85" s="726"/>
      <c r="AL85" s="724">
        <v>42185</v>
      </c>
      <c r="AM85" s="725">
        <v>0.1865</v>
      </c>
      <c r="AN85" s="726"/>
      <c r="AO85" s="724">
        <v>42215</v>
      </c>
      <c r="AP85" s="725">
        <v>0.1885</v>
      </c>
      <c r="AQ85" s="726"/>
      <c r="AR85" s="724"/>
      <c r="AS85" s="725"/>
      <c r="AT85" s="726"/>
      <c r="AU85" s="724">
        <v>42277</v>
      </c>
      <c r="AV85" s="725">
        <v>0.193</v>
      </c>
      <c r="AW85" s="726"/>
      <c r="AX85" s="724">
        <v>42307</v>
      </c>
      <c r="AY85" s="725">
        <v>0.192</v>
      </c>
      <c r="AZ85" s="726"/>
      <c r="BA85" s="724"/>
      <c r="BB85" s="725"/>
      <c r="BC85" s="726"/>
      <c r="BD85" s="724">
        <v>42368</v>
      </c>
      <c r="BE85" s="725">
        <v>0.42749999999999999</v>
      </c>
      <c r="BF85" s="726"/>
      <c r="BG85" s="724"/>
      <c r="BH85" s="725"/>
      <c r="BI85" s="726"/>
      <c r="BJ85" s="724"/>
      <c r="BK85" s="725"/>
      <c r="BL85" s="726"/>
      <c r="BM85" s="724">
        <v>42459</v>
      </c>
      <c r="BN85" s="725">
        <v>0.434</v>
      </c>
      <c r="BO85" s="726"/>
      <c r="BP85" s="724"/>
      <c r="BQ85" s="725"/>
      <c r="BR85" s="726"/>
      <c r="BS85" s="724">
        <v>42521</v>
      </c>
      <c r="BT85" s="725">
        <v>0.46884999999999999</v>
      </c>
      <c r="BU85" s="726"/>
      <c r="BV85" s="724">
        <v>42551</v>
      </c>
      <c r="BW85" s="725">
        <v>0.46505000000000002</v>
      </c>
      <c r="BX85" s="726"/>
      <c r="BY85" s="724"/>
      <c r="BZ85" s="725"/>
      <c r="CA85" s="726"/>
      <c r="CB85" s="724">
        <v>42612</v>
      </c>
      <c r="CC85" s="725">
        <v>0.52322000000000002</v>
      </c>
    </row>
    <row r="86" spans="1:82" ht="15.75">
      <c r="A86" s="882"/>
      <c r="B86" s="506" t="s">
        <v>884</v>
      </c>
      <c r="C86" s="882"/>
      <c r="D86" s="882"/>
      <c r="E86" s="882"/>
      <c r="F86" s="882"/>
      <c r="G86" s="882"/>
      <c r="H86" s="882"/>
      <c r="I86" s="882"/>
      <c r="J86" s="882"/>
      <c r="K86" s="882"/>
      <c r="L86" s="882"/>
      <c r="M86" s="52"/>
      <c r="W86" s="726"/>
      <c r="X86" s="726"/>
      <c r="Y86" s="726"/>
      <c r="Z86" s="726"/>
      <c r="AA86" s="726"/>
      <c r="AB86" s="726"/>
      <c r="AC86" s="726"/>
      <c r="AD86" s="726"/>
      <c r="AE86" s="726"/>
      <c r="AF86" s="726"/>
      <c r="AG86" s="726"/>
      <c r="AH86" s="726"/>
      <c r="AI86" s="726"/>
      <c r="AJ86" s="726"/>
      <c r="AK86" s="726"/>
      <c r="AL86" s="726"/>
      <c r="AM86" s="726"/>
      <c r="AN86" s="726"/>
      <c r="AO86" s="724">
        <v>42216</v>
      </c>
      <c r="AP86" s="725">
        <v>0.19175</v>
      </c>
      <c r="AQ86" s="726"/>
      <c r="AR86" s="724"/>
      <c r="AS86" s="725"/>
      <c r="AT86" s="726"/>
      <c r="AU86" s="726"/>
      <c r="AV86" s="726"/>
      <c r="AW86" s="726"/>
      <c r="AX86" s="726"/>
      <c r="AY86" s="726"/>
      <c r="AZ86" s="726"/>
      <c r="BA86" s="724"/>
      <c r="BB86" s="725"/>
      <c r="BC86" s="726"/>
      <c r="BD86" s="724">
        <v>42369</v>
      </c>
      <c r="BE86" s="725">
        <v>0.42949999999999999</v>
      </c>
      <c r="BF86" s="726"/>
      <c r="BG86" s="724"/>
      <c r="BH86" s="725"/>
      <c r="BI86" s="726"/>
      <c r="BJ86" s="726"/>
      <c r="BK86" s="726"/>
      <c r="BL86" s="726"/>
      <c r="BM86" s="724">
        <v>42460</v>
      </c>
      <c r="BN86" s="725">
        <v>0.43725000000000003</v>
      </c>
      <c r="BO86" s="726"/>
      <c r="BP86" s="724"/>
      <c r="BQ86" s="725"/>
      <c r="BR86" s="726"/>
      <c r="BS86" s="724"/>
      <c r="BT86" s="725"/>
      <c r="BU86" s="726"/>
      <c r="BV86" s="724"/>
      <c r="BW86" s="725"/>
      <c r="BX86" s="726"/>
      <c r="BY86" s="724"/>
      <c r="BZ86" s="725"/>
      <c r="CA86" s="726"/>
      <c r="CB86" s="724">
        <v>42613</v>
      </c>
      <c r="CC86" s="725">
        <v>0.52488999999999997</v>
      </c>
    </row>
    <row r="87" spans="1:82" ht="15.75">
      <c r="A87" s="882"/>
      <c r="B87" s="969" t="s">
        <v>877</v>
      </c>
      <c r="C87" s="969"/>
      <c r="D87" s="969"/>
      <c r="E87" s="969"/>
      <c r="F87" s="969"/>
      <c r="G87" s="969"/>
      <c r="H87" s="969"/>
      <c r="I87" s="969"/>
      <c r="J87" s="969"/>
      <c r="K87" s="969"/>
      <c r="L87" s="883"/>
      <c r="M87" s="52"/>
      <c r="W87" s="674"/>
      <c r="X87" s="675"/>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row>
    <row r="88" spans="1:82" ht="15.75">
      <c r="A88" s="882"/>
      <c r="B88" s="882"/>
      <c r="C88" s="672" t="s">
        <v>878</v>
      </c>
      <c r="D88" s="882"/>
      <c r="E88" s="882"/>
      <c r="F88" s="882"/>
      <c r="G88" s="882"/>
      <c r="H88" s="882"/>
      <c r="I88" s="882"/>
      <c r="J88" s="882"/>
      <c r="K88" s="882"/>
      <c r="L88" s="863"/>
      <c r="M88" s="621"/>
      <c r="W88" s="674"/>
      <c r="X88" s="675"/>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row>
    <row r="89" spans="1:82" ht="15.75">
      <c r="A89" s="882"/>
      <c r="B89" s="969" t="s">
        <v>879</v>
      </c>
      <c r="C89" s="969"/>
      <c r="D89" s="969"/>
      <c r="E89" s="969"/>
      <c r="F89" s="969"/>
      <c r="G89" s="969"/>
      <c r="H89" s="969"/>
      <c r="I89" s="969"/>
      <c r="J89" s="969"/>
      <c r="K89" s="969"/>
      <c r="L89" s="883"/>
      <c r="M89" s="621"/>
      <c r="N89" s="674"/>
      <c r="O89" s="675"/>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row>
    <row r="90" spans="1:82" ht="15.75">
      <c r="A90" s="621"/>
      <c r="B90" s="621"/>
      <c r="C90" s="672" t="s">
        <v>880</v>
      </c>
      <c r="D90" s="621"/>
      <c r="E90" s="621"/>
      <c r="F90" s="621"/>
      <c r="G90" s="621"/>
      <c r="H90" s="621"/>
      <c r="I90" s="621"/>
      <c r="J90" s="621"/>
      <c r="K90" s="621"/>
      <c r="L90" s="52"/>
      <c r="M90" s="621"/>
      <c r="N90" s="674"/>
      <c r="O90" s="675"/>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row>
    <row r="91" spans="1:82" ht="15.4" customHeight="1">
      <c r="A91" s="621"/>
      <c r="B91" s="506" t="s">
        <v>881</v>
      </c>
      <c r="C91" s="621"/>
      <c r="D91" s="621"/>
      <c r="E91" s="621"/>
      <c r="F91" s="621"/>
      <c r="G91" s="621"/>
      <c r="H91" s="621"/>
      <c r="I91" s="621"/>
      <c r="J91" s="621"/>
      <c r="K91" s="621"/>
      <c r="L91" s="52"/>
      <c r="M91" s="857"/>
      <c r="N91" s="674"/>
      <c r="O91" s="675"/>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0"/>
      <c r="BS91" s="510"/>
      <c r="BT91" s="510"/>
      <c r="BU91" s="510"/>
      <c r="BV91" s="510"/>
    </row>
    <row r="92" spans="1:82" ht="15.75">
      <c r="A92" s="621"/>
      <c r="B92" s="506" t="s">
        <v>918</v>
      </c>
      <c r="C92" s="621"/>
      <c r="D92" s="621"/>
      <c r="E92" s="621"/>
      <c r="F92" s="621"/>
      <c r="G92" s="621"/>
      <c r="H92" s="621"/>
      <c r="I92" s="621"/>
      <c r="J92" s="621"/>
      <c r="K92" s="621"/>
      <c r="L92" s="52"/>
      <c r="M92" s="52"/>
      <c r="N92" s="674"/>
      <c r="O92" s="675"/>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Q92" s="510"/>
      <c r="BR92" s="510"/>
      <c r="BS92" s="510"/>
      <c r="BT92" s="510"/>
      <c r="BU92" s="510"/>
      <c r="BV92" s="510"/>
    </row>
    <row r="93" spans="1:82" ht="15.4" customHeight="1">
      <c r="A93" s="621"/>
      <c r="B93" s="506" t="s">
        <v>919</v>
      </c>
      <c r="C93" s="621"/>
      <c r="D93" s="621"/>
      <c r="E93" s="621"/>
      <c r="F93" s="621"/>
      <c r="G93" s="621"/>
      <c r="H93" s="621"/>
      <c r="I93" s="621"/>
      <c r="J93" s="621"/>
      <c r="K93" s="621"/>
      <c r="L93" s="52"/>
      <c r="M93" s="857"/>
      <c r="N93" s="674"/>
      <c r="O93" s="675"/>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Q93" s="510"/>
      <c r="BR93" s="510"/>
      <c r="BS93" s="510"/>
      <c r="BT93" s="510"/>
      <c r="BU93" s="510"/>
      <c r="BV93" s="510"/>
    </row>
    <row r="94" spans="1:82" ht="15.75">
      <c r="M94" s="52"/>
      <c r="N94" s="674"/>
      <c r="O94" s="675"/>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row>
    <row r="95" spans="1:82" ht="15.75">
      <c r="M95" s="52"/>
      <c r="N95" s="674"/>
      <c r="O95" s="675"/>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row>
    <row r="96" spans="1:82" ht="15.75">
      <c r="M96" s="52"/>
      <c r="N96" s="674"/>
      <c r="O96" s="675"/>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Q96" s="510"/>
      <c r="BR96" s="510"/>
      <c r="BS96" s="510"/>
      <c r="BT96" s="510"/>
      <c r="BU96" s="510"/>
      <c r="BV96" s="510"/>
    </row>
    <row r="97" spans="1:74" ht="15.75">
      <c r="M97" s="52"/>
      <c r="N97" s="674"/>
      <c r="O97" s="675"/>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Q97" s="510"/>
      <c r="BR97" s="510"/>
      <c r="BS97" s="510"/>
      <c r="BT97" s="510"/>
      <c r="BU97" s="510"/>
      <c r="BV97" s="510"/>
    </row>
    <row r="98" spans="1:74">
      <c r="A98" s="510"/>
      <c r="B98" s="510"/>
      <c r="C98" s="510"/>
      <c r="D98" s="510"/>
      <c r="E98" s="510"/>
      <c r="F98" s="510"/>
      <c r="G98" s="510"/>
      <c r="H98" s="510"/>
      <c r="I98" s="510"/>
      <c r="J98" s="510"/>
      <c r="K98" s="510"/>
      <c r="L98" s="510"/>
      <c r="M98" s="510"/>
      <c r="N98" s="674"/>
      <c r="O98" s="675"/>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Q98" s="510"/>
      <c r="BR98" s="510"/>
      <c r="BS98" s="510"/>
      <c r="BT98" s="510"/>
      <c r="BU98" s="510"/>
      <c r="BV98" s="510"/>
    </row>
    <row r="99" spans="1:74">
      <c r="A99" s="510"/>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Q99" s="510"/>
      <c r="BR99" s="510"/>
      <c r="BS99" s="510"/>
      <c r="BT99" s="510"/>
      <c r="BU99" s="510"/>
      <c r="BV99" s="510"/>
    </row>
    <row r="100" spans="1:74">
      <c r="A100" s="510"/>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Q100" s="510"/>
      <c r="BR100" s="510"/>
      <c r="BS100" s="510"/>
      <c r="BT100" s="510"/>
      <c r="BU100" s="510"/>
      <c r="BV100" s="510"/>
    </row>
    <row r="101" spans="1:74">
      <c r="A101" s="510"/>
      <c r="B101" s="510"/>
      <c r="C101" s="510"/>
      <c r="D101" s="510"/>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10"/>
      <c r="BC101" s="510"/>
      <c r="BD101" s="510"/>
      <c r="BE101" s="510"/>
      <c r="BF101" s="510"/>
      <c r="BG101" s="510"/>
      <c r="BH101" s="510"/>
      <c r="BI101" s="510"/>
      <c r="BJ101" s="510"/>
      <c r="BK101" s="510"/>
      <c r="BL101" s="510"/>
      <c r="BM101" s="510"/>
      <c r="BN101" s="510"/>
      <c r="BO101" s="510"/>
      <c r="BP101" s="510"/>
      <c r="BQ101" s="510"/>
      <c r="BR101" s="510"/>
      <c r="BS101" s="510"/>
      <c r="BT101" s="510"/>
      <c r="BU101" s="510"/>
      <c r="BV101" s="510"/>
    </row>
    <row r="102" spans="1:74">
      <c r="A102" s="510"/>
      <c r="B102" s="510"/>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c r="BS102" s="510"/>
      <c r="BT102" s="510"/>
      <c r="BU102" s="510"/>
      <c r="BV102" s="510"/>
    </row>
    <row r="103" spans="1:74">
      <c r="A103" s="510"/>
      <c r="B103" s="510"/>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row>
    <row r="104" spans="1:74">
      <c r="A104" s="510"/>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row>
    <row r="105" spans="1:74">
      <c r="A105" s="510"/>
      <c r="B105" s="51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row>
    <row r="106" spans="1:74">
      <c r="A106" s="510"/>
      <c r="B106" s="510"/>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0"/>
      <c r="AC106" s="510"/>
      <c r="AD106" s="510"/>
      <c r="AE106" s="510"/>
      <c r="AF106" s="510"/>
      <c r="AG106" s="510"/>
      <c r="AH106" s="510"/>
      <c r="AI106" s="510"/>
      <c r="AJ106" s="510"/>
      <c r="AK106" s="510"/>
      <c r="AL106" s="510"/>
      <c r="AM106" s="510"/>
      <c r="AN106" s="510"/>
      <c r="AO106" s="510"/>
      <c r="AP106" s="510"/>
      <c r="AQ106" s="510"/>
      <c r="AR106" s="510"/>
      <c r="AS106" s="510"/>
      <c r="AT106" s="510"/>
      <c r="AU106" s="510"/>
      <c r="AV106" s="510"/>
      <c r="AW106" s="510"/>
      <c r="AX106" s="510"/>
      <c r="AY106" s="510"/>
      <c r="AZ106" s="510"/>
      <c r="BA106" s="510"/>
      <c r="BB106" s="510"/>
      <c r="BC106" s="510"/>
      <c r="BD106" s="510"/>
      <c r="BE106" s="510"/>
      <c r="BF106" s="510"/>
      <c r="BG106" s="510"/>
      <c r="BH106" s="510"/>
      <c r="BI106" s="510"/>
      <c r="BJ106" s="510"/>
      <c r="BK106" s="510"/>
      <c r="BL106" s="510"/>
      <c r="BM106" s="510"/>
      <c r="BN106" s="510"/>
      <c r="BO106" s="510"/>
      <c r="BP106" s="510"/>
      <c r="BQ106" s="510"/>
      <c r="BR106" s="510"/>
      <c r="BS106" s="510"/>
      <c r="BT106" s="510"/>
      <c r="BU106" s="510"/>
      <c r="BV106" s="510"/>
    </row>
    <row r="107" spans="1:74">
      <c r="A107" s="510"/>
      <c r="B107" s="510"/>
      <c r="C107" s="510"/>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0"/>
      <c r="AD107" s="510"/>
      <c r="AE107" s="510"/>
      <c r="AF107" s="510"/>
      <c r="AG107" s="510"/>
      <c r="AH107" s="510"/>
      <c r="AI107" s="510"/>
      <c r="AJ107" s="510"/>
      <c r="AK107" s="510"/>
      <c r="AL107" s="510"/>
      <c r="AM107" s="510"/>
      <c r="AN107" s="510"/>
      <c r="AO107" s="510"/>
      <c r="AP107" s="510"/>
      <c r="AQ107" s="510"/>
      <c r="AR107" s="510"/>
      <c r="AS107" s="510"/>
      <c r="AT107" s="510"/>
      <c r="AU107" s="510"/>
      <c r="AV107" s="510"/>
      <c r="AW107" s="510"/>
      <c r="AX107" s="510"/>
      <c r="AY107" s="510"/>
      <c r="AZ107" s="510"/>
      <c r="BA107" s="510"/>
      <c r="BB107" s="510"/>
      <c r="BC107" s="510"/>
      <c r="BD107" s="510"/>
      <c r="BE107" s="510"/>
      <c r="BF107" s="510"/>
      <c r="BG107" s="510"/>
      <c r="BH107" s="510"/>
      <c r="BI107" s="510"/>
      <c r="BJ107" s="510"/>
      <c r="BK107" s="510"/>
      <c r="BL107" s="510"/>
      <c r="BM107" s="510"/>
      <c r="BN107" s="510"/>
      <c r="BO107" s="510"/>
      <c r="BP107" s="510"/>
      <c r="BQ107" s="510"/>
      <c r="BR107" s="510"/>
      <c r="BS107" s="510"/>
      <c r="BT107" s="510"/>
      <c r="BU107" s="510"/>
      <c r="BV107" s="510"/>
    </row>
    <row r="108" spans="1:74">
      <c r="A108" s="510"/>
      <c r="B108" s="510"/>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0"/>
      <c r="AC108" s="510"/>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10"/>
      <c r="AY108" s="510"/>
      <c r="AZ108" s="510"/>
      <c r="BA108" s="510"/>
      <c r="BB108" s="510"/>
      <c r="BC108" s="510"/>
      <c r="BD108" s="510"/>
      <c r="BE108" s="510"/>
      <c r="BF108" s="510"/>
      <c r="BG108" s="510"/>
      <c r="BH108" s="510"/>
      <c r="BI108" s="510"/>
      <c r="BJ108" s="510"/>
      <c r="BK108" s="510"/>
      <c r="BL108" s="510"/>
      <c r="BM108" s="510"/>
      <c r="BN108" s="510"/>
      <c r="BO108" s="510"/>
      <c r="BP108" s="510"/>
      <c r="BQ108" s="510"/>
      <c r="BR108" s="510"/>
      <c r="BS108" s="510"/>
      <c r="BT108" s="510"/>
      <c r="BU108" s="510"/>
      <c r="BV108" s="510"/>
    </row>
    <row r="109" spans="1:74">
      <c r="A109" s="510"/>
      <c r="B109" s="510"/>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0"/>
      <c r="AC109" s="510"/>
      <c r="AD109" s="510"/>
      <c r="AE109" s="510"/>
      <c r="AF109" s="510"/>
      <c r="AG109" s="510"/>
      <c r="AH109" s="510"/>
      <c r="AI109" s="510"/>
      <c r="AJ109" s="510"/>
      <c r="AK109" s="510"/>
      <c r="AL109" s="510"/>
      <c r="AM109" s="510"/>
      <c r="AN109" s="510"/>
      <c r="AO109" s="510"/>
      <c r="AP109" s="510"/>
      <c r="AQ109" s="510"/>
      <c r="AR109" s="510"/>
      <c r="AS109" s="510"/>
      <c r="AT109" s="510"/>
      <c r="AU109" s="510"/>
      <c r="AV109" s="510"/>
      <c r="AW109" s="510"/>
      <c r="AX109" s="510"/>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c r="BS109" s="510"/>
      <c r="BT109" s="510"/>
      <c r="BU109" s="510"/>
      <c r="BV109" s="510"/>
    </row>
    <row r="110" spans="1:74">
      <c r="A110" s="510"/>
      <c r="B110" s="510"/>
      <c r="C110" s="510"/>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0"/>
      <c r="AY110" s="510"/>
      <c r="AZ110" s="510"/>
      <c r="BA110" s="510"/>
      <c r="BB110" s="510"/>
      <c r="BC110" s="510"/>
      <c r="BD110" s="510"/>
      <c r="BE110" s="510"/>
      <c r="BF110" s="510"/>
      <c r="BG110" s="510"/>
      <c r="BH110" s="510"/>
      <c r="BI110" s="510"/>
      <c r="BJ110" s="510"/>
      <c r="BK110" s="510"/>
      <c r="BL110" s="510"/>
      <c r="BM110" s="510"/>
      <c r="BN110" s="510"/>
      <c r="BO110" s="510"/>
      <c r="BP110" s="510"/>
      <c r="BQ110" s="510"/>
      <c r="BR110" s="510"/>
      <c r="BS110" s="510"/>
      <c r="BT110" s="510"/>
      <c r="BU110" s="510"/>
      <c r="BV110" s="510"/>
    </row>
    <row r="111" spans="1:74">
      <c r="A111" s="510"/>
      <c r="B111" s="510"/>
      <c r="C111" s="510"/>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0"/>
      <c r="AY111" s="510"/>
      <c r="AZ111" s="510"/>
      <c r="BA111" s="510"/>
      <c r="BB111" s="510"/>
      <c r="BC111" s="510"/>
      <c r="BD111" s="510"/>
      <c r="BE111" s="510"/>
      <c r="BF111" s="510"/>
      <c r="BG111" s="510"/>
      <c r="BH111" s="510"/>
      <c r="BI111" s="510"/>
      <c r="BJ111" s="510"/>
      <c r="BK111" s="510"/>
      <c r="BL111" s="510"/>
      <c r="BM111" s="510"/>
      <c r="BN111" s="510"/>
      <c r="BO111" s="510"/>
      <c r="BP111" s="510"/>
      <c r="BQ111" s="510"/>
      <c r="BR111" s="510"/>
      <c r="BS111" s="510"/>
      <c r="BT111" s="510"/>
      <c r="BU111" s="510"/>
      <c r="BV111" s="510"/>
    </row>
    <row r="112" spans="1:74">
      <c r="A112" s="510"/>
      <c r="B112" s="510"/>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c r="AN112" s="510"/>
      <c r="AO112" s="510"/>
      <c r="AP112" s="510"/>
      <c r="AQ112" s="510"/>
      <c r="AR112" s="510"/>
      <c r="AS112" s="510"/>
      <c r="AT112" s="510"/>
      <c r="AU112" s="510"/>
      <c r="AV112" s="510"/>
      <c r="AW112" s="510"/>
      <c r="AX112" s="510"/>
      <c r="AY112" s="510"/>
      <c r="AZ112" s="510"/>
      <c r="BA112" s="510"/>
      <c r="BB112" s="510"/>
      <c r="BC112" s="510"/>
      <c r="BD112" s="510"/>
      <c r="BE112" s="510"/>
      <c r="BF112" s="510"/>
      <c r="BG112" s="510"/>
      <c r="BH112" s="510"/>
      <c r="BI112" s="510"/>
      <c r="BJ112" s="510"/>
      <c r="BK112" s="510"/>
      <c r="BL112" s="510"/>
      <c r="BM112" s="510"/>
      <c r="BN112" s="510"/>
      <c r="BO112" s="510"/>
      <c r="BP112" s="510"/>
      <c r="BQ112" s="510"/>
      <c r="BR112" s="510"/>
      <c r="BS112" s="510"/>
      <c r="BT112" s="510"/>
      <c r="BU112" s="510"/>
      <c r="BV112" s="510"/>
    </row>
    <row r="113" spans="1:74">
      <c r="A113" s="510"/>
      <c r="B113" s="510"/>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510"/>
      <c r="BI113" s="510"/>
      <c r="BJ113" s="510"/>
      <c r="BK113" s="510"/>
      <c r="BL113" s="510"/>
      <c r="BM113" s="510"/>
      <c r="BN113" s="510"/>
      <c r="BO113" s="510"/>
      <c r="BP113" s="510"/>
      <c r="BQ113" s="510"/>
      <c r="BR113" s="510"/>
      <c r="BS113" s="510"/>
      <c r="BT113" s="510"/>
      <c r="BU113" s="510"/>
      <c r="BV113" s="510"/>
    </row>
    <row r="114" spans="1:74">
      <c r="A114" s="510"/>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0"/>
      <c r="AZ114" s="510"/>
      <c r="BA114" s="510"/>
      <c r="BB114" s="510"/>
      <c r="BC114" s="510"/>
      <c r="BD114" s="510"/>
      <c r="BE114" s="510"/>
      <c r="BF114" s="510"/>
      <c r="BG114" s="510"/>
      <c r="BH114" s="510"/>
      <c r="BI114" s="510"/>
      <c r="BJ114" s="510"/>
      <c r="BK114" s="510"/>
      <c r="BL114" s="510"/>
      <c r="BM114" s="510"/>
      <c r="BN114" s="510"/>
      <c r="BO114" s="510"/>
      <c r="BP114" s="510"/>
      <c r="BQ114" s="510"/>
      <c r="BR114" s="510"/>
      <c r="BS114" s="510"/>
      <c r="BT114" s="510"/>
      <c r="BU114" s="510"/>
      <c r="BV114" s="510"/>
    </row>
    <row r="115" spans="1:74">
      <c r="A115" s="510"/>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510"/>
      <c r="BA115" s="510"/>
      <c r="BB115" s="510"/>
      <c r="BC115" s="510"/>
      <c r="BD115" s="510"/>
      <c r="BE115" s="510"/>
      <c r="BF115" s="510"/>
      <c r="BG115" s="510"/>
      <c r="BH115" s="510"/>
      <c r="BI115" s="510"/>
      <c r="BJ115" s="510"/>
      <c r="BK115" s="510"/>
      <c r="BL115" s="510"/>
      <c r="BM115" s="510"/>
      <c r="BN115" s="510"/>
      <c r="BO115" s="510"/>
      <c r="BP115" s="510"/>
      <c r="BQ115" s="510"/>
      <c r="BR115" s="510"/>
      <c r="BS115" s="510"/>
      <c r="BT115" s="510"/>
      <c r="BU115" s="510"/>
      <c r="BV115" s="510"/>
    </row>
    <row r="116" spans="1:74">
      <c r="A116" s="510"/>
      <c r="B116" s="510"/>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510"/>
      <c r="BA116" s="510"/>
      <c r="BB116" s="510"/>
      <c r="BC116" s="510"/>
      <c r="BD116" s="510"/>
      <c r="BE116" s="510"/>
      <c r="BF116" s="510"/>
      <c r="BG116" s="510"/>
      <c r="BH116" s="510"/>
      <c r="BI116" s="510"/>
      <c r="BJ116" s="510"/>
      <c r="BK116" s="510"/>
      <c r="BL116" s="510"/>
      <c r="BM116" s="510"/>
      <c r="BN116" s="510"/>
      <c r="BO116" s="510"/>
      <c r="BP116" s="510"/>
      <c r="BQ116" s="510"/>
      <c r="BR116" s="510"/>
      <c r="BS116" s="510"/>
      <c r="BT116" s="510"/>
      <c r="BU116" s="510"/>
      <c r="BV116" s="510"/>
    </row>
    <row r="117" spans="1:74">
      <c r="A117" s="510"/>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0"/>
      <c r="AY117" s="510"/>
      <c r="AZ117" s="510"/>
      <c r="BA117" s="510"/>
      <c r="BB117" s="510"/>
      <c r="BC117" s="510"/>
      <c r="BD117" s="510"/>
      <c r="BE117" s="510"/>
      <c r="BF117" s="510"/>
      <c r="BG117" s="510"/>
      <c r="BH117" s="510"/>
      <c r="BI117" s="510"/>
      <c r="BJ117" s="510"/>
      <c r="BK117" s="510"/>
      <c r="BL117" s="510"/>
      <c r="BM117" s="510"/>
      <c r="BN117" s="510"/>
      <c r="BO117" s="510"/>
      <c r="BP117" s="510"/>
      <c r="BQ117" s="510"/>
      <c r="BR117" s="510"/>
      <c r="BS117" s="510"/>
      <c r="BT117" s="510"/>
      <c r="BU117" s="510"/>
      <c r="BV117" s="510"/>
    </row>
    <row r="118" spans="1:74">
      <c r="A118" s="510"/>
      <c r="B118" s="510"/>
      <c r="C118" s="510"/>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c r="AN118" s="510"/>
      <c r="AO118" s="510"/>
      <c r="AP118" s="510"/>
      <c r="AQ118" s="510"/>
      <c r="AR118" s="510"/>
      <c r="AS118" s="510"/>
      <c r="AT118" s="510"/>
      <c r="AU118" s="510"/>
      <c r="AV118" s="510"/>
      <c r="AW118" s="510"/>
      <c r="AX118" s="510"/>
      <c r="AY118" s="510"/>
      <c r="AZ118" s="510"/>
      <c r="BA118" s="510"/>
      <c r="BB118" s="510"/>
      <c r="BC118" s="510"/>
      <c r="BD118" s="510"/>
      <c r="BE118" s="510"/>
      <c r="BF118" s="510"/>
      <c r="BG118" s="510"/>
      <c r="BH118" s="510"/>
      <c r="BI118" s="510"/>
      <c r="BJ118" s="510"/>
      <c r="BK118" s="510"/>
      <c r="BL118" s="510"/>
      <c r="BM118" s="510"/>
      <c r="BN118" s="510"/>
      <c r="BO118" s="510"/>
      <c r="BP118" s="510"/>
      <c r="BQ118" s="510"/>
      <c r="BR118" s="510"/>
      <c r="BS118" s="510"/>
      <c r="BT118" s="510"/>
      <c r="BU118" s="510"/>
      <c r="BV118" s="510"/>
    </row>
    <row r="119" spans="1:74">
      <c r="A119" s="510"/>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c r="AN119" s="510"/>
      <c r="AO119" s="510"/>
      <c r="AP119" s="510"/>
      <c r="AQ119" s="510"/>
      <c r="AR119" s="510"/>
      <c r="AS119" s="510"/>
      <c r="AT119" s="510"/>
      <c r="AU119" s="510"/>
      <c r="AV119" s="510"/>
      <c r="AW119" s="510"/>
      <c r="AX119" s="510"/>
      <c r="AY119" s="510"/>
      <c r="AZ119" s="510"/>
      <c r="BA119" s="510"/>
      <c r="BB119" s="510"/>
      <c r="BC119" s="510"/>
      <c r="BD119" s="510"/>
      <c r="BE119" s="510"/>
      <c r="BF119" s="510"/>
      <c r="BG119" s="510"/>
      <c r="BH119" s="510"/>
      <c r="BI119" s="510"/>
      <c r="BJ119" s="510"/>
      <c r="BK119" s="510"/>
      <c r="BL119" s="510"/>
      <c r="BM119" s="510"/>
      <c r="BN119" s="510"/>
      <c r="BO119" s="510"/>
      <c r="BP119" s="510"/>
      <c r="BQ119" s="510"/>
      <c r="BR119" s="510"/>
      <c r="BS119" s="510"/>
      <c r="BT119" s="510"/>
      <c r="BU119" s="510"/>
      <c r="BV119" s="510"/>
    </row>
    <row r="120" spans="1:74">
      <c r="A120" s="510"/>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c r="BS120" s="510"/>
      <c r="BT120" s="510"/>
      <c r="BU120" s="510"/>
      <c r="BV120" s="510"/>
    </row>
    <row r="121" spans="1:74">
      <c r="A121" s="510"/>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row>
    <row r="122" spans="1:74">
      <c r="A122" s="510"/>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c r="AN122" s="510"/>
      <c r="AO122" s="510"/>
      <c r="AP122" s="510"/>
      <c r="AQ122" s="510"/>
      <c r="AR122" s="510"/>
      <c r="AS122" s="510"/>
      <c r="AT122" s="510"/>
      <c r="AU122" s="510"/>
      <c r="AV122" s="510"/>
      <c r="AW122" s="510"/>
      <c r="AX122" s="510"/>
      <c r="AY122" s="510"/>
      <c r="AZ122" s="510"/>
      <c r="BA122" s="510"/>
      <c r="BB122" s="510"/>
      <c r="BC122" s="510"/>
      <c r="BD122" s="510"/>
      <c r="BE122" s="510"/>
      <c r="BF122" s="510"/>
      <c r="BG122" s="510"/>
      <c r="BH122" s="510"/>
      <c r="BI122" s="510"/>
      <c r="BJ122" s="510"/>
      <c r="BK122" s="510"/>
      <c r="BL122" s="510"/>
      <c r="BM122" s="510"/>
      <c r="BN122" s="510"/>
      <c r="BO122" s="510"/>
      <c r="BP122" s="510"/>
      <c r="BQ122" s="510"/>
      <c r="BR122" s="510"/>
      <c r="BS122" s="510"/>
      <c r="BT122" s="510"/>
      <c r="BU122" s="510"/>
      <c r="BV122" s="510"/>
    </row>
    <row r="123" spans="1:74">
      <c r="A123" s="510"/>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0"/>
      <c r="AX123" s="510"/>
      <c r="AY123" s="510"/>
      <c r="AZ123" s="510"/>
      <c r="BA123" s="510"/>
      <c r="BB123" s="510"/>
      <c r="BC123" s="510"/>
      <c r="BD123" s="510"/>
      <c r="BE123" s="510"/>
      <c r="BF123" s="510"/>
      <c r="BG123" s="510"/>
      <c r="BH123" s="510"/>
      <c r="BI123" s="510"/>
      <c r="BJ123" s="510"/>
      <c r="BK123" s="510"/>
      <c r="BL123" s="510"/>
      <c r="BM123" s="510"/>
      <c r="BN123" s="510"/>
      <c r="BO123" s="510"/>
      <c r="BP123" s="510"/>
      <c r="BQ123" s="510"/>
      <c r="BR123" s="510"/>
      <c r="BS123" s="510"/>
      <c r="BT123" s="510"/>
      <c r="BU123" s="510"/>
      <c r="BV123" s="510"/>
    </row>
    <row r="124" spans="1:74">
      <c r="A124" s="510"/>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0"/>
      <c r="BQ124" s="510"/>
      <c r="BR124" s="510"/>
      <c r="BS124" s="510"/>
      <c r="BT124" s="510"/>
      <c r="BU124" s="510"/>
      <c r="BV124" s="510"/>
    </row>
    <row r="125" spans="1:74">
      <c r="A125" s="510"/>
      <c r="B125" s="510"/>
      <c r="C125" s="510"/>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c r="AA125" s="510"/>
      <c r="AB125" s="510"/>
      <c r="AC125" s="510"/>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0"/>
      <c r="AY125" s="510"/>
      <c r="AZ125" s="510"/>
      <c r="BA125" s="510"/>
      <c r="BB125" s="510"/>
      <c r="BC125" s="510"/>
      <c r="BD125" s="510"/>
      <c r="BE125" s="510"/>
      <c r="BF125" s="510"/>
      <c r="BG125" s="510"/>
      <c r="BH125" s="510"/>
      <c r="BI125" s="510"/>
      <c r="BJ125" s="510"/>
      <c r="BK125" s="510"/>
      <c r="BL125" s="510"/>
      <c r="BM125" s="510"/>
      <c r="BN125" s="510"/>
      <c r="BO125" s="510"/>
      <c r="BP125" s="510"/>
      <c r="BQ125" s="510"/>
      <c r="BR125" s="510"/>
      <c r="BS125" s="510"/>
      <c r="BT125" s="510"/>
      <c r="BU125" s="510"/>
      <c r="BV125" s="510"/>
    </row>
    <row r="126" spans="1:74">
      <c r="A126" s="510"/>
      <c r="B126" s="510"/>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c r="AA126" s="510"/>
      <c r="AB126" s="510"/>
      <c r="AC126" s="510"/>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0"/>
      <c r="AY126" s="510"/>
      <c r="AZ126" s="510"/>
      <c r="BA126" s="510"/>
      <c r="BB126" s="510"/>
      <c r="BC126" s="510"/>
      <c r="BD126" s="510"/>
      <c r="BE126" s="510"/>
      <c r="BF126" s="510"/>
      <c r="BG126" s="510"/>
      <c r="BH126" s="510"/>
      <c r="BI126" s="510"/>
      <c r="BJ126" s="510"/>
      <c r="BK126" s="510"/>
      <c r="BL126" s="510"/>
      <c r="BM126" s="510"/>
      <c r="BN126" s="510"/>
      <c r="BO126" s="510"/>
      <c r="BP126" s="510"/>
      <c r="BQ126" s="510"/>
      <c r="BR126" s="510"/>
      <c r="BS126" s="510"/>
      <c r="BT126" s="510"/>
      <c r="BU126" s="510"/>
      <c r="BV126" s="510"/>
    </row>
    <row r="127" spans="1:74">
      <c r="A127" s="510"/>
      <c r="B127" s="510"/>
      <c r="C127" s="510"/>
      <c r="D127" s="510"/>
      <c r="E127" s="510"/>
      <c r="F127" s="510"/>
      <c r="G127" s="510"/>
      <c r="H127" s="510"/>
      <c r="I127" s="510"/>
      <c r="J127" s="510"/>
      <c r="K127" s="510"/>
      <c r="L127" s="510"/>
      <c r="M127" s="510"/>
      <c r="N127" s="510"/>
      <c r="O127" s="510"/>
      <c r="P127" s="510"/>
      <c r="Q127" s="510"/>
      <c r="R127" s="510"/>
      <c r="S127" s="510"/>
      <c r="T127" s="510"/>
      <c r="U127" s="510"/>
      <c r="V127" s="510"/>
      <c r="W127" s="510"/>
      <c r="X127" s="510"/>
      <c r="Y127" s="510"/>
      <c r="Z127" s="510"/>
      <c r="AA127" s="510"/>
      <c r="AB127" s="510"/>
      <c r="AC127" s="510"/>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0"/>
      <c r="AY127" s="510"/>
      <c r="AZ127" s="510"/>
      <c r="BA127" s="510"/>
      <c r="BB127" s="510"/>
      <c r="BC127" s="510"/>
      <c r="BD127" s="510"/>
      <c r="BE127" s="510"/>
      <c r="BF127" s="510"/>
      <c r="BG127" s="510"/>
      <c r="BH127" s="510"/>
      <c r="BI127" s="510"/>
      <c r="BJ127" s="510"/>
      <c r="BK127" s="510"/>
      <c r="BL127" s="510"/>
      <c r="BM127" s="510"/>
      <c r="BN127" s="510"/>
      <c r="BO127" s="510"/>
      <c r="BP127" s="510"/>
      <c r="BQ127" s="510"/>
      <c r="BR127" s="510"/>
      <c r="BS127" s="510"/>
      <c r="BT127" s="510"/>
      <c r="BU127" s="510"/>
      <c r="BV127" s="510"/>
    </row>
    <row r="128" spans="1:74">
      <c r="A128" s="510"/>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0"/>
      <c r="AY128" s="510"/>
      <c r="AZ128" s="510"/>
      <c r="BA128" s="510"/>
      <c r="BB128" s="510"/>
      <c r="BC128" s="510"/>
      <c r="BD128" s="510"/>
      <c r="BE128" s="510"/>
      <c r="BF128" s="510"/>
      <c r="BG128" s="510"/>
      <c r="BH128" s="510"/>
      <c r="BI128" s="510"/>
      <c r="BJ128" s="510"/>
      <c r="BK128" s="510"/>
      <c r="BL128" s="510"/>
      <c r="BM128" s="510"/>
      <c r="BN128" s="510"/>
      <c r="BO128" s="510"/>
      <c r="BP128" s="510"/>
      <c r="BQ128" s="510"/>
      <c r="BR128" s="510"/>
      <c r="BS128" s="510"/>
      <c r="BT128" s="510"/>
      <c r="BU128" s="510"/>
      <c r="BV128" s="510"/>
    </row>
    <row r="129" spans="1:74">
      <c r="A129" s="510"/>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c r="AO129" s="510"/>
      <c r="AP129" s="510"/>
      <c r="AQ129" s="510"/>
      <c r="AR129" s="510"/>
      <c r="AS129" s="510"/>
      <c r="AT129" s="510"/>
      <c r="AU129" s="510"/>
      <c r="AV129" s="510"/>
      <c r="AW129" s="510"/>
      <c r="AX129" s="510"/>
      <c r="AY129" s="510"/>
      <c r="AZ129" s="510"/>
      <c r="BA129" s="510"/>
      <c r="BB129" s="510"/>
      <c r="BC129" s="510"/>
      <c r="BD129" s="510"/>
      <c r="BE129" s="510"/>
      <c r="BF129" s="510"/>
      <c r="BG129" s="510"/>
      <c r="BH129" s="510"/>
      <c r="BI129" s="510"/>
      <c r="BJ129" s="510"/>
      <c r="BK129" s="510"/>
      <c r="BL129" s="510"/>
      <c r="BM129" s="510"/>
      <c r="BN129" s="510"/>
      <c r="BO129" s="510"/>
      <c r="BP129" s="510"/>
      <c r="BQ129" s="510"/>
      <c r="BR129" s="510"/>
      <c r="BS129" s="510"/>
      <c r="BT129" s="510"/>
      <c r="BU129" s="510"/>
      <c r="BV129" s="510"/>
    </row>
    <row r="130" spans="1:74">
      <c r="A130" s="510"/>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0"/>
      <c r="AY130" s="510"/>
      <c r="AZ130" s="510"/>
      <c r="BA130" s="510"/>
      <c r="BB130" s="510"/>
      <c r="BC130" s="510"/>
      <c r="BD130" s="510"/>
      <c r="BE130" s="510"/>
      <c r="BF130" s="510"/>
      <c r="BG130" s="510"/>
      <c r="BH130" s="510"/>
      <c r="BI130" s="510"/>
      <c r="BJ130" s="510"/>
      <c r="BK130" s="510"/>
      <c r="BL130" s="510"/>
      <c r="BM130" s="510"/>
      <c r="BN130" s="510"/>
      <c r="BO130" s="510"/>
      <c r="BP130" s="510"/>
      <c r="BQ130" s="510"/>
      <c r="BR130" s="510"/>
      <c r="BS130" s="510"/>
      <c r="BT130" s="510"/>
      <c r="BU130" s="510"/>
      <c r="BV130" s="510"/>
    </row>
    <row r="131" spans="1:74">
      <c r="A131" s="510"/>
      <c r="B131" s="510"/>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0"/>
      <c r="AY131" s="510"/>
      <c r="AZ131" s="510"/>
      <c r="BA131" s="510"/>
      <c r="BB131" s="510"/>
      <c r="BC131" s="510"/>
      <c r="BD131" s="510"/>
      <c r="BE131" s="510"/>
      <c r="BF131" s="510"/>
      <c r="BG131" s="510"/>
      <c r="BH131" s="510"/>
      <c r="BI131" s="510"/>
      <c r="BJ131" s="510"/>
      <c r="BK131" s="510"/>
      <c r="BL131" s="510"/>
      <c r="BM131" s="510"/>
      <c r="BN131" s="510"/>
      <c r="BO131" s="510"/>
      <c r="BP131" s="510"/>
      <c r="BQ131" s="510"/>
      <c r="BR131" s="510"/>
      <c r="BS131" s="510"/>
      <c r="BT131" s="510"/>
      <c r="BU131" s="510"/>
      <c r="BV131" s="510"/>
    </row>
    <row r="132" spans="1:74">
      <c r="A132" s="510"/>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510"/>
      <c r="AW132" s="510"/>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0"/>
      <c r="BT132" s="510"/>
      <c r="BU132" s="510"/>
      <c r="BV132" s="510"/>
    </row>
    <row r="133" spans="1:74">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c r="AP133" s="510"/>
      <c r="AQ133" s="510"/>
      <c r="AR133" s="510"/>
      <c r="AS133" s="510"/>
      <c r="AT133" s="510"/>
      <c r="AU133" s="510"/>
      <c r="AV133" s="510"/>
      <c r="AW133" s="510"/>
      <c r="AX133" s="510"/>
      <c r="AY133" s="510"/>
      <c r="AZ133" s="510"/>
      <c r="BA133" s="510"/>
      <c r="BB133" s="510"/>
      <c r="BC133" s="510"/>
      <c r="BD133" s="510"/>
      <c r="BE133" s="510"/>
      <c r="BF133" s="510"/>
      <c r="BG133" s="510"/>
      <c r="BH133" s="510"/>
      <c r="BI133" s="510"/>
      <c r="BJ133" s="510"/>
      <c r="BK133" s="510"/>
      <c r="BL133" s="510"/>
      <c r="BM133" s="510"/>
      <c r="BN133" s="510"/>
      <c r="BO133" s="510"/>
      <c r="BP133" s="510"/>
      <c r="BQ133" s="510"/>
      <c r="BR133" s="510"/>
      <c r="BS133" s="510"/>
      <c r="BT133" s="510"/>
      <c r="BU133" s="510"/>
      <c r="BV133" s="510"/>
    </row>
    <row r="134" spans="1:74">
      <c r="A134" s="510"/>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0"/>
      <c r="BQ134" s="510"/>
      <c r="BR134" s="510"/>
      <c r="BS134" s="510"/>
      <c r="BT134" s="510"/>
      <c r="BU134" s="510"/>
      <c r="BV134" s="510"/>
    </row>
    <row r="135" spans="1:74">
      <c r="A135" s="510"/>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0"/>
      <c r="AY135" s="510"/>
      <c r="AZ135" s="510"/>
      <c r="BA135" s="510"/>
      <c r="BB135" s="510"/>
      <c r="BC135" s="510"/>
      <c r="BD135" s="510"/>
      <c r="BE135" s="510"/>
      <c r="BF135" s="510"/>
      <c r="BG135" s="510"/>
      <c r="BH135" s="510"/>
      <c r="BI135" s="510"/>
      <c r="BJ135" s="510"/>
      <c r="BK135" s="510"/>
      <c r="BL135" s="510"/>
      <c r="BM135" s="510"/>
      <c r="BN135" s="510"/>
      <c r="BO135" s="510"/>
      <c r="BP135" s="510"/>
      <c r="BQ135" s="510"/>
      <c r="BR135" s="510"/>
      <c r="BS135" s="510"/>
      <c r="BT135" s="510"/>
      <c r="BU135" s="510"/>
      <c r="BV135" s="510"/>
    </row>
    <row r="136" spans="1:74">
      <c r="A136" s="510"/>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0"/>
      <c r="AY136" s="510"/>
      <c r="AZ136" s="510"/>
      <c r="BA136" s="510"/>
      <c r="BB136" s="510"/>
      <c r="BC136" s="510"/>
      <c r="BD136" s="510"/>
      <c r="BE136" s="510"/>
      <c r="BF136" s="510"/>
      <c r="BG136" s="510"/>
      <c r="BH136" s="510"/>
      <c r="BI136" s="510"/>
      <c r="BJ136" s="510"/>
      <c r="BK136" s="510"/>
      <c r="BL136" s="510"/>
      <c r="BM136" s="510"/>
      <c r="BN136" s="510"/>
      <c r="BO136" s="510"/>
      <c r="BP136" s="510"/>
      <c r="BQ136" s="510"/>
      <c r="BR136" s="510"/>
      <c r="BS136" s="510"/>
      <c r="BT136" s="510"/>
      <c r="BU136" s="510"/>
      <c r="BV136" s="510"/>
    </row>
    <row r="137" spans="1:74">
      <c r="A137" s="510"/>
      <c r="B137" s="510"/>
      <c r="C137" s="510"/>
      <c r="D137" s="510"/>
      <c r="E137" s="510"/>
      <c r="F137" s="510"/>
      <c r="G137" s="510"/>
      <c r="H137" s="510"/>
      <c r="I137" s="510"/>
      <c r="J137" s="510"/>
      <c r="K137" s="510"/>
      <c r="L137" s="510"/>
      <c r="M137" s="510"/>
      <c r="N137" s="510"/>
      <c r="O137" s="510"/>
      <c r="P137" s="510"/>
      <c r="Q137" s="510"/>
      <c r="R137" s="510"/>
      <c r="S137" s="510"/>
      <c r="T137" s="510"/>
      <c r="U137" s="510"/>
      <c r="V137" s="510"/>
      <c r="W137" s="510"/>
      <c r="X137" s="510"/>
      <c r="Y137" s="510"/>
      <c r="Z137" s="510"/>
      <c r="AA137" s="510"/>
      <c r="AB137" s="510"/>
      <c r="AC137" s="510"/>
      <c r="AD137" s="510"/>
      <c r="AE137" s="510"/>
      <c r="AF137" s="510"/>
      <c r="AG137" s="510"/>
      <c r="AH137" s="510"/>
      <c r="AI137" s="510"/>
      <c r="AJ137" s="510"/>
      <c r="AK137" s="510"/>
      <c r="AL137" s="510"/>
      <c r="AM137" s="510"/>
      <c r="AN137" s="510"/>
      <c r="AO137" s="510"/>
      <c r="AP137" s="510"/>
      <c r="AQ137" s="510"/>
      <c r="AR137" s="510"/>
      <c r="AS137" s="510"/>
      <c r="AT137" s="510"/>
      <c r="AU137" s="510"/>
      <c r="AV137" s="510"/>
      <c r="AW137" s="510"/>
      <c r="AX137" s="510"/>
      <c r="AY137" s="510"/>
      <c r="AZ137" s="510"/>
      <c r="BA137" s="510"/>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row>
    <row r="138" spans="1:74">
      <c r="A138" s="510"/>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c r="AX138" s="510"/>
      <c r="AY138" s="510"/>
      <c r="AZ138" s="510"/>
      <c r="BA138" s="510"/>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row>
    <row r="139" spans="1:74">
      <c r="A139" s="510"/>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c r="AA139" s="510"/>
      <c r="AB139" s="510"/>
      <c r="AC139" s="510"/>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c r="AX139" s="510"/>
      <c r="AY139" s="510"/>
      <c r="AZ139" s="510"/>
      <c r="BA139" s="510"/>
      <c r="BB139" s="510"/>
      <c r="BC139" s="510"/>
      <c r="BD139" s="510"/>
      <c r="BE139" s="510"/>
      <c r="BF139" s="510"/>
      <c r="BG139" s="510"/>
      <c r="BH139" s="510"/>
      <c r="BI139" s="510"/>
      <c r="BJ139" s="510"/>
      <c r="BK139" s="510"/>
      <c r="BL139" s="510"/>
      <c r="BM139" s="510"/>
      <c r="BN139" s="510"/>
      <c r="BO139" s="510"/>
      <c r="BP139" s="510"/>
      <c r="BQ139" s="510"/>
      <c r="BR139" s="510"/>
      <c r="BS139" s="510"/>
      <c r="BT139" s="510"/>
      <c r="BU139" s="510"/>
      <c r="BV139" s="510"/>
    </row>
    <row r="140" spans="1:74">
      <c r="A140" s="510"/>
      <c r="B140" s="510"/>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c r="AA140" s="510"/>
      <c r="AB140" s="510"/>
      <c r="AC140" s="510"/>
      <c r="AD140" s="510"/>
      <c r="AE140" s="510"/>
      <c r="AF140" s="510"/>
      <c r="AG140" s="510"/>
      <c r="AH140" s="510"/>
      <c r="AI140" s="510"/>
      <c r="AJ140" s="510"/>
      <c r="AK140" s="510"/>
      <c r="AL140" s="510"/>
      <c r="AM140" s="510"/>
      <c r="AN140" s="510"/>
      <c r="AO140" s="510"/>
      <c r="AP140" s="510"/>
      <c r="AQ140" s="510"/>
      <c r="AR140" s="510"/>
      <c r="AS140" s="510"/>
      <c r="AT140" s="510"/>
      <c r="AU140" s="510"/>
      <c r="AV140" s="510"/>
      <c r="AW140" s="510"/>
      <c r="AX140" s="510"/>
      <c r="AY140" s="510"/>
      <c r="AZ140" s="510"/>
      <c r="BA140" s="510"/>
      <c r="BB140" s="510"/>
      <c r="BC140" s="510"/>
      <c r="BD140" s="510"/>
      <c r="BE140" s="510"/>
      <c r="BF140" s="510"/>
      <c r="BG140" s="510"/>
      <c r="BH140" s="510"/>
      <c r="BI140" s="510"/>
      <c r="BJ140" s="510"/>
      <c r="BK140" s="510"/>
      <c r="BL140" s="510"/>
      <c r="BM140" s="510"/>
      <c r="BN140" s="510"/>
      <c r="BO140" s="510"/>
      <c r="BP140" s="510"/>
      <c r="BQ140" s="510"/>
      <c r="BR140" s="510"/>
      <c r="BS140" s="510"/>
      <c r="BT140" s="510"/>
      <c r="BU140" s="510"/>
      <c r="BV140" s="510"/>
    </row>
    <row r="141" spans="1:74">
      <c r="A141" s="510"/>
      <c r="B141" s="510"/>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I141" s="510"/>
      <c r="AJ141" s="510"/>
      <c r="AK141" s="510"/>
      <c r="AL141" s="510"/>
      <c r="AM141" s="510"/>
      <c r="AN141" s="510"/>
      <c r="AO141" s="510"/>
      <c r="AP141" s="510"/>
      <c r="AQ141" s="510"/>
      <c r="AR141" s="510"/>
      <c r="AS141" s="510"/>
      <c r="AT141" s="510"/>
      <c r="AU141" s="510"/>
      <c r="AV141" s="510"/>
      <c r="AW141" s="510"/>
      <c r="AX141" s="510"/>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c r="BS141" s="510"/>
      <c r="BT141" s="510"/>
      <c r="BU141" s="510"/>
      <c r="BV141" s="510"/>
    </row>
    <row r="142" spans="1:74">
      <c r="A142" s="510"/>
      <c r="B142" s="510"/>
      <c r="C142" s="510"/>
      <c r="D142" s="510"/>
      <c r="E142" s="510"/>
      <c r="F142" s="510"/>
      <c r="G142" s="510"/>
      <c r="H142" s="510"/>
      <c r="I142" s="510"/>
      <c r="J142" s="510"/>
      <c r="K142" s="510"/>
      <c r="L142" s="510"/>
      <c r="M142" s="510"/>
      <c r="N142" s="510"/>
      <c r="O142" s="510"/>
      <c r="P142" s="510"/>
      <c r="Q142" s="510"/>
      <c r="R142" s="510"/>
      <c r="S142" s="510"/>
      <c r="T142" s="510"/>
      <c r="U142" s="510"/>
      <c r="V142" s="510"/>
      <c r="W142" s="510"/>
      <c r="X142" s="510"/>
      <c r="Y142" s="510"/>
      <c r="Z142" s="510"/>
      <c r="AA142" s="510"/>
      <c r="AB142" s="510"/>
      <c r="AC142" s="510"/>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0"/>
      <c r="AY142" s="510"/>
      <c r="AZ142" s="510"/>
      <c r="BA142" s="510"/>
      <c r="BB142" s="510"/>
      <c r="BC142" s="510"/>
      <c r="BD142" s="510"/>
      <c r="BE142" s="510"/>
      <c r="BF142" s="510"/>
      <c r="BG142" s="510"/>
      <c r="BH142" s="510"/>
      <c r="BI142" s="510"/>
      <c r="BJ142" s="510"/>
      <c r="BK142" s="510"/>
      <c r="BL142" s="510"/>
      <c r="BM142" s="510"/>
      <c r="BN142" s="510"/>
      <c r="BO142" s="510"/>
      <c r="BP142" s="510"/>
      <c r="BQ142" s="510"/>
      <c r="BR142" s="510"/>
      <c r="BS142" s="510"/>
      <c r="BT142" s="510"/>
      <c r="BU142" s="510"/>
      <c r="BV142" s="510"/>
    </row>
    <row r="143" spans="1:74">
      <c r="A143" s="510"/>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c r="BS143" s="510"/>
      <c r="BT143" s="510"/>
      <c r="BU143" s="510"/>
      <c r="BV143" s="510"/>
    </row>
    <row r="144" spans="1:74">
      <c r="A144" s="510"/>
      <c r="B144" s="510"/>
      <c r="C144" s="510"/>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0"/>
      <c r="AY144" s="510"/>
      <c r="AZ144" s="510"/>
      <c r="BA144" s="510"/>
      <c r="BB144" s="510"/>
      <c r="BC144" s="510"/>
      <c r="BD144" s="510"/>
      <c r="BE144" s="510"/>
      <c r="BF144" s="510"/>
      <c r="BG144" s="510"/>
      <c r="BH144" s="510"/>
      <c r="BI144" s="510"/>
      <c r="BJ144" s="510"/>
      <c r="BK144" s="510"/>
      <c r="BL144" s="510"/>
      <c r="BM144" s="510"/>
      <c r="BN144" s="510"/>
      <c r="BO144" s="510"/>
      <c r="BP144" s="510"/>
      <c r="BQ144" s="510"/>
      <c r="BR144" s="510"/>
      <c r="BS144" s="510"/>
      <c r="BT144" s="510"/>
      <c r="BU144" s="510"/>
      <c r="BV144" s="510"/>
    </row>
    <row r="145" spans="1:74">
      <c r="A145" s="510"/>
      <c r="B145" s="510"/>
      <c r="C145" s="510"/>
      <c r="D145" s="510"/>
      <c r="E145" s="510"/>
      <c r="F145" s="510"/>
      <c r="G145" s="510"/>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0"/>
      <c r="AY145" s="510"/>
      <c r="AZ145" s="510"/>
      <c r="BA145" s="510"/>
      <c r="BB145" s="510"/>
      <c r="BC145" s="510"/>
      <c r="BD145" s="510"/>
      <c r="BE145" s="510"/>
      <c r="BF145" s="510"/>
      <c r="BG145" s="510"/>
      <c r="BH145" s="510"/>
      <c r="BI145" s="510"/>
      <c r="BJ145" s="510"/>
      <c r="BK145" s="510"/>
      <c r="BL145" s="510"/>
      <c r="BM145" s="510"/>
      <c r="BN145" s="510"/>
      <c r="BO145" s="510"/>
      <c r="BP145" s="510"/>
      <c r="BQ145" s="510"/>
      <c r="BR145" s="510"/>
      <c r="BS145" s="510"/>
      <c r="BT145" s="510"/>
      <c r="BU145" s="510"/>
      <c r="BV145" s="510"/>
    </row>
    <row r="146" spans="1:74">
      <c r="A146" s="510"/>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c r="BS146" s="510"/>
      <c r="BT146" s="510"/>
      <c r="BU146" s="510"/>
      <c r="BV146" s="510"/>
    </row>
    <row r="147" spans="1:74">
      <c r="A147" s="510"/>
      <c r="B147" s="510"/>
      <c r="C147" s="510"/>
      <c r="D147" s="510"/>
      <c r="E147" s="510"/>
      <c r="F147" s="510"/>
      <c r="G147" s="510"/>
      <c r="H147" s="510"/>
      <c r="I147" s="510"/>
      <c r="J147" s="510"/>
      <c r="K147" s="510"/>
      <c r="L147" s="510"/>
      <c r="M147" s="510"/>
      <c r="N147" s="510"/>
      <c r="O147" s="510"/>
      <c r="P147" s="510"/>
      <c r="Q147" s="510"/>
      <c r="R147" s="510"/>
      <c r="S147" s="510"/>
      <c r="T147" s="510"/>
      <c r="U147" s="510"/>
      <c r="V147" s="510"/>
      <c r="W147" s="510"/>
      <c r="X147" s="510"/>
      <c r="Y147" s="510"/>
      <c r="Z147" s="510"/>
      <c r="AA147" s="510"/>
      <c r="AB147" s="510"/>
      <c r="AC147" s="510"/>
      <c r="AD147" s="510"/>
      <c r="AE147" s="510"/>
      <c r="AF147" s="510"/>
      <c r="AG147" s="510"/>
      <c r="AH147" s="510"/>
      <c r="AI147" s="510"/>
      <c r="AJ147" s="510"/>
      <c r="AK147" s="510"/>
      <c r="AL147" s="510"/>
      <c r="AM147" s="510"/>
      <c r="AN147" s="510"/>
      <c r="AO147" s="510"/>
      <c r="AP147" s="510"/>
      <c r="AQ147" s="510"/>
      <c r="AR147" s="510"/>
      <c r="AS147" s="510"/>
      <c r="AT147" s="510"/>
      <c r="AU147" s="510"/>
      <c r="AV147" s="510"/>
      <c r="AW147" s="510"/>
      <c r="AX147" s="510"/>
      <c r="AY147" s="510"/>
      <c r="AZ147" s="510"/>
      <c r="BA147" s="510"/>
      <c r="BB147" s="510"/>
      <c r="BC147" s="510"/>
      <c r="BD147" s="510"/>
      <c r="BE147" s="510"/>
      <c r="BF147" s="510"/>
      <c r="BG147" s="510"/>
      <c r="BH147" s="510"/>
      <c r="BI147" s="510"/>
      <c r="BJ147" s="510"/>
      <c r="BK147" s="510"/>
      <c r="BL147" s="510"/>
      <c r="BM147" s="510"/>
      <c r="BN147" s="510"/>
      <c r="BO147" s="510"/>
      <c r="BP147" s="510"/>
      <c r="BQ147" s="510"/>
      <c r="BR147" s="510"/>
      <c r="BS147" s="510"/>
      <c r="BT147" s="510"/>
      <c r="BU147" s="510"/>
      <c r="BV147" s="510"/>
    </row>
    <row r="148" spans="1:74">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0"/>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0"/>
      <c r="AY148" s="510"/>
      <c r="AZ148" s="510"/>
      <c r="BA148" s="510"/>
      <c r="BB148" s="510"/>
      <c r="BC148" s="510"/>
      <c r="BD148" s="510"/>
      <c r="BE148" s="510"/>
      <c r="BF148" s="510"/>
      <c r="BG148" s="510"/>
      <c r="BH148" s="510"/>
      <c r="BI148" s="510"/>
      <c r="BJ148" s="510"/>
      <c r="BK148" s="510"/>
      <c r="BL148" s="510"/>
      <c r="BM148" s="510"/>
      <c r="BN148" s="510"/>
      <c r="BO148" s="510"/>
      <c r="BP148" s="510"/>
      <c r="BQ148" s="510"/>
      <c r="BR148" s="510"/>
      <c r="BS148" s="510"/>
      <c r="BT148" s="510"/>
      <c r="BU148" s="510"/>
      <c r="BV148" s="510"/>
    </row>
    <row r="149" spans="1:74">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0"/>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0"/>
      <c r="AY149" s="510"/>
      <c r="AZ149" s="510"/>
      <c r="BA149" s="510"/>
      <c r="BB149" s="510"/>
      <c r="BC149" s="510"/>
      <c r="BD149" s="510"/>
      <c r="BE149" s="510"/>
      <c r="BF149" s="510"/>
      <c r="BG149" s="510"/>
      <c r="BH149" s="510"/>
      <c r="BI149" s="510"/>
      <c r="BJ149" s="510"/>
      <c r="BK149" s="510"/>
      <c r="BL149" s="510"/>
      <c r="BM149" s="510"/>
      <c r="BN149" s="510"/>
      <c r="BO149" s="510"/>
      <c r="BP149" s="510"/>
      <c r="BQ149" s="510"/>
      <c r="BR149" s="510"/>
      <c r="BS149" s="510"/>
      <c r="BT149" s="510"/>
      <c r="BU149" s="510"/>
      <c r="BV149" s="510"/>
    </row>
    <row r="150" spans="1:74">
      <c r="A150" s="510"/>
      <c r="B150" s="510"/>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c r="AY150" s="510"/>
      <c r="AZ150" s="510"/>
      <c r="BA150" s="510"/>
      <c r="BB150" s="510"/>
      <c r="BC150" s="510"/>
      <c r="BD150" s="510"/>
      <c r="BE150" s="510"/>
      <c r="BF150" s="510"/>
      <c r="BG150" s="510"/>
      <c r="BH150" s="510"/>
      <c r="BI150" s="510"/>
      <c r="BJ150" s="510"/>
      <c r="BK150" s="510"/>
      <c r="BL150" s="510"/>
      <c r="BM150" s="510"/>
      <c r="BN150" s="510"/>
      <c r="BO150" s="510"/>
      <c r="BP150" s="510"/>
      <c r="BQ150" s="510"/>
      <c r="BR150" s="510"/>
      <c r="BS150" s="510"/>
      <c r="BT150" s="510"/>
      <c r="BU150" s="510"/>
      <c r="BV150" s="510"/>
    </row>
    <row r="151" spans="1:74">
      <c r="A151" s="510"/>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0"/>
    </row>
    <row r="152" spans="1:74">
      <c r="A152" s="510"/>
      <c r="B152" s="510"/>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0"/>
      <c r="AJ152" s="510"/>
      <c r="AK152" s="510"/>
      <c r="AL152" s="510"/>
      <c r="AM152" s="510"/>
      <c r="AN152" s="510"/>
      <c r="AO152" s="510"/>
      <c r="AP152" s="510"/>
      <c r="AQ152" s="510"/>
      <c r="AR152" s="510"/>
      <c r="AS152" s="510"/>
      <c r="AT152" s="510"/>
      <c r="AU152" s="510"/>
      <c r="AV152" s="510"/>
      <c r="AW152" s="510"/>
      <c r="AX152" s="510"/>
      <c r="AY152" s="510"/>
      <c r="AZ152" s="510"/>
      <c r="BA152" s="510"/>
      <c r="BB152" s="510"/>
      <c r="BC152" s="510"/>
      <c r="BD152" s="510"/>
      <c r="BE152" s="510"/>
      <c r="BF152" s="510"/>
      <c r="BG152" s="510"/>
      <c r="BH152" s="510"/>
      <c r="BI152" s="510"/>
      <c r="BJ152" s="510"/>
      <c r="BK152" s="510"/>
      <c r="BL152" s="510"/>
      <c r="BM152" s="510"/>
      <c r="BN152" s="510"/>
      <c r="BO152" s="510"/>
      <c r="BP152" s="510"/>
      <c r="BQ152" s="510"/>
      <c r="BR152" s="510"/>
      <c r="BS152" s="510"/>
      <c r="BT152" s="510"/>
      <c r="BU152" s="510"/>
      <c r="BV152" s="510"/>
    </row>
    <row r="153" spans="1:74">
      <c r="A153" s="510"/>
      <c r="B153" s="510"/>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510"/>
      <c r="AL153" s="510"/>
      <c r="AM153" s="510"/>
      <c r="AN153" s="510"/>
      <c r="AO153" s="510"/>
      <c r="AP153" s="510"/>
      <c r="AQ153" s="510"/>
      <c r="AR153" s="510"/>
      <c r="AS153" s="510"/>
      <c r="AT153" s="510"/>
      <c r="AU153" s="510"/>
      <c r="AV153" s="510"/>
      <c r="AW153" s="510"/>
      <c r="AX153" s="510"/>
      <c r="AY153" s="510"/>
      <c r="AZ153" s="510"/>
      <c r="BA153" s="510"/>
      <c r="BB153" s="510"/>
      <c r="BC153" s="510"/>
      <c r="BD153" s="510"/>
      <c r="BE153" s="510"/>
      <c r="BF153" s="510"/>
      <c r="BG153" s="510"/>
      <c r="BH153" s="510"/>
      <c r="BI153" s="510"/>
      <c r="BJ153" s="510"/>
      <c r="BK153" s="510"/>
      <c r="BL153" s="510"/>
      <c r="BM153" s="510"/>
      <c r="BN153" s="510"/>
      <c r="BO153" s="510"/>
      <c r="BP153" s="510"/>
      <c r="BQ153" s="510"/>
      <c r="BR153" s="510"/>
      <c r="BS153" s="510"/>
      <c r="BT153" s="510"/>
      <c r="BU153" s="510"/>
      <c r="BV153" s="510"/>
    </row>
    <row r="154" spans="1:7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0"/>
      <c r="AL154" s="510"/>
      <c r="AM154" s="510"/>
      <c r="AN154" s="510"/>
      <c r="AO154" s="510"/>
      <c r="AP154" s="510"/>
      <c r="AQ154" s="510"/>
      <c r="AR154" s="510"/>
      <c r="AS154" s="510"/>
      <c r="AT154" s="510"/>
      <c r="AU154" s="510"/>
      <c r="AV154" s="510"/>
      <c r="AW154" s="510"/>
      <c r="AX154" s="510"/>
      <c r="AY154" s="510"/>
      <c r="AZ154" s="510"/>
      <c r="BA154" s="510"/>
      <c r="BB154" s="510"/>
      <c r="BC154" s="510"/>
      <c r="BD154" s="510"/>
      <c r="BE154" s="510"/>
      <c r="BF154" s="510"/>
      <c r="BG154" s="510"/>
      <c r="BH154" s="510"/>
      <c r="BI154" s="510"/>
      <c r="BJ154" s="510"/>
      <c r="BK154" s="510"/>
      <c r="BL154" s="510"/>
      <c r="BM154" s="510"/>
      <c r="BN154" s="510"/>
      <c r="BO154" s="510"/>
      <c r="BP154" s="510"/>
      <c r="BQ154" s="510"/>
      <c r="BR154" s="510"/>
      <c r="BS154" s="510"/>
      <c r="BT154" s="510"/>
      <c r="BU154" s="510"/>
      <c r="BV154" s="510"/>
    </row>
    <row r="155" spans="1:74">
      <c r="A155" s="510"/>
      <c r="B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0"/>
      <c r="AL155" s="510"/>
      <c r="AM155" s="510"/>
      <c r="AN155" s="510"/>
      <c r="AO155" s="510"/>
      <c r="AP155" s="510"/>
      <c r="AQ155" s="510"/>
      <c r="AR155" s="510"/>
      <c r="AS155" s="510"/>
      <c r="AT155" s="510"/>
      <c r="AU155" s="510"/>
      <c r="AV155" s="510"/>
      <c r="AW155" s="510"/>
      <c r="AX155" s="510"/>
      <c r="AY155" s="510"/>
      <c r="AZ155" s="510"/>
      <c r="BA155" s="510"/>
      <c r="BB155" s="510"/>
      <c r="BC155" s="510"/>
      <c r="BD155" s="510"/>
      <c r="BE155" s="510"/>
      <c r="BF155" s="510"/>
      <c r="BG155" s="510"/>
      <c r="BH155" s="510"/>
      <c r="BI155" s="510"/>
      <c r="BJ155" s="510"/>
      <c r="BK155" s="510"/>
      <c r="BL155" s="510"/>
      <c r="BM155" s="510"/>
      <c r="BN155" s="510"/>
      <c r="BO155" s="510"/>
      <c r="BP155" s="510"/>
      <c r="BQ155" s="510"/>
      <c r="BR155" s="510"/>
      <c r="BS155" s="510"/>
      <c r="BT155" s="510"/>
      <c r="BU155" s="510"/>
      <c r="BV155" s="510"/>
    </row>
    <row r="156" spans="1:74">
      <c r="A156" s="510"/>
      <c r="B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510"/>
      <c r="AL156" s="510"/>
      <c r="AM156" s="510"/>
      <c r="AN156" s="510"/>
      <c r="AO156" s="510"/>
      <c r="AP156" s="510"/>
      <c r="AQ156" s="510"/>
      <c r="AR156" s="510"/>
      <c r="AS156" s="510"/>
      <c r="AT156" s="510"/>
      <c r="AU156" s="510"/>
      <c r="AV156" s="510"/>
      <c r="AW156" s="510"/>
      <c r="AX156" s="510"/>
      <c r="AY156" s="510"/>
      <c r="AZ156" s="510"/>
      <c r="BA156" s="510"/>
      <c r="BB156" s="510"/>
      <c r="BC156" s="510"/>
      <c r="BD156" s="510"/>
      <c r="BE156" s="510"/>
      <c r="BF156" s="510"/>
      <c r="BG156" s="510"/>
      <c r="BH156" s="510"/>
      <c r="BI156" s="510"/>
      <c r="BJ156" s="510"/>
      <c r="BK156" s="510"/>
      <c r="BL156" s="510"/>
      <c r="BM156" s="510"/>
      <c r="BN156" s="510"/>
      <c r="BO156" s="510"/>
      <c r="BP156" s="510"/>
      <c r="BQ156" s="510"/>
      <c r="BR156" s="510"/>
      <c r="BS156" s="510"/>
      <c r="BT156" s="510"/>
      <c r="BU156" s="510"/>
      <c r="BV156" s="510"/>
    </row>
    <row r="157" spans="1:74">
      <c r="A157" s="510"/>
      <c r="B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510"/>
      <c r="AL157" s="510"/>
      <c r="AM157" s="510"/>
      <c r="AN157" s="510"/>
      <c r="AO157" s="510"/>
      <c r="AP157" s="510"/>
      <c r="AQ157" s="510"/>
      <c r="AR157" s="510"/>
      <c r="AS157" s="510"/>
      <c r="AT157" s="510"/>
      <c r="AU157" s="510"/>
      <c r="AV157" s="510"/>
      <c r="AW157" s="510"/>
      <c r="AX157" s="510"/>
      <c r="AY157" s="510"/>
      <c r="AZ157" s="510"/>
      <c r="BA157" s="510"/>
      <c r="BB157" s="510"/>
      <c r="BC157" s="510"/>
      <c r="BD157" s="510"/>
      <c r="BE157" s="510"/>
      <c r="BF157" s="510"/>
      <c r="BG157" s="510"/>
      <c r="BH157" s="510"/>
      <c r="BI157" s="510"/>
      <c r="BJ157" s="510"/>
      <c r="BK157" s="510"/>
      <c r="BL157" s="510"/>
      <c r="BM157" s="510"/>
      <c r="BN157" s="510"/>
      <c r="BO157" s="510"/>
      <c r="BP157" s="510"/>
      <c r="BQ157" s="510"/>
      <c r="BR157" s="510"/>
      <c r="BS157" s="510"/>
      <c r="BT157" s="510"/>
      <c r="BU157" s="510"/>
      <c r="BV157" s="510"/>
    </row>
    <row r="158" spans="1:74">
      <c r="A158" s="510"/>
      <c r="B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0"/>
      <c r="AL158" s="510"/>
      <c r="AM158" s="510"/>
      <c r="AN158" s="510"/>
      <c r="AO158" s="510"/>
      <c r="AP158" s="510"/>
      <c r="AQ158" s="510"/>
      <c r="AR158" s="510"/>
      <c r="AS158" s="510"/>
      <c r="AT158" s="510"/>
      <c r="AU158" s="510"/>
      <c r="AV158" s="510"/>
      <c r="AW158" s="510"/>
      <c r="AX158" s="510"/>
      <c r="AY158" s="510"/>
      <c r="AZ158" s="510"/>
      <c r="BA158" s="510"/>
      <c r="BB158" s="510"/>
      <c r="BC158" s="510"/>
      <c r="BD158" s="510"/>
      <c r="BE158" s="510"/>
      <c r="BF158" s="510"/>
      <c r="BG158" s="510"/>
      <c r="BH158" s="510"/>
      <c r="BI158" s="510"/>
      <c r="BJ158" s="510"/>
      <c r="BK158" s="510"/>
      <c r="BL158" s="510"/>
      <c r="BM158" s="510"/>
      <c r="BN158" s="510"/>
      <c r="BO158" s="510"/>
      <c r="BP158" s="510"/>
      <c r="BQ158" s="510"/>
      <c r="BR158" s="510"/>
      <c r="BS158" s="510"/>
      <c r="BT158" s="510"/>
      <c r="BU158" s="510"/>
      <c r="BV158" s="510"/>
    </row>
    <row r="159" spans="1:74">
      <c r="A159" s="510"/>
      <c r="B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510"/>
      <c r="AL159" s="510"/>
      <c r="AM159" s="510"/>
      <c r="AN159" s="510"/>
      <c r="AO159" s="510"/>
      <c r="AP159" s="510"/>
      <c r="AQ159" s="510"/>
      <c r="AR159" s="510"/>
      <c r="AS159" s="510"/>
      <c r="AT159" s="510"/>
      <c r="AU159" s="510"/>
      <c r="AV159" s="510"/>
      <c r="AW159" s="510"/>
      <c r="AX159" s="510"/>
      <c r="AY159" s="510"/>
      <c r="AZ159" s="510"/>
      <c r="BA159" s="510"/>
      <c r="BB159" s="510"/>
      <c r="BC159" s="510"/>
      <c r="BD159" s="510"/>
      <c r="BE159" s="510"/>
      <c r="BF159" s="510"/>
      <c r="BG159" s="510"/>
      <c r="BH159" s="510"/>
      <c r="BI159" s="510"/>
      <c r="BJ159" s="510"/>
      <c r="BK159" s="510"/>
      <c r="BL159" s="510"/>
      <c r="BM159" s="510"/>
      <c r="BN159" s="510"/>
      <c r="BO159" s="510"/>
      <c r="BP159" s="510"/>
      <c r="BQ159" s="510"/>
      <c r="BR159" s="510"/>
      <c r="BS159" s="510"/>
      <c r="BT159" s="510"/>
      <c r="BU159" s="510"/>
      <c r="BV159" s="510"/>
    </row>
    <row r="160" spans="1:74">
      <c r="A160" s="510"/>
      <c r="B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row>
    <row r="161" spans="1:74">
      <c r="A161" s="510"/>
      <c r="B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510"/>
      <c r="AC161" s="510"/>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10"/>
      <c r="AY161" s="510"/>
      <c r="AZ161" s="510"/>
      <c r="BA161" s="510"/>
      <c r="BB161" s="510"/>
      <c r="BC161" s="510"/>
      <c r="BD161" s="510"/>
      <c r="BE161" s="510"/>
      <c r="BF161" s="510"/>
      <c r="BG161" s="510"/>
      <c r="BH161" s="510"/>
      <c r="BI161" s="510"/>
      <c r="BJ161" s="510"/>
      <c r="BK161" s="510"/>
      <c r="BL161" s="510"/>
      <c r="BM161" s="510"/>
      <c r="BN161" s="510"/>
      <c r="BO161" s="510"/>
      <c r="BP161" s="510"/>
      <c r="BQ161" s="510"/>
      <c r="BR161" s="510"/>
      <c r="BS161" s="510"/>
      <c r="BT161" s="510"/>
      <c r="BU161" s="510"/>
      <c r="BV161" s="510"/>
    </row>
    <row r="162" spans="1:74">
      <c r="A162" s="510"/>
      <c r="B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c r="BS162" s="510"/>
      <c r="BT162" s="510"/>
      <c r="BU162" s="510"/>
      <c r="BV162" s="510"/>
    </row>
    <row r="163" spans="1:74">
      <c r="A163" s="510"/>
      <c r="B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510"/>
      <c r="BI163" s="510"/>
      <c r="BJ163" s="510"/>
      <c r="BK163" s="510"/>
      <c r="BL163" s="510"/>
      <c r="BM163" s="510"/>
      <c r="BN163" s="510"/>
      <c r="BO163" s="510"/>
      <c r="BP163" s="510"/>
      <c r="BQ163" s="510"/>
      <c r="BR163" s="510"/>
      <c r="BS163" s="510"/>
      <c r="BT163" s="510"/>
      <c r="BU163" s="510"/>
      <c r="BV163" s="510"/>
    </row>
    <row r="164" spans="1:74">
      <c r="A164" s="510"/>
      <c r="B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510"/>
      <c r="AX164" s="510"/>
      <c r="AY164" s="510"/>
      <c r="AZ164" s="510"/>
      <c r="BA164" s="510"/>
      <c r="BB164" s="510"/>
      <c r="BC164" s="510"/>
      <c r="BD164" s="510"/>
      <c r="BE164" s="510"/>
      <c r="BF164" s="510"/>
      <c r="BG164" s="510"/>
      <c r="BH164" s="510"/>
      <c r="BI164" s="510"/>
      <c r="BJ164" s="510"/>
      <c r="BK164" s="510"/>
      <c r="BL164" s="510"/>
      <c r="BM164" s="510"/>
      <c r="BN164" s="510"/>
      <c r="BO164" s="510"/>
      <c r="BP164" s="510"/>
      <c r="BQ164" s="510"/>
      <c r="BR164" s="510"/>
      <c r="BS164" s="510"/>
      <c r="BT164" s="510"/>
      <c r="BU164" s="510"/>
      <c r="BV164" s="510"/>
    </row>
    <row r="165" spans="1:74">
      <c r="A165" s="510"/>
      <c r="B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c r="AA165" s="510"/>
      <c r="AB165" s="510"/>
      <c r="AC165" s="510"/>
      <c r="AD165" s="510"/>
      <c r="AE165" s="510"/>
      <c r="AF165" s="510"/>
      <c r="AG165" s="510"/>
      <c r="AH165" s="510"/>
      <c r="AI165" s="510"/>
      <c r="AJ165" s="510"/>
      <c r="AK165" s="510"/>
      <c r="AL165" s="510"/>
      <c r="AM165" s="510"/>
      <c r="AN165" s="510"/>
      <c r="AO165" s="510"/>
      <c r="AP165" s="510"/>
      <c r="AQ165" s="510"/>
      <c r="AR165" s="510"/>
      <c r="AS165" s="510"/>
      <c r="AT165" s="510"/>
      <c r="AU165" s="510"/>
      <c r="AV165" s="510"/>
      <c r="AW165" s="510"/>
      <c r="AX165" s="510"/>
      <c r="AY165" s="510"/>
      <c r="AZ165" s="510"/>
      <c r="BA165" s="510"/>
      <c r="BB165" s="510"/>
      <c r="BC165" s="510"/>
      <c r="BD165" s="510"/>
      <c r="BE165" s="510"/>
      <c r="BF165" s="510"/>
      <c r="BG165" s="510"/>
      <c r="BH165" s="510"/>
      <c r="BI165" s="510"/>
      <c r="BJ165" s="510"/>
      <c r="BK165" s="510"/>
      <c r="BL165" s="510"/>
      <c r="BM165" s="510"/>
      <c r="BN165" s="510"/>
      <c r="BO165" s="510"/>
      <c r="BP165" s="510"/>
      <c r="BQ165" s="510"/>
      <c r="BR165" s="510"/>
      <c r="BS165" s="510"/>
      <c r="BT165" s="510"/>
      <c r="BU165" s="510"/>
      <c r="BV165" s="510"/>
    </row>
    <row r="166" spans="1:74">
      <c r="A166" s="510"/>
      <c r="B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0"/>
      <c r="AL166" s="510"/>
      <c r="AM166" s="510"/>
      <c r="AN166" s="510"/>
      <c r="AO166" s="510"/>
      <c r="AP166" s="510"/>
      <c r="AQ166" s="510"/>
      <c r="AR166" s="510"/>
      <c r="AS166" s="510"/>
      <c r="AT166" s="510"/>
      <c r="AU166" s="510"/>
      <c r="AV166" s="510"/>
      <c r="AW166" s="510"/>
      <c r="AX166" s="510"/>
      <c r="AY166" s="510"/>
      <c r="AZ166" s="510"/>
      <c r="BA166" s="510"/>
      <c r="BB166" s="510"/>
      <c r="BC166" s="510"/>
      <c r="BD166" s="510"/>
      <c r="BE166" s="510"/>
      <c r="BF166" s="510"/>
      <c r="BG166" s="510"/>
      <c r="BH166" s="510"/>
      <c r="BI166" s="510"/>
      <c r="BJ166" s="510"/>
      <c r="BK166" s="510"/>
      <c r="BL166" s="510"/>
      <c r="BM166" s="510"/>
      <c r="BN166" s="510"/>
      <c r="BO166" s="510"/>
      <c r="BP166" s="510"/>
      <c r="BQ166" s="510"/>
      <c r="BR166" s="510"/>
      <c r="BS166" s="510"/>
      <c r="BT166" s="510"/>
      <c r="BU166" s="510"/>
      <c r="BV166" s="510"/>
    </row>
    <row r="167" spans="1:74">
      <c r="A167" s="510"/>
      <c r="B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c r="BS167" s="510"/>
      <c r="BT167" s="510"/>
      <c r="BU167" s="510"/>
      <c r="BV167" s="510"/>
    </row>
    <row r="168" spans="1:74">
      <c r="A168" s="510"/>
      <c r="B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0"/>
      <c r="BN168" s="510"/>
      <c r="BO168" s="510"/>
      <c r="BP168" s="510"/>
      <c r="BQ168" s="510"/>
      <c r="BR168" s="510"/>
      <c r="BS168" s="510"/>
      <c r="BT168" s="510"/>
      <c r="BU168" s="510"/>
      <c r="BV168" s="510"/>
    </row>
    <row r="169" spans="1:74">
      <c r="A169" s="510"/>
      <c r="B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0"/>
      <c r="AL169" s="510"/>
      <c r="AM169" s="510"/>
      <c r="AN169" s="510"/>
      <c r="AO169" s="510"/>
      <c r="AP169" s="510"/>
      <c r="AQ169" s="510"/>
      <c r="AR169" s="510"/>
      <c r="AS169" s="510"/>
      <c r="AT169" s="510"/>
      <c r="AU169" s="510"/>
      <c r="AV169" s="510"/>
      <c r="AW169" s="510"/>
      <c r="AX169" s="510"/>
      <c r="AY169" s="510"/>
      <c r="AZ169" s="510"/>
      <c r="BA169" s="510"/>
      <c r="BB169" s="510"/>
      <c r="BC169" s="510"/>
      <c r="BD169" s="510"/>
      <c r="BE169" s="510"/>
      <c r="BF169" s="510"/>
      <c r="BG169" s="510"/>
      <c r="BH169" s="510"/>
      <c r="BI169" s="510"/>
      <c r="BJ169" s="510"/>
      <c r="BK169" s="510"/>
      <c r="BL169" s="510"/>
      <c r="BM169" s="510"/>
      <c r="BN169" s="510"/>
      <c r="BO169" s="510"/>
      <c r="BP169" s="510"/>
      <c r="BQ169" s="510"/>
      <c r="BR169" s="510"/>
      <c r="BS169" s="510"/>
      <c r="BT169" s="510"/>
      <c r="BU169" s="510"/>
      <c r="BV169" s="510"/>
    </row>
    <row r="170" spans="1:74">
      <c r="A170" s="510"/>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0"/>
      <c r="AL170" s="510"/>
      <c r="AM170" s="510"/>
      <c r="AN170" s="510"/>
      <c r="AO170" s="510"/>
      <c r="AP170" s="510"/>
      <c r="AQ170" s="510"/>
      <c r="AR170" s="510"/>
      <c r="AS170" s="510"/>
      <c r="AT170" s="510"/>
      <c r="AU170" s="510"/>
      <c r="AV170" s="510"/>
      <c r="AW170" s="510"/>
      <c r="AX170" s="510"/>
      <c r="AY170" s="510"/>
      <c r="AZ170" s="510"/>
      <c r="BA170" s="510"/>
      <c r="BB170" s="510"/>
      <c r="BC170" s="510"/>
      <c r="BD170" s="510"/>
      <c r="BE170" s="510"/>
      <c r="BF170" s="510"/>
      <c r="BG170" s="510"/>
      <c r="BH170" s="510"/>
      <c r="BI170" s="510"/>
      <c r="BJ170" s="510"/>
      <c r="BK170" s="510"/>
      <c r="BL170" s="510"/>
      <c r="BM170" s="510"/>
      <c r="BN170" s="510"/>
      <c r="BO170" s="510"/>
      <c r="BP170" s="510"/>
      <c r="BQ170" s="510"/>
      <c r="BR170" s="510"/>
      <c r="BS170" s="510"/>
      <c r="BT170" s="510"/>
      <c r="BU170" s="510"/>
      <c r="BV170" s="510"/>
    </row>
    <row r="171" spans="1:74">
      <c r="A171" s="510"/>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10"/>
      <c r="AL171" s="510"/>
      <c r="AM171" s="510"/>
      <c r="AN171" s="510"/>
      <c r="AO171" s="510"/>
      <c r="AP171" s="510"/>
      <c r="AQ171" s="510"/>
      <c r="AR171" s="510"/>
      <c r="AS171" s="510"/>
      <c r="AT171" s="510"/>
      <c r="AU171" s="510"/>
      <c r="AV171" s="510"/>
      <c r="AW171" s="510"/>
      <c r="AX171" s="510"/>
      <c r="AY171" s="510"/>
      <c r="AZ171" s="510"/>
      <c r="BA171" s="510"/>
      <c r="BB171" s="510"/>
      <c r="BC171" s="510"/>
      <c r="BD171" s="510"/>
      <c r="BE171" s="510"/>
      <c r="BF171" s="510"/>
      <c r="BG171" s="510"/>
      <c r="BH171" s="510"/>
      <c r="BI171" s="510"/>
      <c r="BJ171" s="510"/>
      <c r="BK171" s="510"/>
      <c r="BL171" s="510"/>
      <c r="BM171" s="510"/>
      <c r="BN171" s="510"/>
      <c r="BO171" s="510"/>
      <c r="BP171" s="510"/>
      <c r="BQ171" s="510"/>
      <c r="BR171" s="510"/>
      <c r="BS171" s="510"/>
      <c r="BT171" s="510"/>
      <c r="BU171" s="510"/>
      <c r="BV171" s="510"/>
    </row>
    <row r="172" spans="1:74" ht="15.4" customHeight="1">
      <c r="A172" s="510"/>
      <c r="B172" s="510"/>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0"/>
      <c r="AL172" s="510"/>
      <c r="AM172" s="510"/>
      <c r="AN172" s="510"/>
      <c r="AO172" s="510"/>
      <c r="AP172" s="510"/>
      <c r="AQ172" s="510"/>
      <c r="AR172" s="510"/>
      <c r="AS172" s="510"/>
      <c r="AT172" s="510"/>
      <c r="AU172" s="510"/>
      <c r="AV172" s="510"/>
      <c r="AW172" s="510"/>
      <c r="AX172" s="510"/>
      <c r="AY172" s="510"/>
      <c r="AZ172" s="510"/>
      <c r="BA172" s="510"/>
      <c r="BB172" s="510"/>
      <c r="BC172" s="510"/>
      <c r="BD172" s="510"/>
      <c r="BE172" s="510"/>
      <c r="BF172" s="510"/>
      <c r="BG172" s="510"/>
      <c r="BH172" s="510"/>
      <c r="BI172" s="510"/>
      <c r="BJ172" s="510"/>
      <c r="BK172" s="510"/>
      <c r="BL172" s="510"/>
      <c r="BM172" s="510"/>
      <c r="BN172" s="510"/>
      <c r="BO172" s="510"/>
      <c r="BP172" s="510"/>
      <c r="BQ172" s="510"/>
      <c r="BR172" s="510"/>
      <c r="BS172" s="510"/>
      <c r="BT172" s="510"/>
      <c r="BU172" s="510"/>
      <c r="BV172" s="510"/>
    </row>
    <row r="173" spans="1:74">
      <c r="A173" s="510"/>
      <c r="B173" s="510"/>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510"/>
      <c r="AH173" s="510"/>
      <c r="AI173" s="510"/>
      <c r="AJ173" s="510"/>
      <c r="AK173" s="510"/>
      <c r="AL173" s="510"/>
      <c r="AM173" s="510"/>
      <c r="AN173" s="510"/>
      <c r="AO173" s="510"/>
      <c r="AP173" s="510"/>
      <c r="AQ173" s="510"/>
      <c r="AR173" s="510"/>
      <c r="AS173" s="510"/>
      <c r="AT173" s="510"/>
      <c r="AU173" s="510"/>
      <c r="AV173" s="510"/>
      <c r="AW173" s="510"/>
      <c r="AX173" s="510"/>
      <c r="AY173" s="510"/>
      <c r="AZ173" s="510"/>
      <c r="BA173" s="510"/>
      <c r="BB173" s="510"/>
      <c r="BC173" s="510"/>
      <c r="BD173" s="510"/>
      <c r="BE173" s="510"/>
      <c r="BF173" s="510"/>
      <c r="BG173" s="510"/>
      <c r="BH173" s="510"/>
      <c r="BI173" s="510"/>
      <c r="BJ173" s="510"/>
      <c r="BK173" s="510"/>
      <c r="BL173" s="510"/>
      <c r="BM173" s="510"/>
      <c r="BN173" s="510"/>
      <c r="BO173" s="510"/>
      <c r="BP173" s="510"/>
      <c r="BQ173" s="510"/>
      <c r="BR173" s="510"/>
      <c r="BS173" s="510"/>
      <c r="BT173" s="510"/>
      <c r="BU173" s="510"/>
      <c r="BV173" s="510"/>
    </row>
    <row r="174" spans="1:74">
      <c r="A174" s="510"/>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row>
    <row r="175" spans="1:74">
      <c r="A175" s="510"/>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row>
    <row r="176" spans="1:74">
      <c r="A176" s="510"/>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10"/>
      <c r="AW176" s="510"/>
      <c r="AX176" s="510"/>
      <c r="AY176" s="510"/>
      <c r="AZ176" s="510"/>
      <c r="BA176" s="510"/>
      <c r="BB176" s="510"/>
      <c r="BC176" s="510"/>
      <c r="BD176" s="510"/>
      <c r="BE176" s="510"/>
      <c r="BF176" s="510"/>
      <c r="BG176" s="510"/>
      <c r="BH176" s="510"/>
      <c r="BI176" s="510"/>
      <c r="BJ176" s="510"/>
      <c r="BK176" s="510"/>
      <c r="BL176" s="510"/>
      <c r="BM176" s="510"/>
      <c r="BN176" s="510"/>
      <c r="BO176" s="510"/>
      <c r="BP176" s="510"/>
      <c r="BQ176" s="510"/>
      <c r="BR176" s="510"/>
      <c r="BS176" s="510"/>
      <c r="BT176" s="510"/>
      <c r="BU176" s="510"/>
      <c r="BV176" s="510"/>
    </row>
    <row r="177" spans="1:74">
      <c r="A177" s="510"/>
      <c r="B177" s="510"/>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E177" s="510"/>
      <c r="AF177" s="510"/>
      <c r="AG177" s="510"/>
      <c r="AH177" s="510"/>
      <c r="AI177" s="510"/>
      <c r="AJ177" s="510"/>
      <c r="AK177" s="510"/>
      <c r="AL177" s="510"/>
      <c r="AM177" s="510"/>
      <c r="AN177" s="510"/>
      <c r="AO177" s="510"/>
      <c r="AP177" s="510"/>
      <c r="AQ177" s="510"/>
      <c r="AR177" s="510"/>
      <c r="AS177" s="510"/>
      <c r="AT177" s="510"/>
      <c r="AU177" s="510"/>
      <c r="AV177" s="510"/>
      <c r="AW177" s="510"/>
      <c r="AX177" s="510"/>
      <c r="AY177" s="510"/>
      <c r="AZ177" s="510"/>
      <c r="BA177" s="510"/>
      <c r="BB177" s="510"/>
      <c r="BC177" s="510"/>
      <c r="BD177" s="510"/>
      <c r="BE177" s="510"/>
      <c r="BF177" s="510"/>
      <c r="BG177" s="510"/>
      <c r="BH177" s="510"/>
      <c r="BI177" s="510"/>
      <c r="BJ177" s="510"/>
      <c r="BK177" s="510"/>
      <c r="BL177" s="510"/>
      <c r="BM177" s="510"/>
      <c r="BN177" s="510"/>
      <c r="BO177" s="510"/>
      <c r="BP177" s="510"/>
      <c r="BQ177" s="510"/>
      <c r="BR177" s="510"/>
      <c r="BS177" s="510"/>
      <c r="BT177" s="510"/>
      <c r="BU177" s="510"/>
      <c r="BV177" s="510"/>
    </row>
    <row r="178" spans="1:74">
      <c r="A178" s="510"/>
      <c r="B178" s="510"/>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0"/>
      <c r="AY178" s="510"/>
      <c r="AZ178" s="510"/>
      <c r="BA178" s="510"/>
      <c r="BB178" s="510"/>
      <c r="BC178" s="510"/>
      <c r="BD178" s="510"/>
      <c r="BE178" s="510"/>
      <c r="BF178" s="510"/>
      <c r="BG178" s="510"/>
      <c r="BH178" s="510"/>
      <c r="BI178" s="510"/>
      <c r="BJ178" s="510"/>
      <c r="BK178" s="510"/>
      <c r="BL178" s="510"/>
      <c r="BM178" s="510"/>
      <c r="BN178" s="510"/>
      <c r="BO178" s="510"/>
      <c r="BP178" s="510"/>
      <c r="BQ178" s="510"/>
      <c r="BR178" s="510"/>
      <c r="BS178" s="510"/>
      <c r="BT178" s="510"/>
      <c r="BU178" s="510"/>
      <c r="BV178" s="510"/>
    </row>
    <row r="179" spans="1:74">
      <c r="A179" s="510"/>
      <c r="B179" s="510"/>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0"/>
      <c r="AY179" s="510"/>
      <c r="AZ179" s="510"/>
      <c r="BA179" s="510"/>
      <c r="BB179" s="510"/>
      <c r="BC179" s="510"/>
      <c r="BD179" s="510"/>
      <c r="BE179" s="510"/>
      <c r="BF179" s="510"/>
      <c r="BG179" s="510"/>
      <c r="BH179" s="510"/>
      <c r="BI179" s="510"/>
      <c r="BJ179" s="510"/>
      <c r="BK179" s="510"/>
      <c r="BL179" s="510"/>
      <c r="BM179" s="510"/>
      <c r="BN179" s="510"/>
      <c r="BO179" s="510"/>
      <c r="BP179" s="510"/>
      <c r="BQ179" s="510"/>
      <c r="BR179" s="510"/>
      <c r="BS179" s="510"/>
      <c r="BT179" s="510"/>
      <c r="BU179" s="510"/>
      <c r="BV179" s="510"/>
    </row>
    <row r="180" spans="1:74">
      <c r="A180" s="510"/>
      <c r="B180" s="510"/>
      <c r="C180" s="510"/>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0"/>
      <c r="AA180" s="510"/>
      <c r="AB180" s="510"/>
      <c r="AC180" s="510"/>
      <c r="AD180" s="510"/>
      <c r="AE180" s="510"/>
      <c r="AF180" s="510"/>
      <c r="AG180" s="510"/>
      <c r="AH180" s="510"/>
      <c r="AI180" s="510"/>
      <c r="AJ180" s="510"/>
      <c r="AK180" s="510"/>
      <c r="AL180" s="510"/>
      <c r="AM180" s="510"/>
      <c r="AN180" s="510"/>
      <c r="AO180" s="510"/>
      <c r="AP180" s="510"/>
      <c r="AQ180" s="510"/>
      <c r="AR180" s="510"/>
      <c r="AS180" s="510"/>
      <c r="AT180" s="510"/>
      <c r="AU180" s="510"/>
      <c r="AV180" s="510"/>
      <c r="AW180" s="510"/>
      <c r="AX180" s="510"/>
      <c r="AY180" s="510"/>
      <c r="AZ180" s="510"/>
      <c r="BA180" s="510"/>
      <c r="BB180" s="510"/>
      <c r="BC180" s="510"/>
      <c r="BD180" s="510"/>
      <c r="BE180" s="510"/>
      <c r="BF180" s="510"/>
      <c r="BG180" s="510"/>
      <c r="BH180" s="510"/>
      <c r="BI180" s="510"/>
      <c r="BJ180" s="510"/>
      <c r="BK180" s="510"/>
      <c r="BL180" s="510"/>
      <c r="BM180" s="510"/>
      <c r="BN180" s="510"/>
      <c r="BO180" s="510"/>
      <c r="BP180" s="510"/>
      <c r="BQ180" s="510"/>
      <c r="BR180" s="510"/>
      <c r="BS180" s="510"/>
      <c r="BT180" s="510"/>
      <c r="BU180" s="510"/>
      <c r="BV180" s="510"/>
    </row>
    <row r="181" spans="1:74">
      <c r="A181" s="510"/>
      <c r="B181" s="510"/>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0"/>
      <c r="AC181" s="510"/>
      <c r="AD181" s="510"/>
      <c r="AE181" s="510"/>
      <c r="AF181" s="510"/>
      <c r="AG181" s="510"/>
      <c r="AH181" s="510"/>
      <c r="AI181" s="510"/>
      <c r="AJ181" s="510"/>
      <c r="AK181" s="510"/>
      <c r="AL181" s="510"/>
      <c r="AM181" s="510"/>
      <c r="AN181" s="510"/>
      <c r="AO181" s="510"/>
      <c r="AP181" s="510"/>
      <c r="AQ181" s="510"/>
      <c r="AR181" s="510"/>
      <c r="AS181" s="510"/>
      <c r="AT181" s="510"/>
      <c r="AU181" s="510"/>
      <c r="AV181" s="510"/>
      <c r="AW181" s="510"/>
      <c r="AX181" s="510"/>
      <c r="AY181" s="510"/>
      <c r="AZ181" s="510"/>
      <c r="BA181" s="510"/>
      <c r="BB181" s="510"/>
      <c r="BC181" s="510"/>
      <c r="BD181" s="510"/>
      <c r="BE181" s="510"/>
      <c r="BF181" s="510"/>
      <c r="BG181" s="510"/>
      <c r="BH181" s="510"/>
      <c r="BI181" s="510"/>
      <c r="BJ181" s="510"/>
      <c r="BK181" s="510"/>
      <c r="BL181" s="510"/>
      <c r="BM181" s="510"/>
      <c r="BN181" s="510"/>
      <c r="BO181" s="510"/>
      <c r="BP181" s="510"/>
      <c r="BQ181" s="510"/>
      <c r="BR181" s="510"/>
      <c r="BS181" s="510"/>
      <c r="BT181" s="510"/>
      <c r="BU181" s="510"/>
      <c r="BV181" s="510"/>
    </row>
    <row r="182" spans="1:74">
      <c r="A182" s="510"/>
      <c r="B182" s="510"/>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0"/>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0"/>
      <c r="AY182" s="510"/>
      <c r="AZ182" s="510"/>
      <c r="BA182" s="510"/>
      <c r="BB182" s="510"/>
      <c r="BC182" s="510"/>
      <c r="BD182" s="510"/>
      <c r="BE182" s="510"/>
      <c r="BF182" s="510"/>
      <c r="BG182" s="510"/>
      <c r="BH182" s="510"/>
      <c r="BI182" s="510"/>
      <c r="BJ182" s="510"/>
      <c r="BK182" s="510"/>
      <c r="BL182" s="510"/>
      <c r="BM182" s="510"/>
      <c r="BN182" s="510"/>
      <c r="BO182" s="510"/>
      <c r="BP182" s="510"/>
      <c r="BQ182" s="510"/>
      <c r="BR182" s="510"/>
      <c r="BS182" s="510"/>
      <c r="BT182" s="510"/>
      <c r="BU182" s="510"/>
      <c r="BV182" s="510"/>
    </row>
    <row r="183" spans="1:74">
      <c r="A183" s="510"/>
      <c r="B183" s="510"/>
      <c r="C183" s="510"/>
      <c r="D183" s="510"/>
      <c r="E183" s="510"/>
      <c r="F183" s="510"/>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510"/>
      <c r="AC183" s="510"/>
      <c r="AD183" s="510"/>
      <c r="AE183" s="510"/>
      <c r="AF183" s="510"/>
      <c r="AG183" s="510"/>
      <c r="AH183" s="510"/>
      <c r="AI183" s="510"/>
      <c r="AJ183" s="510"/>
      <c r="AK183" s="510"/>
      <c r="AL183" s="510"/>
      <c r="AM183" s="510"/>
      <c r="AN183" s="510"/>
      <c r="AO183" s="510"/>
      <c r="AP183" s="510"/>
      <c r="AQ183" s="510"/>
      <c r="AR183" s="510"/>
      <c r="AS183" s="510"/>
      <c r="AT183" s="510"/>
      <c r="AU183" s="510"/>
      <c r="AV183" s="510"/>
      <c r="AW183" s="510"/>
      <c r="AX183" s="510"/>
      <c r="AY183" s="510"/>
      <c r="AZ183" s="510"/>
      <c r="BA183" s="510"/>
      <c r="BB183" s="510"/>
      <c r="BC183" s="510"/>
      <c r="BD183" s="510"/>
      <c r="BE183" s="510"/>
      <c r="BF183" s="510"/>
      <c r="BG183" s="510"/>
      <c r="BH183" s="510"/>
      <c r="BI183" s="510"/>
      <c r="BJ183" s="510"/>
      <c r="BK183" s="510"/>
      <c r="BL183" s="510"/>
      <c r="BM183" s="510"/>
      <c r="BN183" s="510"/>
      <c r="BO183" s="510"/>
      <c r="BP183" s="510"/>
      <c r="BQ183" s="510"/>
      <c r="BR183" s="510"/>
      <c r="BS183" s="510"/>
      <c r="BT183" s="510"/>
      <c r="BU183" s="510"/>
      <c r="BV183" s="510"/>
    </row>
    <row r="184" spans="1:74">
      <c r="A184" s="510"/>
      <c r="B184" s="510"/>
      <c r="C184" s="510"/>
      <c r="D184" s="510"/>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0"/>
      <c r="AC184" s="510"/>
      <c r="AD184" s="510"/>
      <c r="AE184" s="510"/>
      <c r="AF184" s="510"/>
      <c r="AG184" s="510"/>
      <c r="AH184" s="510"/>
      <c r="AI184" s="510"/>
      <c r="AJ184" s="510"/>
      <c r="AK184" s="510"/>
      <c r="AL184" s="510"/>
      <c r="AM184" s="510"/>
      <c r="AN184" s="510"/>
      <c r="AO184" s="510"/>
      <c r="AP184" s="510"/>
      <c r="AQ184" s="510"/>
      <c r="AR184" s="510"/>
      <c r="AS184" s="510"/>
      <c r="AT184" s="510"/>
      <c r="AU184" s="510"/>
      <c r="AV184" s="510"/>
      <c r="AW184" s="510"/>
      <c r="AX184" s="510"/>
      <c r="AY184" s="510"/>
      <c r="AZ184" s="510"/>
      <c r="BA184" s="510"/>
      <c r="BB184" s="510"/>
      <c r="BC184" s="510"/>
      <c r="BD184" s="510"/>
      <c r="BE184" s="510"/>
      <c r="BF184" s="510"/>
      <c r="BG184" s="510"/>
      <c r="BH184" s="510"/>
      <c r="BI184" s="510"/>
      <c r="BJ184" s="510"/>
      <c r="BK184" s="510"/>
      <c r="BL184" s="510"/>
      <c r="BM184" s="510"/>
      <c r="BN184" s="510"/>
      <c r="BO184" s="510"/>
      <c r="BP184" s="510"/>
      <c r="BQ184" s="510"/>
      <c r="BR184" s="510"/>
      <c r="BS184" s="510"/>
      <c r="BT184" s="510"/>
      <c r="BU184" s="510"/>
      <c r="BV184" s="510"/>
    </row>
    <row r="185" spans="1:74">
      <c r="A185" s="510"/>
      <c r="B185" s="510"/>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510"/>
      <c r="AH185" s="510"/>
      <c r="AI185" s="510"/>
      <c r="AJ185" s="510"/>
      <c r="AK185" s="510"/>
      <c r="AL185" s="510"/>
      <c r="AM185" s="510"/>
      <c r="AN185" s="510"/>
      <c r="AO185" s="510"/>
      <c r="AP185" s="510"/>
      <c r="AQ185" s="510"/>
      <c r="AR185" s="510"/>
      <c r="AS185" s="510"/>
      <c r="AT185" s="510"/>
      <c r="AU185" s="510"/>
      <c r="AV185" s="510"/>
      <c r="AW185" s="510"/>
      <c r="AX185" s="510"/>
      <c r="AY185" s="510"/>
      <c r="AZ185" s="510"/>
      <c r="BA185" s="510"/>
      <c r="BB185" s="510"/>
      <c r="BC185" s="510"/>
      <c r="BD185" s="510"/>
      <c r="BE185" s="510"/>
      <c r="BF185" s="510"/>
      <c r="BG185" s="510"/>
      <c r="BH185" s="510"/>
      <c r="BI185" s="510"/>
      <c r="BJ185" s="510"/>
      <c r="BK185" s="510"/>
      <c r="BL185" s="510"/>
      <c r="BM185" s="510"/>
      <c r="BN185" s="510"/>
      <c r="BO185" s="510"/>
      <c r="BP185" s="510"/>
      <c r="BQ185" s="510"/>
      <c r="BR185" s="510"/>
      <c r="BS185" s="510"/>
      <c r="BT185" s="510"/>
      <c r="BU185" s="510"/>
      <c r="BV185" s="510"/>
    </row>
    <row r="186" spans="1:74">
      <c r="A186" s="510"/>
      <c r="B186" s="510"/>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c r="BS186" s="510"/>
      <c r="BT186" s="510"/>
      <c r="BU186" s="510"/>
      <c r="BV186" s="510"/>
    </row>
    <row r="187" spans="1:74">
      <c r="A187" s="510"/>
      <c r="B187" s="510"/>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10"/>
      <c r="AY187" s="510"/>
      <c r="AZ187" s="510"/>
      <c r="BA187" s="510"/>
      <c r="BB187" s="510"/>
      <c r="BC187" s="510"/>
      <c r="BD187" s="510"/>
      <c r="BE187" s="510"/>
      <c r="BF187" s="510"/>
      <c r="BG187" s="510"/>
      <c r="BH187" s="510"/>
      <c r="BI187" s="510"/>
      <c r="BJ187" s="510"/>
      <c r="BK187" s="510"/>
      <c r="BL187" s="510"/>
      <c r="BM187" s="510"/>
      <c r="BN187" s="510"/>
      <c r="BO187" s="510"/>
      <c r="BP187" s="510"/>
      <c r="BQ187" s="510"/>
      <c r="BR187" s="510"/>
      <c r="BS187" s="510"/>
      <c r="BT187" s="510"/>
      <c r="BU187" s="510"/>
      <c r="BV187" s="510"/>
    </row>
  </sheetData>
  <mergeCells count="37">
    <mergeCell ref="B87:K87"/>
    <mergeCell ref="B89:K89"/>
    <mergeCell ref="C23:I23"/>
    <mergeCell ref="C24:I24"/>
    <mergeCell ref="C27:H27"/>
    <mergeCell ref="C28:H28"/>
    <mergeCell ref="C29:H29"/>
    <mergeCell ref="A55:L55"/>
    <mergeCell ref="A56:L56"/>
    <mergeCell ref="A57:L57"/>
    <mergeCell ref="A59:L59"/>
    <mergeCell ref="B43:L43"/>
    <mergeCell ref="B44:L44"/>
    <mergeCell ref="B45:L45"/>
    <mergeCell ref="B46:L46"/>
    <mergeCell ref="C25:H25"/>
    <mergeCell ref="C13:H13"/>
    <mergeCell ref="C14:H14"/>
    <mergeCell ref="C16:H16"/>
    <mergeCell ref="C17:H17"/>
    <mergeCell ref="C11:J11"/>
    <mergeCell ref="B37:J37"/>
    <mergeCell ref="C31:I31"/>
    <mergeCell ref="C32:I32"/>
    <mergeCell ref="C33:H33"/>
    <mergeCell ref="N4:V4"/>
    <mergeCell ref="N5:V5"/>
    <mergeCell ref="N6:V6"/>
    <mergeCell ref="N8:V8"/>
    <mergeCell ref="C19:H19"/>
    <mergeCell ref="C20:H20"/>
    <mergeCell ref="A4:L4"/>
    <mergeCell ref="A5:L5"/>
    <mergeCell ref="A6:L6"/>
    <mergeCell ref="A8:L8"/>
    <mergeCell ref="C18:H18"/>
    <mergeCell ref="C12:H12"/>
  </mergeCells>
  <hyperlinks>
    <hyperlink ref="C88" r:id="rId1"/>
    <hyperlink ref="B44" display="      http://www.ferc.gov/legal/acct-matts/interest-rates.asp for the appropriate Months.  For under-collections, the applicable interest rate shall "/>
    <hyperlink ref="C90" r:id="rId2"/>
  </hyperlinks>
  <pageMargins left="0.72" right="0.17" top="0.35" bottom="0.1" header="0.3" footer="0.17"/>
  <pageSetup scale="68" fitToHeight="2" pageOrder="overThenDown" orientation="landscape" r:id="rId3"/>
  <rowBreaks count="1" manualBreakCount="1">
    <brk id="52" max="11"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zoomScaleNormal="100" workbookViewId="0"/>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8" width="10.6640625" bestFit="1" customWidth="1"/>
    <col min="9" max="9" width="11.33203125" customWidth="1"/>
    <col min="10" max="10" width="10.5546875" customWidth="1"/>
    <col min="11" max="11" width="11.44140625" customWidth="1"/>
    <col min="12" max="12" width="10"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90"/>
      <c r="C1" s="490"/>
      <c r="D1" s="490"/>
      <c r="E1" s="490"/>
      <c r="F1" s="490"/>
      <c r="G1" s="490"/>
      <c r="H1" s="490"/>
      <c r="I1" s="490"/>
      <c r="J1" s="490"/>
      <c r="K1" s="490"/>
      <c r="L1" s="490"/>
      <c r="M1" s="490"/>
      <c r="N1" s="509"/>
      <c r="O1" s="509"/>
      <c r="R1" s="489" t="str">
        <f>'Att O_RPU'!K3</f>
        <v>For the 12 months ended 12/31/15</v>
      </c>
    </row>
    <row r="2" spans="1:18">
      <c r="B2" s="490"/>
      <c r="C2" s="490"/>
      <c r="D2" s="490"/>
      <c r="E2" s="489"/>
      <c r="F2" s="490"/>
      <c r="G2" s="490"/>
      <c r="H2" s="490"/>
      <c r="I2" s="490"/>
      <c r="J2" s="490"/>
      <c r="K2" s="490"/>
      <c r="L2" s="490"/>
      <c r="M2" s="490"/>
      <c r="N2" s="509"/>
      <c r="O2" s="509"/>
      <c r="P2" s="490"/>
      <c r="R2" s="507" t="s">
        <v>691</v>
      </c>
    </row>
    <row r="3" spans="1:18" ht="15.75">
      <c r="A3" s="958" t="s">
        <v>638</v>
      </c>
      <c r="B3" s="958"/>
      <c r="C3" s="958"/>
      <c r="D3" s="958"/>
      <c r="E3" s="958"/>
      <c r="F3" s="958"/>
      <c r="G3" s="958"/>
      <c r="H3" s="958"/>
      <c r="I3" s="958"/>
      <c r="J3" s="958"/>
      <c r="K3" s="958"/>
      <c r="L3" s="958"/>
      <c r="M3" s="958"/>
      <c r="N3" s="958"/>
      <c r="O3" s="958"/>
      <c r="P3" s="958"/>
    </row>
    <row r="4" spans="1:18" ht="15.75">
      <c r="A4" s="958" t="s">
        <v>930</v>
      </c>
      <c r="B4" s="958"/>
      <c r="C4" s="958"/>
      <c r="D4" s="958"/>
      <c r="E4" s="958"/>
      <c r="F4" s="958"/>
      <c r="G4" s="958"/>
      <c r="H4" s="958"/>
      <c r="I4" s="958"/>
      <c r="J4" s="958"/>
      <c r="K4" s="958"/>
      <c r="L4" s="958"/>
      <c r="M4" s="958"/>
      <c r="N4" s="958"/>
      <c r="O4" s="958"/>
      <c r="P4" s="958"/>
    </row>
    <row r="5" spans="1:18" ht="15.75">
      <c r="A5" s="3"/>
      <c r="B5" s="3"/>
      <c r="C5" s="3"/>
      <c r="D5" s="3"/>
      <c r="E5" s="3"/>
      <c r="F5" s="3"/>
      <c r="G5" s="3"/>
      <c r="H5" s="3"/>
      <c r="I5" s="3"/>
      <c r="J5" s="3"/>
      <c r="K5" s="3"/>
      <c r="L5" s="3"/>
      <c r="M5" s="3"/>
      <c r="N5" s="52"/>
      <c r="O5" s="52"/>
    </row>
    <row r="6" spans="1:18">
      <c r="N6" s="497"/>
      <c r="O6" s="497"/>
    </row>
    <row r="7" spans="1:18" ht="15.75">
      <c r="A7" s="972" t="str">
        <f>IF('Att O_RPU'!$I$19&gt;0.5,CONCATENATE("FLTY Forecast for 12 Months Ended December 31, ",'Att O_RPU'!E318),CONCATENATE("True-up Actual for 12 Months Ended December 31, ",'Att O_RPU'!E318))</f>
        <v>True-up Actual for 12 Months Ended December 31, 2015</v>
      </c>
      <c r="B7" s="972"/>
      <c r="C7" s="972"/>
      <c r="D7" s="972"/>
      <c r="E7" s="972"/>
      <c r="F7" s="972"/>
      <c r="G7" s="972"/>
      <c r="H7" s="972"/>
      <c r="I7" s="972"/>
      <c r="J7" s="972"/>
      <c r="K7" s="972"/>
      <c r="L7" s="972"/>
      <c r="M7" s="972"/>
      <c r="N7" s="972"/>
      <c r="O7" s="972"/>
      <c r="P7" s="972"/>
    </row>
    <row r="8" spans="1:18">
      <c r="B8" s="490"/>
      <c r="C8" s="490"/>
      <c r="D8" s="490"/>
      <c r="E8" s="490"/>
      <c r="F8" s="490"/>
      <c r="G8" s="490"/>
      <c r="H8" s="490"/>
      <c r="I8" s="490"/>
      <c r="J8" s="490"/>
      <c r="K8" s="490"/>
      <c r="L8" s="490"/>
      <c r="M8" s="490"/>
      <c r="N8" s="509"/>
      <c r="O8" s="509"/>
      <c r="P8" s="490"/>
    </row>
    <row r="9" spans="1:18" ht="15.75">
      <c r="A9" s="973" t="s">
        <v>818</v>
      </c>
      <c r="B9" s="973"/>
      <c r="C9" s="973"/>
      <c r="D9" s="973"/>
      <c r="E9" s="973"/>
      <c r="F9" s="973"/>
      <c r="G9" s="973"/>
      <c r="H9" s="973"/>
      <c r="I9" s="973"/>
      <c r="J9" s="973"/>
      <c r="K9" s="973"/>
      <c r="L9" s="973"/>
      <c r="M9" s="973"/>
      <c r="N9" s="973"/>
      <c r="O9" s="973"/>
      <c r="P9" s="973"/>
      <c r="Q9" s="510"/>
      <c r="R9" s="510"/>
    </row>
    <row r="10" spans="1:18" ht="15.75">
      <c r="A10" s="14"/>
      <c r="B10" s="14"/>
      <c r="C10" s="14"/>
      <c r="D10" s="14"/>
      <c r="E10" s="14"/>
      <c r="F10" s="14"/>
      <c r="G10" s="14"/>
      <c r="H10" s="14"/>
      <c r="I10" s="14"/>
      <c r="J10" s="14"/>
      <c r="K10" s="14"/>
      <c r="L10" s="14"/>
      <c r="M10" s="14"/>
      <c r="N10" s="811"/>
      <c r="O10" s="811"/>
      <c r="P10" s="14"/>
      <c r="Q10" s="510"/>
      <c r="R10" s="510"/>
    </row>
    <row r="11" spans="1:18" ht="116.25" customHeight="1">
      <c r="A11" s="510"/>
      <c r="B11" s="510"/>
      <c r="C11" s="530" t="s">
        <v>470</v>
      </c>
      <c r="D11" s="812" t="s">
        <v>770</v>
      </c>
      <c r="E11" s="52"/>
      <c r="F11" s="812" t="s">
        <v>836</v>
      </c>
      <c r="G11" s="531"/>
      <c r="H11" s="530" t="s">
        <v>851</v>
      </c>
      <c r="I11" s="530" t="s">
        <v>852</v>
      </c>
      <c r="J11" s="812" t="s">
        <v>850</v>
      </c>
      <c r="K11" s="812" t="s">
        <v>853</v>
      </c>
      <c r="L11" s="812" t="s">
        <v>828</v>
      </c>
      <c r="M11" s="531"/>
      <c r="N11" s="812" t="s">
        <v>854</v>
      </c>
      <c r="O11" s="531"/>
      <c r="P11" s="531"/>
      <c r="Q11" s="510"/>
      <c r="R11" s="510"/>
    </row>
    <row r="12" spans="1:18" ht="15.75" customHeight="1">
      <c r="A12" s="510"/>
      <c r="B12" s="510"/>
      <c r="C12" s="510"/>
      <c r="D12" s="123"/>
      <c r="E12" s="531"/>
      <c r="F12" s="811" t="s">
        <v>829</v>
      </c>
      <c r="G12" s="531"/>
      <c r="H12" s="811" t="s">
        <v>830</v>
      </c>
      <c r="I12" s="811" t="s">
        <v>831</v>
      </c>
      <c r="J12" s="811" t="s">
        <v>832</v>
      </c>
      <c r="K12" s="811" t="s">
        <v>833</v>
      </c>
      <c r="L12" s="811" t="s">
        <v>855</v>
      </c>
      <c r="M12" s="811"/>
      <c r="N12" s="811" t="s">
        <v>856</v>
      </c>
      <c r="O12" s="531"/>
      <c r="P12" s="531"/>
      <c r="Q12" s="510"/>
      <c r="R12" s="510"/>
    </row>
    <row r="13" spans="1:18" ht="15.75">
      <c r="A13" s="510"/>
      <c r="B13" s="510"/>
      <c r="C13" s="811">
        <v>1</v>
      </c>
      <c r="D13" s="811" t="s">
        <v>834</v>
      </c>
      <c r="E13" s="531"/>
      <c r="F13" s="813">
        <f>J51</f>
        <v>7248419.2007692307</v>
      </c>
      <c r="G13" s="531"/>
      <c r="H13" s="814">
        <v>0</v>
      </c>
      <c r="I13" s="539">
        <f>F13-H13</f>
        <v>7248419.2007692307</v>
      </c>
      <c r="J13" s="813">
        <f>K51</f>
        <v>7248419.2007692307</v>
      </c>
      <c r="K13" s="813">
        <f>I13-J13</f>
        <v>0</v>
      </c>
      <c r="L13" s="815">
        <f>IF(K15&gt;0,ROUND(K13/K15,4),0)</f>
        <v>0</v>
      </c>
      <c r="M13" s="531"/>
      <c r="N13" s="816">
        <f>ROUND(L13*N15,0)</f>
        <v>0</v>
      </c>
      <c r="O13" s="531"/>
      <c r="P13" s="531"/>
      <c r="Q13" s="510"/>
      <c r="R13" s="510"/>
    </row>
    <row r="14" spans="1:18" ht="15.75">
      <c r="A14" s="510"/>
      <c r="B14" s="510"/>
      <c r="C14" s="811">
        <v>2</v>
      </c>
      <c r="D14" s="811" t="s">
        <v>835</v>
      </c>
      <c r="E14" s="531"/>
      <c r="F14" s="817">
        <f>F51</f>
        <v>21738157.048629519</v>
      </c>
      <c r="G14" s="531"/>
      <c r="H14" s="818">
        <f>'Att O_RPU'!I199</f>
        <v>1344800.64</v>
      </c>
      <c r="I14" s="539">
        <f>F14-H14</f>
        <v>20393356.408629518</v>
      </c>
      <c r="J14" s="817">
        <v>0</v>
      </c>
      <c r="K14" s="817">
        <f>I14-J14</f>
        <v>20393356.408629518</v>
      </c>
      <c r="L14" s="819">
        <f>IF(K15&gt;0,ROUND(K14/K15,4),0)</f>
        <v>1</v>
      </c>
      <c r="M14" s="531"/>
      <c r="N14" s="820">
        <f>ROUND(L14*N15,0)</f>
        <v>3482153</v>
      </c>
      <c r="O14" s="531"/>
      <c r="P14" s="531"/>
      <c r="Q14" s="510"/>
      <c r="R14" s="510"/>
    </row>
    <row r="15" spans="1:18" ht="15.75" customHeight="1">
      <c r="A15" s="510"/>
      <c r="B15" s="510"/>
      <c r="C15" s="811">
        <v>3</v>
      </c>
      <c r="D15" s="811" t="s">
        <v>9</v>
      </c>
      <c r="E15" s="531"/>
      <c r="F15" s="813">
        <f>SUM(F13:F14)</f>
        <v>28986576.249398749</v>
      </c>
      <c r="G15" s="531"/>
      <c r="H15" s="813">
        <f t="shared" ref="H15:I15" si="0">SUM(H13:H14)</f>
        <v>1344800.64</v>
      </c>
      <c r="I15" s="821">
        <f t="shared" si="0"/>
        <v>27641775.609398749</v>
      </c>
      <c r="J15" s="813">
        <f>SUM(J13:J14)</f>
        <v>7248419.2007692307</v>
      </c>
      <c r="K15" s="813">
        <f>SUM(K13:K14)</f>
        <v>20393356.408629518</v>
      </c>
      <c r="L15" s="815">
        <f>SUM(L13:L14)</f>
        <v>1</v>
      </c>
      <c r="M15" s="531"/>
      <c r="N15" s="822">
        <f>'Att O_RPU'!I31</f>
        <v>3482153.0769629469</v>
      </c>
      <c r="O15" s="823" t="s">
        <v>35</v>
      </c>
      <c r="P15" s="531"/>
      <c r="Q15" s="510"/>
      <c r="R15" s="510"/>
    </row>
    <row r="16" spans="1:18" ht="19.5">
      <c r="A16" s="510"/>
      <c r="B16" s="510"/>
      <c r="C16" s="531"/>
      <c r="D16" s="824"/>
      <c r="E16" s="824"/>
      <c r="F16" s="824"/>
      <c r="G16" s="824"/>
      <c r="H16" s="532"/>
      <c r="I16" s="531"/>
      <c r="J16" s="123"/>
      <c r="K16" s="531"/>
      <c r="L16" s="531"/>
      <c r="M16" s="476"/>
      <c r="N16" s="531"/>
      <c r="O16" s="531"/>
      <c r="P16" s="531"/>
      <c r="Q16" s="510"/>
      <c r="R16" s="510"/>
    </row>
    <row r="17" spans="1:18" ht="15.75">
      <c r="A17" s="510"/>
      <c r="B17" s="510"/>
      <c r="C17" s="531"/>
      <c r="D17" s="825" t="s">
        <v>857</v>
      </c>
      <c r="E17" s="533"/>
      <c r="F17" s="533"/>
      <c r="G17" s="533"/>
      <c r="H17" s="533"/>
      <c r="I17" s="534"/>
      <c r="J17" s="826"/>
      <c r="K17" s="531"/>
      <c r="L17" s="531"/>
      <c r="M17" s="535"/>
      <c r="N17" s="531"/>
      <c r="O17" s="531"/>
      <c r="P17" s="531"/>
      <c r="Q17" s="510"/>
      <c r="R17" s="510"/>
    </row>
    <row r="18" spans="1:18" ht="15.75">
      <c r="A18" s="510"/>
      <c r="B18" s="510"/>
      <c r="C18" s="531"/>
      <c r="D18" s="123" t="str">
        <f>CONCATENATE("(2) Total RPU Gross Plant In Service from Att O_RPU, page 2 of 5, line 2, col (5) for ",'Att O_RPU'!E318)</f>
        <v>(2) Total RPU Gross Plant In Service from Att O_RPU, page 2 of 5, line 2, col (5) for 2015</v>
      </c>
      <c r="E18" s="531"/>
      <c r="F18" s="531"/>
      <c r="G18" s="531"/>
      <c r="H18" s="531"/>
      <c r="I18" s="531"/>
      <c r="J18" s="531"/>
      <c r="K18" s="531"/>
      <c r="L18" s="531"/>
      <c r="M18" s="531"/>
      <c r="N18" s="531"/>
      <c r="O18" s="531"/>
      <c r="P18" s="531"/>
      <c r="Q18" s="510"/>
      <c r="R18" s="510"/>
    </row>
    <row r="19" spans="1:18" ht="15.75">
      <c r="A19" s="510"/>
      <c r="B19" s="510"/>
      <c r="C19" s="531"/>
      <c r="D19" s="123" t="str">
        <f>CONCATENATE("(3) Total RPU ATRR from Att O_RPU, page 1 of 5, line 7 for ",'Att O_RPU'!E318)</f>
        <v>(3) Total RPU ATRR from Att O_RPU, page 1 of 5, line 7 for 2015</v>
      </c>
      <c r="E19" s="531"/>
      <c r="F19" s="531"/>
      <c r="G19" s="531"/>
      <c r="H19" s="531"/>
      <c r="I19" s="531"/>
      <c r="J19" s="531"/>
      <c r="K19" s="531"/>
      <c r="L19" s="531"/>
      <c r="M19" s="531"/>
      <c r="N19" s="531"/>
      <c r="O19" s="531"/>
      <c r="P19" s="531"/>
      <c r="Q19" s="510"/>
      <c r="R19" s="510"/>
    </row>
    <row r="20" spans="1:18" ht="16.5" customHeight="1">
      <c r="A20" s="510"/>
      <c r="B20" s="510"/>
      <c r="C20" s="531"/>
      <c r="D20" s="531"/>
      <c r="E20" s="531"/>
      <c r="F20" s="531"/>
      <c r="G20" s="531"/>
      <c r="H20" s="531"/>
      <c r="I20" s="531"/>
      <c r="J20" s="531"/>
      <c r="K20" s="531"/>
      <c r="L20" s="531"/>
      <c r="M20" s="531"/>
      <c r="N20" s="531"/>
      <c r="O20" s="531"/>
      <c r="P20" s="531"/>
      <c r="Q20" s="510"/>
      <c r="R20" s="510"/>
    </row>
    <row r="21" spans="1:18">
      <c r="A21" s="510"/>
      <c r="B21" s="510"/>
      <c r="C21" s="510"/>
      <c r="D21" s="510"/>
      <c r="E21" s="510"/>
      <c r="F21" s="510"/>
      <c r="G21" s="510"/>
      <c r="H21" s="510"/>
      <c r="I21" s="510"/>
      <c r="J21" s="510"/>
      <c r="K21" s="510"/>
      <c r="L21" s="510"/>
      <c r="M21" s="510"/>
      <c r="N21" s="531"/>
      <c r="O21" s="531"/>
      <c r="P21" s="510"/>
      <c r="Q21" s="510"/>
      <c r="R21" s="510"/>
    </row>
    <row r="22" spans="1:18">
      <c r="A22" s="510"/>
      <c r="B22" s="510"/>
      <c r="C22" s="510"/>
      <c r="D22" s="510"/>
      <c r="E22" s="510"/>
      <c r="F22" s="510"/>
      <c r="G22" s="510"/>
      <c r="H22" s="510"/>
      <c r="I22" s="510"/>
      <c r="J22" s="510"/>
      <c r="K22" s="510"/>
      <c r="L22" s="510"/>
      <c r="M22" s="510"/>
      <c r="N22" s="531"/>
      <c r="O22" s="531"/>
      <c r="P22" s="510"/>
      <c r="Q22" s="510"/>
      <c r="R22" s="510"/>
    </row>
    <row r="23" spans="1:18" ht="18" customHeight="1">
      <c r="A23" s="510"/>
      <c r="B23" s="510"/>
      <c r="C23" s="510"/>
      <c r="D23" s="510"/>
      <c r="E23" s="510"/>
      <c r="F23" s="510"/>
      <c r="G23" s="510"/>
      <c r="H23" s="510"/>
      <c r="I23" s="510"/>
      <c r="J23" s="510"/>
      <c r="K23" s="510"/>
      <c r="L23" s="510"/>
      <c r="M23" s="510"/>
      <c r="N23" s="531"/>
      <c r="O23" s="531"/>
      <c r="P23" s="510"/>
      <c r="Q23" s="510"/>
      <c r="R23" s="510"/>
    </row>
    <row r="24" spans="1:18" ht="15.75" customHeight="1">
      <c r="A24" s="510"/>
      <c r="B24" s="510"/>
      <c r="C24" s="510"/>
      <c r="D24" s="510"/>
      <c r="E24" s="510"/>
      <c r="F24" s="510"/>
      <c r="G24" s="510"/>
      <c r="H24" s="510"/>
      <c r="I24" s="510"/>
      <c r="J24" s="510"/>
      <c r="K24" s="510"/>
      <c r="L24" s="510"/>
      <c r="M24" s="510"/>
      <c r="N24" s="531"/>
      <c r="O24" s="531"/>
      <c r="P24" s="510"/>
      <c r="Q24" s="510"/>
      <c r="R24" s="510"/>
    </row>
    <row r="25" spans="1:18">
      <c r="A25" s="510"/>
      <c r="B25" s="510"/>
      <c r="C25" s="510"/>
      <c r="D25" s="510"/>
      <c r="E25" s="510"/>
      <c r="F25" s="510"/>
      <c r="G25" s="510"/>
      <c r="H25" s="510"/>
      <c r="I25" s="510"/>
      <c r="J25" s="510"/>
      <c r="K25" s="510"/>
      <c r="L25" s="510"/>
      <c r="M25" s="510"/>
      <c r="N25" s="531"/>
      <c r="O25" s="531"/>
      <c r="P25" s="510"/>
      <c r="Q25" s="510"/>
      <c r="R25" s="510"/>
    </row>
    <row r="26" spans="1:18" ht="15.75">
      <c r="A26" s="510"/>
      <c r="B26" s="796"/>
      <c r="C26" s="796"/>
      <c r="D26" s="796"/>
      <c r="E26" s="796"/>
      <c r="F26" s="796"/>
      <c r="G26" s="796"/>
      <c r="H26" s="796"/>
      <c r="I26" s="796"/>
      <c r="J26" s="796"/>
      <c r="K26" s="796"/>
      <c r="L26" s="796"/>
      <c r="M26" s="796"/>
      <c r="N26" s="52"/>
      <c r="O26" s="52"/>
      <c r="P26" s="510"/>
      <c r="Q26" s="510"/>
      <c r="R26" s="13" t="str">
        <f>'Att O_RPU'!K3</f>
        <v>For the 12 months ended 12/31/15</v>
      </c>
    </row>
    <row r="27" spans="1:18" ht="15.75">
      <c r="A27" s="510"/>
      <c r="B27" s="796"/>
      <c r="C27" s="796"/>
      <c r="D27" s="796"/>
      <c r="E27" s="13"/>
      <c r="F27" s="796"/>
      <c r="G27" s="796"/>
      <c r="H27" s="796"/>
      <c r="I27" s="796"/>
      <c r="J27" s="796"/>
      <c r="K27" s="796"/>
      <c r="L27" s="796"/>
      <c r="M27" s="796"/>
      <c r="N27" s="52"/>
      <c r="O27" s="52"/>
      <c r="P27" s="796"/>
      <c r="Q27" s="510"/>
      <c r="R27" s="64" t="s">
        <v>735</v>
      </c>
    </row>
    <row r="28" spans="1:18" ht="15.75">
      <c r="A28" s="958" t="s">
        <v>638</v>
      </c>
      <c r="B28" s="958"/>
      <c r="C28" s="958"/>
      <c r="D28" s="958"/>
      <c r="E28" s="958"/>
      <c r="F28" s="958"/>
      <c r="G28" s="958"/>
      <c r="H28" s="958"/>
      <c r="I28" s="958"/>
      <c r="J28" s="958"/>
      <c r="K28" s="958"/>
      <c r="L28" s="958"/>
      <c r="M28" s="958"/>
      <c r="N28" s="958"/>
      <c r="O28" s="958"/>
      <c r="P28" s="958"/>
      <c r="Q28" s="510"/>
      <c r="R28" s="510"/>
    </row>
    <row r="29" spans="1:18" ht="15.75">
      <c r="A29" s="958" t="s">
        <v>815</v>
      </c>
      <c r="B29" s="958"/>
      <c r="C29" s="958"/>
      <c r="D29" s="958"/>
      <c r="E29" s="958"/>
      <c r="F29" s="958"/>
      <c r="G29" s="958"/>
      <c r="H29" s="958"/>
      <c r="I29" s="958"/>
      <c r="J29" s="958"/>
      <c r="K29" s="958"/>
      <c r="L29" s="958"/>
      <c r="M29" s="958"/>
      <c r="N29" s="958"/>
      <c r="O29" s="958"/>
      <c r="P29" s="958"/>
      <c r="Q29" s="510"/>
      <c r="R29" s="510"/>
    </row>
    <row r="30" spans="1:18" ht="15.75">
      <c r="A30" s="796"/>
      <c r="B30" s="796"/>
      <c r="C30" s="796"/>
      <c r="D30" s="796"/>
      <c r="E30" s="796"/>
      <c r="F30" s="796"/>
      <c r="G30" s="796"/>
      <c r="H30" s="796"/>
      <c r="I30" s="796"/>
      <c r="J30" s="796"/>
      <c r="K30" s="796"/>
      <c r="L30" s="796"/>
      <c r="M30" s="796"/>
      <c r="N30" s="52"/>
      <c r="O30" s="52"/>
      <c r="P30" s="510"/>
      <c r="Q30" s="510"/>
      <c r="R30" s="510"/>
    </row>
    <row r="31" spans="1:18">
      <c r="A31" s="510"/>
      <c r="B31" s="510"/>
      <c r="C31" s="510"/>
      <c r="D31" s="510"/>
      <c r="E31" s="510"/>
      <c r="F31" s="510"/>
      <c r="G31" s="510"/>
      <c r="H31" s="510"/>
      <c r="I31" s="510"/>
      <c r="J31" s="510"/>
      <c r="K31" s="510"/>
      <c r="L31" s="510"/>
      <c r="M31" s="510"/>
      <c r="N31" s="531"/>
      <c r="O31" s="531"/>
      <c r="P31" s="510"/>
      <c r="Q31" s="510"/>
      <c r="R31" s="510"/>
    </row>
    <row r="32" spans="1:18" ht="15.75">
      <c r="A32" s="972" t="s">
        <v>826</v>
      </c>
      <c r="B32" s="972"/>
      <c r="C32" s="972"/>
      <c r="D32" s="972"/>
      <c r="E32" s="972"/>
      <c r="F32" s="972"/>
      <c r="G32" s="972"/>
      <c r="H32" s="972"/>
      <c r="I32" s="972"/>
      <c r="J32" s="972"/>
      <c r="K32" s="972"/>
      <c r="L32" s="972"/>
      <c r="M32" s="972"/>
      <c r="N32" s="972"/>
      <c r="O32" s="972"/>
      <c r="P32" s="972"/>
      <c r="Q32" s="510"/>
      <c r="R32" s="510"/>
    </row>
    <row r="33" spans="1:18" ht="15.75">
      <c r="A33" s="510"/>
      <c r="B33" s="796"/>
      <c r="C33" s="796"/>
      <c r="D33" s="796"/>
      <c r="E33" s="796"/>
      <c r="F33" s="796"/>
      <c r="G33" s="796"/>
      <c r="H33" s="796"/>
      <c r="I33" s="796"/>
      <c r="J33" s="796"/>
      <c r="K33" s="796"/>
      <c r="L33" s="796"/>
      <c r="M33" s="796"/>
      <c r="N33" s="52"/>
      <c r="O33" s="52"/>
      <c r="P33" s="796"/>
      <c r="Q33" s="510"/>
      <c r="R33" s="510"/>
    </row>
    <row r="34" spans="1:18" ht="15" customHeight="1">
      <c r="A34" s="973" t="s">
        <v>818</v>
      </c>
      <c r="B34" s="973"/>
      <c r="C34" s="973"/>
      <c r="D34" s="973"/>
      <c r="E34" s="973"/>
      <c r="F34" s="973"/>
      <c r="G34" s="973"/>
      <c r="H34" s="973"/>
      <c r="I34" s="973"/>
      <c r="J34" s="973"/>
      <c r="K34" s="973"/>
      <c r="L34" s="973"/>
      <c r="M34" s="973"/>
      <c r="N34" s="973"/>
      <c r="O34" s="973"/>
      <c r="P34" s="973"/>
      <c r="Q34" s="510"/>
      <c r="R34" s="510"/>
    </row>
    <row r="35" spans="1:18" ht="15.75">
      <c r="A35" s="510"/>
      <c r="B35" s="827"/>
      <c r="C35" s="510"/>
      <c r="D35" s="974" t="s">
        <v>819</v>
      </c>
      <c r="E35" s="974"/>
      <c r="F35" s="974"/>
      <c r="G35" s="827"/>
      <c r="H35" s="974" t="s">
        <v>820</v>
      </c>
      <c r="I35" s="974"/>
      <c r="J35" s="974"/>
      <c r="K35" s="974"/>
      <c r="L35" s="974"/>
      <c r="M35" s="651"/>
      <c r="N35" s="827"/>
      <c r="O35" s="827"/>
      <c r="P35" s="828"/>
      <c r="Q35" s="651"/>
      <c r="R35" s="827"/>
    </row>
    <row r="36" spans="1:18" ht="62.25" customHeight="1">
      <c r="A36" s="536" t="s">
        <v>470</v>
      </c>
      <c r="B36" s="38" t="s">
        <v>827</v>
      </c>
      <c r="C36" s="706" t="s">
        <v>472</v>
      </c>
      <c r="D36" s="666" t="s">
        <v>821</v>
      </c>
      <c r="E36" s="666" t="s">
        <v>400</v>
      </c>
      <c r="F36" s="666" t="s">
        <v>822</v>
      </c>
      <c r="G36" s="666"/>
      <c r="H36" s="666" t="s">
        <v>821</v>
      </c>
      <c r="I36" s="666" t="s">
        <v>400</v>
      </c>
      <c r="J36" s="666" t="s">
        <v>823</v>
      </c>
      <c r="K36" s="666" t="s">
        <v>824</v>
      </c>
      <c r="L36" s="666" t="s">
        <v>825</v>
      </c>
      <c r="M36" s="666"/>
      <c r="N36" s="666" t="s">
        <v>858</v>
      </c>
      <c r="O36" s="666"/>
      <c r="P36" s="829" t="s">
        <v>859</v>
      </c>
      <c r="Q36" s="666"/>
      <c r="R36" s="666" t="s">
        <v>672</v>
      </c>
    </row>
    <row r="37" spans="1:18">
      <c r="A37" s="510"/>
      <c r="B37" s="510"/>
      <c r="C37" s="510"/>
      <c r="D37" s="510"/>
      <c r="E37" s="510"/>
      <c r="F37" s="510"/>
      <c r="G37" s="510"/>
      <c r="H37" s="510"/>
      <c r="I37" s="510"/>
      <c r="J37" s="510"/>
      <c r="K37" s="510"/>
      <c r="L37" s="510"/>
      <c r="M37" s="510"/>
      <c r="N37" s="510"/>
      <c r="O37" s="510"/>
      <c r="P37" s="531"/>
      <c r="Q37" s="510"/>
      <c r="R37" s="510"/>
    </row>
    <row r="38" spans="1:18" ht="15.75">
      <c r="A38" s="14">
        <v>1</v>
      </c>
      <c r="B38" s="639" t="s">
        <v>468</v>
      </c>
      <c r="C38" s="830">
        <f>'Att O_RPU'!E317</f>
        <v>2014</v>
      </c>
      <c r="D38" s="831">
        <f>Plant!G6</f>
        <v>21736283.640167981</v>
      </c>
      <c r="E38" s="831">
        <v>0</v>
      </c>
      <c r="F38" s="831">
        <f>Plant!G6</f>
        <v>21736283.640167981</v>
      </c>
      <c r="G38" s="832"/>
      <c r="H38" s="831">
        <f>Plant!H6</f>
        <v>4692391.370000001</v>
      </c>
      <c r="I38" s="833">
        <v>0</v>
      </c>
      <c r="J38" s="831">
        <f>+H38+I38</f>
        <v>4692391.370000001</v>
      </c>
      <c r="K38" s="831">
        <f>Plant!H6</f>
        <v>4692391.370000001</v>
      </c>
      <c r="L38" s="831">
        <f>+J38-K38</f>
        <v>0</v>
      </c>
      <c r="M38" s="832"/>
      <c r="N38" s="831">
        <f>F38+J38</f>
        <v>26428675.010167982</v>
      </c>
      <c r="O38" s="832"/>
      <c r="P38" s="831">
        <f>Plant!I6</f>
        <v>1928351.18</v>
      </c>
      <c r="Q38" s="832"/>
      <c r="R38" s="831">
        <f>F38+J38+P38</f>
        <v>28357026.190167982</v>
      </c>
    </row>
    <row r="39" spans="1:18" ht="15.75">
      <c r="A39" s="14">
        <v>2</v>
      </c>
      <c r="B39" s="639" t="s">
        <v>457</v>
      </c>
      <c r="C39" s="830">
        <f>'Att O_RPU'!E318</f>
        <v>2015</v>
      </c>
      <c r="D39" s="833">
        <f>D38</f>
        <v>21736283.640167981</v>
      </c>
      <c r="E39" s="833">
        <v>0</v>
      </c>
      <c r="F39" s="834">
        <f>D39+E39</f>
        <v>21736283.640167981</v>
      </c>
      <c r="G39" s="832"/>
      <c r="H39" s="833">
        <f>H38</f>
        <v>4692391.370000001</v>
      </c>
      <c r="I39" s="833">
        <f>Plant!H7-Plant!H$6</f>
        <v>-2742.6200000001118</v>
      </c>
      <c r="J39" s="833">
        <f>+H39+I39</f>
        <v>4689648.7500000009</v>
      </c>
      <c r="K39" s="833">
        <f>Plant!H7</f>
        <v>4689648.7500000009</v>
      </c>
      <c r="L39" s="833">
        <f>+J39-K39</f>
        <v>0</v>
      </c>
      <c r="M39" s="832"/>
      <c r="N39" s="833">
        <f>F39+J39</f>
        <v>26425932.390167981</v>
      </c>
      <c r="O39" s="832"/>
      <c r="P39" s="833">
        <f>Plant!I7</f>
        <v>1928351.18</v>
      </c>
      <c r="Q39" s="832"/>
      <c r="R39" s="833">
        <f t="shared" ref="R39:R50" si="1">+F39+J39+P39</f>
        <v>28354283.570167981</v>
      </c>
    </row>
    <row r="40" spans="1:18" ht="15.75">
      <c r="A40" s="14">
        <v>3</v>
      </c>
      <c r="B40" s="639" t="s">
        <v>458</v>
      </c>
      <c r="C40" s="830">
        <f>C39</f>
        <v>2015</v>
      </c>
      <c r="D40" s="833">
        <f t="shared" ref="D40:D50" si="2">D39</f>
        <v>21736283.640167981</v>
      </c>
      <c r="E40" s="833">
        <v>0</v>
      </c>
      <c r="F40" s="834">
        <f t="shared" ref="F40:F50" si="3">D40+E40</f>
        <v>21736283.640167981</v>
      </c>
      <c r="G40" s="832"/>
      <c r="H40" s="833">
        <f t="shared" ref="H40:H50" si="4">H39</f>
        <v>4692391.370000001</v>
      </c>
      <c r="I40" s="833">
        <f>Plant!H8-Plant!H$6</f>
        <v>-2742.6200000001118</v>
      </c>
      <c r="J40" s="833">
        <f t="shared" ref="J40:J50" si="5">+H40+I40</f>
        <v>4689648.7500000009</v>
      </c>
      <c r="K40" s="834">
        <f>Plant!H8</f>
        <v>4689648.7500000009</v>
      </c>
      <c r="L40" s="834">
        <f t="shared" ref="L40:L50" si="6">+J40-K40</f>
        <v>0</v>
      </c>
      <c r="M40" s="832"/>
      <c r="N40" s="833">
        <f t="shared" ref="N40:N50" si="7">F40+J40</f>
        <v>26425932.390167981</v>
      </c>
      <c r="O40" s="832"/>
      <c r="P40" s="833">
        <f>Plant!I8</f>
        <v>1928351.18</v>
      </c>
      <c r="Q40" s="832"/>
      <c r="R40" s="833">
        <f t="shared" si="1"/>
        <v>28354283.570167981</v>
      </c>
    </row>
    <row r="41" spans="1:18" ht="15.75">
      <c r="A41" s="14">
        <v>4</v>
      </c>
      <c r="B41" s="639" t="s">
        <v>459</v>
      </c>
      <c r="C41" s="830">
        <f t="shared" ref="C41:C50" si="8">C40</f>
        <v>2015</v>
      </c>
      <c r="D41" s="833">
        <f t="shared" si="2"/>
        <v>21736283.640167981</v>
      </c>
      <c r="E41" s="833">
        <v>0</v>
      </c>
      <c r="F41" s="834">
        <f t="shared" si="3"/>
        <v>21736283.640167981</v>
      </c>
      <c r="G41" s="832"/>
      <c r="H41" s="833">
        <f t="shared" si="4"/>
        <v>4692391.370000001</v>
      </c>
      <c r="I41" s="833">
        <f>Plant!H9-Plant!H$6</f>
        <v>-2742.6200000001118</v>
      </c>
      <c r="J41" s="833">
        <f t="shared" si="5"/>
        <v>4689648.7500000009</v>
      </c>
      <c r="K41" s="834">
        <f>Plant!H9</f>
        <v>4689648.7500000009</v>
      </c>
      <c r="L41" s="834">
        <f t="shared" si="6"/>
        <v>0</v>
      </c>
      <c r="M41" s="832"/>
      <c r="N41" s="833">
        <f t="shared" si="7"/>
        <v>26425932.390167981</v>
      </c>
      <c r="O41" s="832"/>
      <c r="P41" s="833">
        <f>Plant!I9</f>
        <v>1928351.18</v>
      </c>
      <c r="Q41" s="832"/>
      <c r="R41" s="833">
        <f t="shared" si="1"/>
        <v>28354283.570167981</v>
      </c>
    </row>
    <row r="42" spans="1:18" ht="15.75">
      <c r="A42" s="14">
        <v>5</v>
      </c>
      <c r="B42" s="639" t="s">
        <v>460</v>
      </c>
      <c r="C42" s="830">
        <f t="shared" si="8"/>
        <v>2015</v>
      </c>
      <c r="D42" s="833">
        <f t="shared" si="2"/>
        <v>21736283.640167981</v>
      </c>
      <c r="E42" s="833">
        <v>0</v>
      </c>
      <c r="F42" s="834">
        <f t="shared" si="3"/>
        <v>21736283.640167981</v>
      </c>
      <c r="G42" s="832"/>
      <c r="H42" s="833">
        <f t="shared" si="4"/>
        <v>4692391.370000001</v>
      </c>
      <c r="I42" s="833">
        <f>Plant!H10-Plant!H$6</f>
        <v>-2742.6200000001118</v>
      </c>
      <c r="J42" s="833">
        <f t="shared" si="5"/>
        <v>4689648.7500000009</v>
      </c>
      <c r="K42" s="834">
        <f>Plant!H10</f>
        <v>4689648.7500000009</v>
      </c>
      <c r="L42" s="834">
        <f t="shared" si="6"/>
        <v>0</v>
      </c>
      <c r="M42" s="832"/>
      <c r="N42" s="833">
        <f t="shared" si="7"/>
        <v>26425932.390167981</v>
      </c>
      <c r="O42" s="832"/>
      <c r="P42" s="833">
        <f>Plant!I10</f>
        <v>1928351.18</v>
      </c>
      <c r="Q42" s="832"/>
      <c r="R42" s="833">
        <f t="shared" si="1"/>
        <v>28354283.570167981</v>
      </c>
    </row>
    <row r="43" spans="1:18" ht="15.75">
      <c r="A43" s="14">
        <v>6</v>
      </c>
      <c r="B43" s="639" t="s">
        <v>461</v>
      </c>
      <c r="C43" s="830">
        <f t="shared" si="8"/>
        <v>2015</v>
      </c>
      <c r="D43" s="833">
        <f t="shared" si="2"/>
        <v>21736283.640167981</v>
      </c>
      <c r="E43" s="833">
        <v>0</v>
      </c>
      <c r="F43" s="834">
        <f t="shared" si="3"/>
        <v>21736283.640167981</v>
      </c>
      <c r="G43" s="832"/>
      <c r="H43" s="833">
        <f t="shared" si="4"/>
        <v>4692391.370000001</v>
      </c>
      <c r="I43" s="833">
        <f>Plant!H11-Plant!H$6</f>
        <v>-2742.6200000001118</v>
      </c>
      <c r="J43" s="833">
        <f t="shared" si="5"/>
        <v>4689648.7500000009</v>
      </c>
      <c r="K43" s="834">
        <f>Plant!H11</f>
        <v>4689648.7500000009</v>
      </c>
      <c r="L43" s="834">
        <f t="shared" si="6"/>
        <v>0</v>
      </c>
      <c r="M43" s="832"/>
      <c r="N43" s="833">
        <f t="shared" si="7"/>
        <v>26425932.390167981</v>
      </c>
      <c r="O43" s="832"/>
      <c r="P43" s="833">
        <f>Plant!I11</f>
        <v>1928351.18</v>
      </c>
      <c r="Q43" s="832"/>
      <c r="R43" s="833">
        <f t="shared" si="1"/>
        <v>28354283.570167981</v>
      </c>
    </row>
    <row r="44" spans="1:18" ht="15.75">
      <c r="A44" s="14">
        <v>7</v>
      </c>
      <c r="B44" s="639" t="s">
        <v>462</v>
      </c>
      <c r="C44" s="830">
        <f t="shared" si="8"/>
        <v>2015</v>
      </c>
      <c r="D44" s="833">
        <f t="shared" si="2"/>
        <v>21736283.640167981</v>
      </c>
      <c r="E44" s="833">
        <v>0</v>
      </c>
      <c r="F44" s="834">
        <f t="shared" si="3"/>
        <v>21736283.640167981</v>
      </c>
      <c r="G44" s="832"/>
      <c r="H44" s="833">
        <f t="shared" si="4"/>
        <v>4692391.370000001</v>
      </c>
      <c r="I44" s="833">
        <f>Plant!H12-Plant!H$6</f>
        <v>-2742.6200000001118</v>
      </c>
      <c r="J44" s="833">
        <f t="shared" si="5"/>
        <v>4689648.7500000009</v>
      </c>
      <c r="K44" s="834">
        <f>Plant!H12</f>
        <v>4689648.7500000009</v>
      </c>
      <c r="L44" s="834">
        <f t="shared" si="6"/>
        <v>0</v>
      </c>
      <c r="M44" s="832"/>
      <c r="N44" s="833">
        <f t="shared" si="7"/>
        <v>26425932.390167981</v>
      </c>
      <c r="O44" s="832"/>
      <c r="P44" s="833">
        <f>Plant!I12</f>
        <v>1928351.18</v>
      </c>
      <c r="Q44" s="832"/>
      <c r="R44" s="833">
        <f t="shared" si="1"/>
        <v>28354283.570167981</v>
      </c>
    </row>
    <row r="45" spans="1:18" ht="15.75">
      <c r="A45" s="14">
        <v>8</v>
      </c>
      <c r="B45" s="639" t="s">
        <v>463</v>
      </c>
      <c r="C45" s="830">
        <f t="shared" si="8"/>
        <v>2015</v>
      </c>
      <c r="D45" s="833">
        <f t="shared" si="2"/>
        <v>21736283.640167981</v>
      </c>
      <c r="E45" s="833">
        <v>0</v>
      </c>
      <c r="F45" s="834">
        <f t="shared" si="3"/>
        <v>21736283.640167981</v>
      </c>
      <c r="G45" s="832"/>
      <c r="H45" s="833">
        <f t="shared" si="4"/>
        <v>4692391.370000001</v>
      </c>
      <c r="I45" s="833">
        <f>Plant!H13-Plant!H$6</f>
        <v>-2742.6200000001118</v>
      </c>
      <c r="J45" s="833">
        <f t="shared" si="5"/>
        <v>4689648.7500000009</v>
      </c>
      <c r="K45" s="834">
        <f>Plant!H13</f>
        <v>4689648.7500000009</v>
      </c>
      <c r="L45" s="834">
        <f t="shared" si="6"/>
        <v>0</v>
      </c>
      <c r="M45" s="832"/>
      <c r="N45" s="833">
        <f t="shared" si="7"/>
        <v>26425932.390167981</v>
      </c>
      <c r="O45" s="832"/>
      <c r="P45" s="833">
        <f>Plant!I13</f>
        <v>1928351.18</v>
      </c>
      <c r="Q45" s="832"/>
      <c r="R45" s="833">
        <f t="shared" si="1"/>
        <v>28354283.570167981</v>
      </c>
    </row>
    <row r="46" spans="1:18" ht="15.75">
      <c r="A46" s="14">
        <v>9</v>
      </c>
      <c r="B46" s="639" t="s">
        <v>464</v>
      </c>
      <c r="C46" s="830">
        <f t="shared" si="8"/>
        <v>2015</v>
      </c>
      <c r="D46" s="833">
        <f t="shared" si="2"/>
        <v>21736283.640167981</v>
      </c>
      <c r="E46" s="833">
        <v>0</v>
      </c>
      <c r="F46" s="834">
        <f t="shared" si="3"/>
        <v>21736283.640167981</v>
      </c>
      <c r="G46" s="832"/>
      <c r="H46" s="833">
        <f t="shared" si="4"/>
        <v>4692391.370000001</v>
      </c>
      <c r="I46" s="833">
        <f>Plant!H14-Plant!H$6</f>
        <v>-2742.6200000001118</v>
      </c>
      <c r="J46" s="833">
        <f t="shared" si="5"/>
        <v>4689648.7500000009</v>
      </c>
      <c r="K46" s="834">
        <f>Plant!H14</f>
        <v>4689648.7500000009</v>
      </c>
      <c r="L46" s="834">
        <f t="shared" si="6"/>
        <v>0</v>
      </c>
      <c r="M46" s="832"/>
      <c r="N46" s="833">
        <f t="shared" si="7"/>
        <v>26425932.390167981</v>
      </c>
      <c r="O46" s="832"/>
      <c r="P46" s="833">
        <f>Plant!I14</f>
        <v>1928351.18</v>
      </c>
      <c r="Q46" s="832"/>
      <c r="R46" s="833">
        <f t="shared" si="1"/>
        <v>28354283.570167981</v>
      </c>
    </row>
    <row r="47" spans="1:18" ht="15.75">
      <c r="A47" s="14">
        <v>10</v>
      </c>
      <c r="B47" s="639" t="s">
        <v>465</v>
      </c>
      <c r="C47" s="830">
        <f t="shared" si="8"/>
        <v>2015</v>
      </c>
      <c r="D47" s="833">
        <f t="shared" si="2"/>
        <v>21736283.640167981</v>
      </c>
      <c r="E47" s="833">
        <v>0</v>
      </c>
      <c r="F47" s="834">
        <f t="shared" si="3"/>
        <v>21736283.640167981</v>
      </c>
      <c r="G47" s="832"/>
      <c r="H47" s="833">
        <f t="shared" si="4"/>
        <v>4692391.370000001</v>
      </c>
      <c r="I47" s="833">
        <f>Plant!H15-Plant!H$6</f>
        <v>-2742.6200000001118</v>
      </c>
      <c r="J47" s="833">
        <f t="shared" si="5"/>
        <v>4689648.7500000009</v>
      </c>
      <c r="K47" s="834">
        <f>Plant!H15</f>
        <v>4689648.7500000009</v>
      </c>
      <c r="L47" s="834">
        <f t="shared" si="6"/>
        <v>0</v>
      </c>
      <c r="M47" s="832"/>
      <c r="N47" s="833">
        <f t="shared" si="7"/>
        <v>26425932.390167981</v>
      </c>
      <c r="O47" s="832"/>
      <c r="P47" s="833">
        <f>Plant!I15</f>
        <v>1928351.18</v>
      </c>
      <c r="Q47" s="832"/>
      <c r="R47" s="833">
        <f t="shared" si="1"/>
        <v>28354283.570167981</v>
      </c>
    </row>
    <row r="48" spans="1:18" ht="15.75">
      <c r="A48" s="14">
        <v>11</v>
      </c>
      <c r="B48" s="639" t="s">
        <v>466</v>
      </c>
      <c r="C48" s="830">
        <f t="shared" si="8"/>
        <v>2015</v>
      </c>
      <c r="D48" s="833">
        <f t="shared" si="2"/>
        <v>21736283.640167981</v>
      </c>
      <c r="E48" s="833">
        <v>0</v>
      </c>
      <c r="F48" s="834">
        <f t="shared" si="3"/>
        <v>21736283.640167981</v>
      </c>
      <c r="G48" s="832"/>
      <c r="H48" s="833">
        <f t="shared" si="4"/>
        <v>4692391.370000001</v>
      </c>
      <c r="I48" s="833">
        <f>Plant!H16-Plant!H$6</f>
        <v>11084348.460000001</v>
      </c>
      <c r="J48" s="833">
        <f t="shared" si="5"/>
        <v>15776739.830000002</v>
      </c>
      <c r="K48" s="834">
        <f>Plant!H16</f>
        <v>15776739.830000002</v>
      </c>
      <c r="L48" s="834">
        <f t="shared" si="6"/>
        <v>0</v>
      </c>
      <c r="M48" s="832"/>
      <c r="N48" s="833">
        <f t="shared" si="7"/>
        <v>37513023.47016798</v>
      </c>
      <c r="O48" s="832"/>
      <c r="P48" s="833">
        <f>Plant!I16</f>
        <v>1928351.18</v>
      </c>
      <c r="Q48" s="832"/>
      <c r="R48" s="833">
        <f t="shared" si="1"/>
        <v>39441374.650167979</v>
      </c>
    </row>
    <row r="49" spans="1:26" ht="15.75">
      <c r="A49" s="14">
        <v>12</v>
      </c>
      <c r="B49" s="639" t="s">
        <v>467</v>
      </c>
      <c r="C49" s="830">
        <f t="shared" si="8"/>
        <v>2015</v>
      </c>
      <c r="D49" s="833">
        <f t="shared" si="2"/>
        <v>21736283.640167981</v>
      </c>
      <c r="E49" s="833">
        <v>0</v>
      </c>
      <c r="F49" s="834">
        <f t="shared" si="3"/>
        <v>21736283.640167981</v>
      </c>
      <c r="G49" s="832"/>
      <c r="H49" s="833">
        <f t="shared" si="4"/>
        <v>4692391.370000001</v>
      </c>
      <c r="I49" s="833">
        <f>Plant!H17-Plant!H$6</f>
        <v>11084348.460000001</v>
      </c>
      <c r="J49" s="833">
        <f t="shared" si="5"/>
        <v>15776739.830000002</v>
      </c>
      <c r="K49" s="834">
        <f>Plant!H17</f>
        <v>15776739.830000002</v>
      </c>
      <c r="L49" s="834">
        <f t="shared" si="6"/>
        <v>0</v>
      </c>
      <c r="M49" s="832"/>
      <c r="N49" s="833">
        <f t="shared" si="7"/>
        <v>37513023.47016798</v>
      </c>
      <c r="O49" s="832"/>
      <c r="P49" s="833">
        <f>Plant!I17</f>
        <v>1928351.18</v>
      </c>
      <c r="Q49" s="832"/>
      <c r="R49" s="833">
        <f t="shared" si="1"/>
        <v>39441374.650167979</v>
      </c>
    </row>
    <row r="50" spans="1:26" ht="18">
      <c r="A50" s="14">
        <v>13</v>
      </c>
      <c r="B50" s="639" t="s">
        <v>468</v>
      </c>
      <c r="C50" s="830">
        <f t="shared" si="8"/>
        <v>2015</v>
      </c>
      <c r="D50" s="833">
        <f t="shared" si="2"/>
        <v>21736283.640167981</v>
      </c>
      <c r="E50" s="833">
        <f>Plant!G18-Plant!G$6</f>
        <v>24354.309999998659</v>
      </c>
      <c r="F50" s="834">
        <f t="shared" si="3"/>
        <v>21760637.95016798</v>
      </c>
      <c r="G50" s="835"/>
      <c r="H50" s="833">
        <f t="shared" si="4"/>
        <v>4692391.370000001</v>
      </c>
      <c r="I50" s="833">
        <f>Plant!H18-Plant!H$6</f>
        <v>11084348.460000001</v>
      </c>
      <c r="J50" s="834">
        <f t="shared" si="5"/>
        <v>15776739.830000002</v>
      </c>
      <c r="K50" s="834">
        <f>Plant!H18</f>
        <v>15776739.830000002</v>
      </c>
      <c r="L50" s="834">
        <f t="shared" si="6"/>
        <v>0</v>
      </c>
      <c r="M50" s="836"/>
      <c r="N50" s="833">
        <f t="shared" si="7"/>
        <v>37537377.780167982</v>
      </c>
      <c r="O50" s="836"/>
      <c r="P50" s="833">
        <f>Plant!I18</f>
        <v>1928351.18</v>
      </c>
      <c r="Q50" s="836"/>
      <c r="R50" s="833">
        <f t="shared" si="1"/>
        <v>39465728.960167982</v>
      </c>
    </row>
    <row r="51" spans="1:26" ht="16.5" thickBot="1">
      <c r="A51" s="14">
        <v>14</v>
      </c>
      <c r="B51" s="40" t="s">
        <v>480</v>
      </c>
      <c r="C51" s="40"/>
      <c r="D51" s="40"/>
      <c r="E51" s="837"/>
      <c r="F51" s="838">
        <f>AVERAGE(F38:F50)</f>
        <v>21738157.048629519</v>
      </c>
      <c r="G51" s="837"/>
      <c r="H51" s="837"/>
      <c r="I51" s="837"/>
      <c r="J51" s="838">
        <f>AVERAGE(J38:J50)</f>
        <v>7248419.2007692307</v>
      </c>
      <c r="K51" s="838">
        <f>AVERAGE(K38:K50)</f>
        <v>7248419.2007692307</v>
      </c>
      <c r="L51" s="838">
        <f>AVERAGE(L38:L50)</f>
        <v>0</v>
      </c>
      <c r="M51" s="837"/>
      <c r="N51" s="838">
        <f>AVERAGE(N38:N50)</f>
        <v>28986576.249398753</v>
      </c>
      <c r="O51" s="837"/>
      <c r="P51" s="839"/>
      <c r="Q51" s="837"/>
      <c r="R51" s="838">
        <f>AVERAGE(R38:R50)</f>
        <v>30914927.429398756</v>
      </c>
      <c r="T51" s="564">
        <f>IF(ABS(N51-'Att O_RPU'!D66)&gt;1,'Interzonal Alloc'!Z52,'Interzonal Alloc'!V54)</f>
        <v>0</v>
      </c>
      <c r="U51" s="790" t="s">
        <v>839</v>
      </c>
    </row>
    <row r="52" spans="1:26" ht="15.75" thickTop="1">
      <c r="A52" s="510"/>
      <c r="B52" s="510"/>
      <c r="C52" s="510"/>
      <c r="D52" s="510"/>
      <c r="E52" s="510"/>
      <c r="F52" s="510"/>
      <c r="G52" s="510"/>
      <c r="H52" s="510"/>
      <c r="I52" s="510"/>
      <c r="J52" s="510"/>
      <c r="K52" s="510"/>
      <c r="L52" s="510"/>
      <c r="M52" s="510"/>
      <c r="N52" s="510"/>
      <c r="O52" s="510"/>
      <c r="P52" s="531"/>
      <c r="Q52" s="510"/>
      <c r="R52" s="510"/>
      <c r="U52" s="790" t="s">
        <v>837</v>
      </c>
      <c r="Z52" t="s">
        <v>869</v>
      </c>
    </row>
    <row r="53" spans="1:26">
      <c r="A53" s="510"/>
      <c r="B53" s="510"/>
      <c r="C53" s="510"/>
      <c r="D53" s="510"/>
      <c r="E53" s="510"/>
      <c r="F53" s="510"/>
      <c r="G53" s="510"/>
      <c r="H53" s="510"/>
      <c r="I53" s="510"/>
      <c r="J53" s="510"/>
      <c r="K53" s="510"/>
      <c r="L53" s="510"/>
      <c r="M53" s="510"/>
      <c r="N53" s="510"/>
      <c r="O53" s="510"/>
      <c r="P53" s="510"/>
      <c r="Q53" s="510"/>
      <c r="R53" s="510"/>
    </row>
    <row r="54" spans="1:26" ht="15.75">
      <c r="A54" s="510"/>
      <c r="B54" s="840" t="s">
        <v>863</v>
      </c>
      <c r="C54" s="840"/>
      <c r="D54" s="840"/>
      <c r="E54" s="840"/>
      <c r="F54" s="840"/>
      <c r="G54" s="510"/>
      <c r="H54" s="510"/>
      <c r="I54" s="510"/>
      <c r="J54" s="510"/>
      <c r="K54" s="510"/>
      <c r="L54" s="510"/>
      <c r="M54" s="510"/>
      <c r="N54" s="510"/>
      <c r="O54" s="510"/>
      <c r="P54" s="510"/>
      <c r="Q54" s="510"/>
      <c r="R54" s="510"/>
    </row>
    <row r="55" spans="1:26" ht="15.75">
      <c r="A55" s="510"/>
      <c r="B55" s="841" t="s">
        <v>866</v>
      </c>
      <c r="C55" s="840"/>
      <c r="D55" s="840"/>
      <c r="E55" s="510"/>
      <c r="F55" s="510"/>
      <c r="G55" s="510"/>
      <c r="H55" s="831">
        <f>Plant!H62</f>
        <v>1590071</v>
      </c>
      <c r="I55" s="510"/>
      <c r="J55" s="510"/>
      <c r="K55" s="510"/>
      <c r="L55" s="510"/>
      <c r="M55" s="510"/>
      <c r="N55" s="510"/>
      <c r="O55" s="510"/>
      <c r="P55" s="510"/>
      <c r="Q55" s="510"/>
      <c r="R55" s="510"/>
    </row>
    <row r="56" spans="1:26" ht="15.75">
      <c r="A56" s="510"/>
      <c r="B56" s="841" t="s">
        <v>867</v>
      </c>
      <c r="C56" s="840"/>
      <c r="D56" s="840"/>
      <c r="E56" s="510"/>
      <c r="F56" s="510"/>
      <c r="G56" s="510"/>
      <c r="H56" s="842">
        <f>Plant!H63</f>
        <v>338280</v>
      </c>
      <c r="I56" s="510"/>
      <c r="J56" s="510"/>
      <c r="K56" s="510"/>
      <c r="L56" s="510"/>
      <c r="M56" s="510"/>
      <c r="N56" s="510"/>
      <c r="O56" s="510"/>
      <c r="P56" s="510"/>
      <c r="Q56" s="510"/>
      <c r="R56" s="510"/>
    </row>
    <row r="57" spans="1:26" ht="15.75">
      <c r="A57" s="510"/>
      <c r="B57" s="840"/>
      <c r="C57" s="840"/>
      <c r="D57" s="840"/>
      <c r="E57" s="840"/>
      <c r="F57" s="510"/>
      <c r="G57" s="510"/>
      <c r="H57" s="831">
        <f>SUM(H55:H56)</f>
        <v>1928351</v>
      </c>
      <c r="I57" s="510"/>
      <c r="J57" s="510"/>
      <c r="K57" s="510"/>
      <c r="L57" s="510"/>
      <c r="M57" s="510"/>
      <c r="N57" s="510"/>
      <c r="O57" s="510"/>
      <c r="P57" s="510"/>
      <c r="Q57" s="510"/>
      <c r="R57" s="510"/>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4" fitToHeight="0" orientation="landscape" r:id="rId1"/>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zoomScale="80" zoomScaleNormal="80" workbookViewId="0">
      <selection activeCell="C41" sqref="C41"/>
    </sheetView>
  </sheetViews>
  <sheetFormatPr defaultColWidth="8.88671875" defaultRowHeight="12.75"/>
  <cols>
    <col min="1" max="1" width="5.21875" style="141" customWidth="1"/>
    <col min="2" max="2" width="30.88671875" style="141" customWidth="1"/>
    <col min="3" max="3" width="13" style="141" customWidth="1"/>
    <col min="4" max="4" width="5.21875" style="141" customWidth="1"/>
    <col min="5" max="5" width="30.88671875" style="141" customWidth="1"/>
    <col min="6" max="6" width="13" style="140" customWidth="1"/>
    <col min="7" max="16384" width="8.88671875" style="141"/>
  </cols>
  <sheetData>
    <row r="1" spans="1:6" s="140" customFormat="1" ht="15.75">
      <c r="A1" s="975" t="str">
        <f>Coversheet!B3</f>
        <v>Rochester Public Utilities</v>
      </c>
      <c r="B1" s="975"/>
      <c r="C1" s="975"/>
      <c r="D1" s="975"/>
      <c r="E1" s="975"/>
      <c r="F1" s="975"/>
    </row>
    <row r="2" spans="1:6" s="140" customFormat="1" ht="15">
      <c r="A2" s="976" t="s">
        <v>280</v>
      </c>
      <c r="B2" s="976"/>
      <c r="C2" s="976"/>
      <c r="D2" s="976"/>
      <c r="E2" s="976"/>
      <c r="F2" s="976"/>
    </row>
    <row r="3" spans="1:6" s="140" customFormat="1" ht="15">
      <c r="A3" s="976" t="s">
        <v>281</v>
      </c>
      <c r="B3" s="976"/>
      <c r="C3" s="976"/>
      <c r="D3" s="976"/>
      <c r="E3" s="976"/>
      <c r="F3" s="976"/>
    </row>
    <row r="4" spans="1:6" s="140" customFormat="1" ht="15.75">
      <c r="A4" s="977" t="str">
        <f>IF('Att O_RPU'!$I$19&gt;0.5,CONCATENATE("FLTY Forecast for 12 Months Ended December 31, ",'Att O_RPU'!E318),CONCATENATE("True-up Actual for 12 Months Ended December 31, ",'Att O_RPU'!E318))</f>
        <v>True-up Actual for 12 Months Ended December 31, 2015</v>
      </c>
      <c r="B4" s="977"/>
      <c r="C4" s="977"/>
      <c r="D4" s="977"/>
      <c r="E4" s="977"/>
      <c r="F4" s="977"/>
    </row>
    <row r="6" spans="1:6" ht="15">
      <c r="A6" s="978" t="s">
        <v>282</v>
      </c>
      <c r="B6" s="978"/>
      <c r="C6" s="978"/>
      <c r="D6" s="978"/>
      <c r="E6" s="978"/>
      <c r="F6" s="978"/>
    </row>
    <row r="7" spans="1:6">
      <c r="A7" s="142" t="s">
        <v>4</v>
      </c>
      <c r="B7" s="143"/>
      <c r="C7" s="144" t="s">
        <v>283</v>
      </c>
      <c r="D7" s="144" t="s">
        <v>4</v>
      </c>
      <c r="E7" s="143"/>
      <c r="F7" s="240" t="s">
        <v>283</v>
      </c>
    </row>
    <row r="8" spans="1:6">
      <c r="A8" s="145" t="s">
        <v>6</v>
      </c>
      <c r="B8" s="146" t="s">
        <v>284</v>
      </c>
      <c r="C8" s="147" t="s">
        <v>285</v>
      </c>
      <c r="D8" s="147" t="s">
        <v>286</v>
      </c>
      <c r="E8" s="147" t="s">
        <v>287</v>
      </c>
      <c r="F8" s="245" t="s">
        <v>285</v>
      </c>
    </row>
    <row r="9" spans="1:6" ht="15">
      <c r="A9" s="148"/>
      <c r="B9" s="149" t="s">
        <v>288</v>
      </c>
      <c r="C9" s="150"/>
      <c r="D9" s="151"/>
      <c r="E9" s="152" t="s">
        <v>289</v>
      </c>
      <c r="F9" s="246"/>
    </row>
    <row r="10" spans="1:6" ht="15">
      <c r="A10" s="148">
        <v>1</v>
      </c>
      <c r="B10" s="153" t="s">
        <v>290</v>
      </c>
      <c r="C10" s="154"/>
      <c r="D10" s="155"/>
      <c r="E10" s="156"/>
      <c r="F10" s="247"/>
    </row>
    <row r="11" spans="1:6">
      <c r="A11" s="145"/>
      <c r="B11" s="157" t="s">
        <v>291</v>
      </c>
      <c r="C11" s="158">
        <f>ROUND('Plant Sched 4'!G25,0)</f>
        <v>333017034</v>
      </c>
      <c r="D11" s="159">
        <v>29</v>
      </c>
      <c r="E11" s="160" t="s">
        <v>292</v>
      </c>
      <c r="F11" s="576">
        <v>75875922.319999993</v>
      </c>
    </row>
    <row r="12" spans="1:6">
      <c r="A12" s="161">
        <v>2</v>
      </c>
      <c r="B12" s="162" t="s">
        <v>293</v>
      </c>
      <c r="C12" s="783">
        <v>33378256.510000002</v>
      </c>
      <c r="D12" s="163">
        <v>30</v>
      </c>
      <c r="E12" s="164" t="s">
        <v>294</v>
      </c>
      <c r="F12" s="248">
        <v>0</v>
      </c>
    </row>
    <row r="13" spans="1:6" ht="15">
      <c r="A13" s="148">
        <v>3</v>
      </c>
      <c r="B13" s="153" t="s">
        <v>295</v>
      </c>
      <c r="C13" s="154"/>
      <c r="D13" s="155"/>
      <c r="E13" s="156"/>
      <c r="F13" s="247"/>
    </row>
    <row r="14" spans="1:6" ht="15">
      <c r="A14" s="148"/>
      <c r="B14" s="165" t="s">
        <v>296</v>
      </c>
      <c r="C14" s="154"/>
      <c r="D14" s="155">
        <v>31</v>
      </c>
      <c r="E14" s="156" t="s">
        <v>297</v>
      </c>
      <c r="F14" s="247"/>
    </row>
    <row r="15" spans="1:6" ht="13.5" thickBot="1">
      <c r="A15" s="145"/>
      <c r="B15" s="157" t="s">
        <v>298</v>
      </c>
      <c r="C15" s="784">
        <v>190340756.21000001</v>
      </c>
      <c r="D15" s="159"/>
      <c r="E15" s="167" t="s">
        <v>299</v>
      </c>
      <c r="F15" s="784">
        <v>43616302.280000001</v>
      </c>
    </row>
    <row r="16" spans="1:6" ht="13.5" thickBot="1">
      <c r="A16" s="161">
        <v>4</v>
      </c>
      <c r="B16" s="168" t="s">
        <v>300</v>
      </c>
      <c r="C16" s="169">
        <f>+C11+C12-C15</f>
        <v>176054534.29999998</v>
      </c>
      <c r="D16" s="170">
        <v>32</v>
      </c>
      <c r="E16" s="171" t="s">
        <v>301</v>
      </c>
      <c r="F16" s="169">
        <f>+F15+F11+F12</f>
        <v>119492224.59999999</v>
      </c>
    </row>
    <row r="17" spans="1:6">
      <c r="A17" s="151">
        <v>5</v>
      </c>
      <c r="B17" s="156" t="s">
        <v>302</v>
      </c>
      <c r="C17" s="172">
        <v>0</v>
      </c>
      <c r="D17" s="155"/>
      <c r="E17" s="173" t="s">
        <v>303</v>
      </c>
      <c r="F17" s="247"/>
    </row>
    <row r="18" spans="1:6" ht="15">
      <c r="A18" s="155">
        <v>6</v>
      </c>
      <c r="B18" s="174" t="s">
        <v>295</v>
      </c>
      <c r="C18" s="154"/>
      <c r="D18" s="175"/>
      <c r="E18" s="156"/>
      <c r="F18" s="247"/>
    </row>
    <row r="19" spans="1:6" ht="15">
      <c r="A19" s="148"/>
      <c r="B19" s="165" t="s">
        <v>304</v>
      </c>
      <c r="C19" s="154"/>
      <c r="D19" s="155"/>
      <c r="E19" s="156"/>
      <c r="F19" s="247"/>
    </row>
    <row r="20" spans="1:6">
      <c r="A20" s="148"/>
      <c r="B20" s="165" t="s">
        <v>305</v>
      </c>
      <c r="C20" s="166">
        <v>0</v>
      </c>
      <c r="D20" s="159">
        <v>33</v>
      </c>
      <c r="E20" s="160" t="s">
        <v>306</v>
      </c>
      <c r="F20" s="786">
        <v>105335000</v>
      </c>
    </row>
    <row r="21" spans="1:6" ht="13.5" thickBot="1">
      <c r="A21" s="176">
        <v>7</v>
      </c>
      <c r="B21" s="177" t="s">
        <v>307</v>
      </c>
      <c r="C21" s="178"/>
      <c r="D21" s="175">
        <v>34</v>
      </c>
      <c r="E21" s="156" t="s">
        <v>308</v>
      </c>
      <c r="F21" s="247"/>
    </row>
    <row r="22" spans="1:6" ht="13.5" thickBot="1">
      <c r="A22" s="145"/>
      <c r="B22" s="179" t="s">
        <v>309</v>
      </c>
      <c r="C22" s="169">
        <f>+C16+C17-C20</f>
        <v>176054534.29999998</v>
      </c>
      <c r="D22" s="147"/>
      <c r="E22" s="167" t="s">
        <v>310</v>
      </c>
      <c r="F22" s="258">
        <v>0</v>
      </c>
    </row>
    <row r="23" spans="1:6" ht="15">
      <c r="A23" s="148"/>
      <c r="B23" s="180" t="s">
        <v>311</v>
      </c>
      <c r="C23" s="154"/>
      <c r="D23" s="155">
        <v>35</v>
      </c>
      <c r="E23" s="156" t="s">
        <v>312</v>
      </c>
      <c r="F23" s="247"/>
    </row>
    <row r="24" spans="1:6">
      <c r="A24" s="145">
        <v>8</v>
      </c>
      <c r="B24" s="181" t="s">
        <v>313</v>
      </c>
      <c r="C24" s="578">
        <v>5866332</v>
      </c>
      <c r="D24" s="159"/>
      <c r="E24" s="167" t="s">
        <v>314</v>
      </c>
      <c r="F24" s="578">
        <v>9523135.3599999994</v>
      </c>
    </row>
    <row r="25" spans="1:6" ht="15">
      <c r="A25" s="148">
        <v>9</v>
      </c>
      <c r="B25" s="153" t="s">
        <v>295</v>
      </c>
      <c r="C25" s="183"/>
      <c r="D25" s="155">
        <v>36</v>
      </c>
      <c r="E25" s="156" t="s">
        <v>315</v>
      </c>
      <c r="F25" s="249"/>
    </row>
    <row r="26" spans="1:6">
      <c r="A26" s="145"/>
      <c r="B26" s="157" t="s">
        <v>316</v>
      </c>
      <c r="C26" s="578">
        <v>2920759</v>
      </c>
      <c r="D26" s="159"/>
      <c r="E26" s="167" t="s">
        <v>317</v>
      </c>
      <c r="F26" s="578">
        <v>134721.79</v>
      </c>
    </row>
    <row r="27" spans="1:6" ht="15.75" thickBot="1">
      <c r="A27" s="148">
        <v>10</v>
      </c>
      <c r="B27" s="153" t="s">
        <v>318</v>
      </c>
      <c r="C27" s="183"/>
      <c r="D27" s="155"/>
      <c r="E27" s="156"/>
      <c r="F27" s="249"/>
    </row>
    <row r="28" spans="1:6" ht="13.5" thickBot="1">
      <c r="A28" s="145"/>
      <c r="B28" s="157" t="s">
        <v>319</v>
      </c>
      <c r="C28" s="166">
        <v>0</v>
      </c>
      <c r="D28" s="159">
        <v>37</v>
      </c>
      <c r="E28" s="184" t="s">
        <v>320</v>
      </c>
      <c r="F28" s="185">
        <f>+F20+F22+F24-F26</f>
        <v>114723413.56999999</v>
      </c>
    </row>
    <row r="29" spans="1:6" ht="13.5" thickBot="1">
      <c r="A29" s="161">
        <v>11</v>
      </c>
      <c r="B29" s="162" t="s">
        <v>321</v>
      </c>
      <c r="C29" s="585">
        <v>11155630.710000001</v>
      </c>
      <c r="D29" s="159"/>
      <c r="E29" s="160"/>
      <c r="F29" s="250"/>
    </row>
    <row r="30" spans="1:6" ht="13.5" thickBot="1">
      <c r="A30" s="161">
        <v>12</v>
      </c>
      <c r="B30" s="186" t="s">
        <v>322</v>
      </c>
      <c r="C30" s="185">
        <f>+C24-C26+C28+C29</f>
        <v>14101203.710000001</v>
      </c>
      <c r="D30" s="147"/>
      <c r="E30" s="187" t="s">
        <v>323</v>
      </c>
      <c r="F30" s="250"/>
    </row>
    <row r="31" spans="1:6" ht="15">
      <c r="A31" s="148"/>
      <c r="B31" s="180" t="s">
        <v>324</v>
      </c>
      <c r="C31" s="183"/>
      <c r="D31" s="163">
        <v>38</v>
      </c>
      <c r="E31" s="164" t="s">
        <v>325</v>
      </c>
      <c r="F31" s="582">
        <v>12958931.57</v>
      </c>
    </row>
    <row r="32" spans="1:6" ht="15.75" thickBot="1">
      <c r="A32" s="148">
        <v>13</v>
      </c>
      <c r="B32" s="153" t="s">
        <v>326</v>
      </c>
      <c r="C32" s="183"/>
      <c r="D32" s="163">
        <v>39</v>
      </c>
      <c r="E32" s="164" t="s">
        <v>327</v>
      </c>
      <c r="F32" s="166">
        <v>0</v>
      </c>
    </row>
    <row r="33" spans="1:8" ht="13.5" thickBot="1">
      <c r="A33" s="145"/>
      <c r="B33" s="157" t="s">
        <v>328</v>
      </c>
      <c r="C33" s="578">
        <v>40045508.450000003</v>
      </c>
      <c r="D33" s="159">
        <v>40</v>
      </c>
      <c r="E33" s="184" t="s">
        <v>329</v>
      </c>
      <c r="F33" s="185">
        <f>SUM(F31:F32)</f>
        <v>12958931.57</v>
      </c>
    </row>
    <row r="34" spans="1:8" ht="15">
      <c r="A34" s="148">
        <v>14</v>
      </c>
      <c r="B34" s="153" t="s">
        <v>330</v>
      </c>
      <c r="C34" s="183"/>
      <c r="D34" s="155"/>
      <c r="E34" s="156"/>
      <c r="F34" s="249"/>
    </row>
    <row r="35" spans="1:8">
      <c r="A35" s="145"/>
      <c r="B35" s="157" t="s">
        <v>331</v>
      </c>
      <c r="C35" s="182"/>
      <c r="D35" s="159"/>
      <c r="E35" s="187" t="s">
        <v>332</v>
      </c>
      <c r="F35" s="250"/>
      <c r="H35" s="188"/>
    </row>
    <row r="36" spans="1:8">
      <c r="A36" s="161">
        <v>15</v>
      </c>
      <c r="B36" s="162" t="s">
        <v>333</v>
      </c>
      <c r="C36" s="582">
        <v>8202320.4800000004</v>
      </c>
      <c r="D36" s="159">
        <v>41</v>
      </c>
      <c r="E36" s="160" t="s">
        <v>334</v>
      </c>
      <c r="F36" s="783">
        <v>0</v>
      </c>
      <c r="H36" s="188"/>
    </row>
    <row r="37" spans="1:8" ht="15">
      <c r="A37" s="148">
        <v>16</v>
      </c>
      <c r="B37" s="153" t="s">
        <v>295</v>
      </c>
      <c r="C37" s="183"/>
      <c r="D37" s="155"/>
      <c r="E37" s="156"/>
      <c r="F37" s="249"/>
      <c r="H37" s="188"/>
    </row>
    <row r="38" spans="1:8">
      <c r="A38" s="145"/>
      <c r="B38" s="157" t="s">
        <v>335</v>
      </c>
      <c r="C38" s="578">
        <v>200000</v>
      </c>
      <c r="D38" s="159">
        <v>42</v>
      </c>
      <c r="E38" s="160" t="s">
        <v>336</v>
      </c>
      <c r="F38" s="578">
        <v>9870749.0099999998</v>
      </c>
    </row>
    <row r="39" spans="1:8" ht="15">
      <c r="A39" s="148">
        <v>17</v>
      </c>
      <c r="B39" s="153" t="s">
        <v>337</v>
      </c>
      <c r="C39" s="183"/>
      <c r="D39" s="155">
        <v>43</v>
      </c>
      <c r="E39" s="156" t="s">
        <v>338</v>
      </c>
      <c r="F39" s="249"/>
    </row>
    <row r="40" spans="1:8">
      <c r="A40" s="145"/>
      <c r="B40" s="157" t="s">
        <v>339</v>
      </c>
      <c r="C40" s="578">
        <v>192420.57</v>
      </c>
      <c r="D40" s="159"/>
      <c r="E40" s="167" t="s">
        <v>340</v>
      </c>
      <c r="F40" s="578">
        <v>2884455.75</v>
      </c>
    </row>
    <row r="41" spans="1:8">
      <c r="A41" s="161">
        <v>18</v>
      </c>
      <c r="B41" s="162" t="s">
        <v>341</v>
      </c>
      <c r="C41" s="582">
        <v>4688719.84</v>
      </c>
      <c r="D41" s="159">
        <v>44</v>
      </c>
      <c r="E41" s="160" t="s">
        <v>342</v>
      </c>
      <c r="F41" s="578">
        <v>582358.63</v>
      </c>
    </row>
    <row r="42" spans="1:8">
      <c r="A42" s="161">
        <v>19</v>
      </c>
      <c r="B42" s="162" t="s">
        <v>343</v>
      </c>
      <c r="C42" s="582">
        <v>0</v>
      </c>
      <c r="D42" s="159">
        <v>45</v>
      </c>
      <c r="E42" s="160" t="s">
        <v>344</v>
      </c>
      <c r="F42" s="578">
        <v>0</v>
      </c>
    </row>
    <row r="43" spans="1:8">
      <c r="A43" s="161">
        <v>20</v>
      </c>
      <c r="B43" s="162" t="s">
        <v>345</v>
      </c>
      <c r="C43" s="784">
        <v>239848.42</v>
      </c>
      <c r="D43" s="159">
        <v>46</v>
      </c>
      <c r="E43" s="160" t="s">
        <v>346</v>
      </c>
      <c r="F43" s="578">
        <v>0</v>
      </c>
    </row>
    <row r="44" spans="1:8" ht="13.5" thickBot="1">
      <c r="A44" s="163">
        <v>21</v>
      </c>
      <c r="B44" s="162" t="s">
        <v>347</v>
      </c>
      <c r="C44" s="582">
        <v>5743745.5499999998</v>
      </c>
      <c r="D44" s="159">
        <v>47</v>
      </c>
      <c r="E44" s="160" t="s">
        <v>348</v>
      </c>
      <c r="F44" s="580">
        <v>2776338.9</v>
      </c>
    </row>
    <row r="45" spans="1:8" ht="13.5" thickBot="1">
      <c r="A45" s="163">
        <v>22</v>
      </c>
      <c r="B45" s="162" t="s">
        <v>349</v>
      </c>
      <c r="C45" s="784">
        <v>0</v>
      </c>
      <c r="D45" s="159">
        <v>48</v>
      </c>
      <c r="E45" s="184" t="s">
        <v>350</v>
      </c>
      <c r="F45" s="185">
        <f>+F44+F43+F42+F41+F40+F38+F36</f>
        <v>16113902.289999999</v>
      </c>
    </row>
    <row r="46" spans="1:8" ht="13.5" thickBot="1">
      <c r="A46" s="163">
        <v>23</v>
      </c>
      <c r="B46" s="186" t="s">
        <v>351</v>
      </c>
      <c r="C46" s="185">
        <f>+C33+C35+C36-C38+C40+C42+C43+C44+C45+C41</f>
        <v>58912563.310000002</v>
      </c>
      <c r="D46" s="147"/>
      <c r="E46" s="187" t="s">
        <v>352</v>
      </c>
      <c r="F46" s="250"/>
    </row>
    <row r="47" spans="1:8" ht="15">
      <c r="A47" s="153"/>
      <c r="B47" s="180" t="s">
        <v>353</v>
      </c>
      <c r="C47" s="183"/>
      <c r="D47" s="155">
        <v>49</v>
      </c>
      <c r="E47" s="156" t="s">
        <v>354</v>
      </c>
      <c r="F47" s="249"/>
    </row>
    <row r="48" spans="1:8">
      <c r="A48" s="159">
        <v>24</v>
      </c>
      <c r="B48" s="181" t="s">
        <v>355</v>
      </c>
      <c r="C48" s="257">
        <v>0</v>
      </c>
      <c r="D48" s="159"/>
      <c r="E48" s="189" t="s">
        <v>356</v>
      </c>
      <c r="F48" s="786">
        <v>0</v>
      </c>
    </row>
    <row r="49" spans="1:6" ht="15">
      <c r="A49" s="155">
        <v>25</v>
      </c>
      <c r="B49" s="153" t="s">
        <v>357</v>
      </c>
      <c r="C49" s="183"/>
      <c r="D49" s="155">
        <v>50</v>
      </c>
      <c r="E49" s="156" t="s">
        <v>358</v>
      </c>
      <c r="F49" s="249"/>
    </row>
    <row r="50" spans="1:6">
      <c r="A50" s="181"/>
      <c r="B50" s="157" t="s">
        <v>359</v>
      </c>
      <c r="C50" s="578">
        <v>12354024.289999999</v>
      </c>
      <c r="D50" s="159"/>
      <c r="E50" s="167" t="s">
        <v>360</v>
      </c>
      <c r="F50" s="578">
        <v>1889289</v>
      </c>
    </row>
    <row r="51" spans="1:6" ht="15">
      <c r="A51" s="155">
        <v>26</v>
      </c>
      <c r="B51" s="153" t="s">
        <v>361</v>
      </c>
      <c r="C51" s="183"/>
      <c r="D51" s="155"/>
      <c r="E51" s="156"/>
      <c r="F51" s="249"/>
    </row>
    <row r="52" spans="1:6" ht="15">
      <c r="A52" s="148"/>
      <c r="B52" s="165" t="s">
        <v>362</v>
      </c>
      <c r="C52" s="183"/>
      <c r="D52" s="155">
        <v>51</v>
      </c>
      <c r="E52" s="156" t="s">
        <v>363</v>
      </c>
      <c r="F52" s="249"/>
    </row>
    <row r="53" spans="1:6" ht="13.5" thickBot="1">
      <c r="A53" s="145"/>
      <c r="B53" s="157" t="s">
        <v>364</v>
      </c>
      <c r="C53" s="785">
        <v>3755435.6799999997</v>
      </c>
      <c r="D53" s="159"/>
      <c r="E53" s="189" t="s">
        <v>365</v>
      </c>
      <c r="F53" s="787">
        <v>0</v>
      </c>
    </row>
    <row r="54" spans="1:6" ht="13.5" thickBot="1">
      <c r="A54" s="161">
        <v>27</v>
      </c>
      <c r="B54" s="186" t="s">
        <v>366</v>
      </c>
      <c r="C54" s="185">
        <f>C48+C50+C53</f>
        <v>16109459.969999999</v>
      </c>
      <c r="D54" s="147">
        <v>52</v>
      </c>
      <c r="E54" s="184" t="s">
        <v>367</v>
      </c>
      <c r="F54" s="185">
        <f>+F53+F50+F48</f>
        <v>1889289</v>
      </c>
    </row>
    <row r="55" spans="1:6" ht="13.5" thickBot="1">
      <c r="A55" s="148"/>
      <c r="B55" s="190"/>
      <c r="C55" s="191"/>
      <c r="D55" s="155"/>
      <c r="E55" s="156"/>
      <c r="F55" s="249"/>
    </row>
    <row r="56" spans="1:6" ht="13.5" thickBot="1">
      <c r="A56" s="192">
        <v>28</v>
      </c>
      <c r="B56" s="193" t="s">
        <v>368</v>
      </c>
      <c r="C56" s="194">
        <f>+C54+C46+C21+C22+C30</f>
        <v>265177761.28999999</v>
      </c>
      <c r="D56" s="195">
        <v>53</v>
      </c>
      <c r="E56" s="196" t="s">
        <v>369</v>
      </c>
      <c r="F56" s="194">
        <f>+F54+F45+F28+F16+F33</f>
        <v>265177761.02999997</v>
      </c>
    </row>
    <row r="57" spans="1:6" ht="15">
      <c r="A57" s="197"/>
      <c r="B57" s="197"/>
      <c r="C57" s="198"/>
      <c r="D57" s="199"/>
      <c r="E57" s="199"/>
      <c r="F57" s="251"/>
    </row>
    <row r="58" spans="1:6" ht="15">
      <c r="A58" s="197"/>
      <c r="B58" s="199"/>
      <c r="C58" s="198"/>
      <c r="D58" s="199"/>
      <c r="E58" s="199"/>
      <c r="F58" s="372">
        <f>ROUND(+C56-F56,0)</f>
        <v>0</v>
      </c>
    </row>
    <row r="59" spans="1:6">
      <c r="A59" s="197"/>
      <c r="B59" s="361" t="s">
        <v>656</v>
      </c>
      <c r="C59" s="200"/>
      <c r="D59" s="199"/>
      <c r="E59" s="199"/>
      <c r="F59" s="252"/>
    </row>
    <row r="60" spans="1:6">
      <c r="A60" s="197"/>
      <c r="B60" s="361" t="s">
        <v>657</v>
      </c>
      <c r="C60" s="201"/>
      <c r="D60" s="197"/>
      <c r="E60" s="197"/>
      <c r="F60" s="253"/>
    </row>
    <row r="61" spans="1:6">
      <c r="A61" s="197"/>
      <c r="B61" s="197"/>
      <c r="C61" s="201"/>
      <c r="D61" s="197"/>
      <c r="E61" s="197"/>
      <c r="F61" s="253"/>
    </row>
    <row r="62" spans="1:6">
      <c r="A62" s="197"/>
      <c r="B62" s="197"/>
      <c r="C62" s="201"/>
      <c r="D62" s="197"/>
      <c r="E62" s="197"/>
      <c r="F62" s="254"/>
    </row>
    <row r="63" spans="1:6">
      <c r="A63" s="197"/>
      <c r="B63" s="197"/>
      <c r="C63" s="201"/>
      <c r="D63" s="197"/>
      <c r="E63" s="197"/>
      <c r="F63" s="254"/>
    </row>
    <row r="64" spans="1:6">
      <c r="A64" s="197"/>
      <c r="B64" s="197"/>
      <c r="C64" s="201"/>
      <c r="D64" s="197"/>
      <c r="E64" s="197"/>
      <c r="F64" s="237"/>
    </row>
    <row r="65" spans="1:6">
      <c r="A65" s="197"/>
      <c r="B65" s="197"/>
      <c r="C65" s="201"/>
      <c r="D65" s="197"/>
      <c r="E65" s="197"/>
      <c r="F65" s="255"/>
    </row>
    <row r="66" spans="1:6">
      <c r="A66" s="197"/>
      <c r="B66" s="197"/>
      <c r="C66" s="201"/>
      <c r="D66" s="197"/>
      <c r="E66" s="197"/>
      <c r="F66" s="237"/>
    </row>
    <row r="67" spans="1:6">
      <c r="A67" s="197"/>
      <c r="B67" s="197"/>
      <c r="C67" s="201"/>
      <c r="D67" s="197"/>
      <c r="E67" s="197"/>
      <c r="F67" s="237"/>
    </row>
    <row r="68" spans="1:6">
      <c r="A68" s="197"/>
      <c r="B68" s="197"/>
      <c r="C68" s="201"/>
      <c r="D68" s="197"/>
      <c r="E68" s="197"/>
      <c r="F68" s="237"/>
    </row>
    <row r="69" spans="1:6">
      <c r="A69" s="197"/>
      <c r="B69" s="197"/>
      <c r="C69" s="197"/>
      <c r="D69" s="197"/>
      <c r="E69" s="197"/>
      <c r="F69" s="237"/>
    </row>
    <row r="70" spans="1:6">
      <c r="A70" s="197"/>
      <c r="B70" s="197"/>
      <c r="C70" s="197"/>
      <c r="D70" s="197"/>
      <c r="E70" s="197"/>
      <c r="F70" s="237"/>
    </row>
    <row r="71" spans="1:6">
      <c r="A71" s="197"/>
      <c r="B71" s="197"/>
      <c r="C71" s="197"/>
      <c r="D71" s="197"/>
      <c r="E71" s="197"/>
      <c r="F71" s="237"/>
    </row>
    <row r="72" spans="1:6">
      <c r="A72" s="197"/>
      <c r="B72" s="197"/>
      <c r="C72" s="197"/>
      <c r="D72" s="197"/>
      <c r="E72" s="197"/>
      <c r="F72" s="237"/>
    </row>
    <row r="73" spans="1:6">
      <c r="A73" s="197"/>
      <c r="B73" s="197"/>
      <c r="C73" s="197"/>
      <c r="D73" s="197"/>
      <c r="E73" s="197"/>
      <c r="F73" s="237"/>
    </row>
    <row r="74" spans="1:6">
      <c r="A74" s="197"/>
      <c r="B74" s="197"/>
      <c r="C74" s="197"/>
      <c r="D74" s="197"/>
      <c r="E74" s="197"/>
      <c r="F74" s="237"/>
    </row>
    <row r="75" spans="1:6">
      <c r="A75" s="197"/>
      <c r="B75" s="197"/>
      <c r="C75" s="197"/>
      <c r="D75" s="197"/>
      <c r="E75" s="197"/>
      <c r="F75" s="237"/>
    </row>
    <row r="76" spans="1:6">
      <c r="A76" s="197"/>
      <c r="B76" s="197"/>
      <c r="C76" s="197"/>
      <c r="D76" s="197"/>
      <c r="E76" s="197"/>
      <c r="F76" s="237"/>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2015 Work Papers&amp;R&amp;"Arial MT,Bold"Exhibit RPU-8
Page 1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zoomScaleNormal="100" workbookViewId="0">
      <selection sqref="A1:F1"/>
    </sheetView>
  </sheetViews>
  <sheetFormatPr defaultColWidth="8.88671875" defaultRowHeight="12.75"/>
  <cols>
    <col min="1" max="1" width="5.21875" style="141" customWidth="1"/>
    <col min="2" max="2" width="60" style="141" customWidth="1"/>
    <col min="3" max="3" width="13" style="141" customWidth="1"/>
    <col min="4" max="4" width="10.88671875" style="141" customWidth="1"/>
    <col min="5" max="5" width="16.88671875" style="141" customWidth="1"/>
    <col min="6" max="6" width="10.77734375" style="141" bestFit="1" customWidth="1"/>
    <col min="7" max="7" width="3.6640625" style="141" customWidth="1"/>
    <col min="8" max="8" width="10.77734375" style="141" bestFit="1" customWidth="1"/>
    <col min="9" max="9" width="9" style="141" bestFit="1" customWidth="1"/>
    <col min="10" max="16384" width="8.88671875" style="141"/>
  </cols>
  <sheetData>
    <row r="1" spans="1:9" s="140" customFormat="1" ht="15.75">
      <c r="A1" s="975" t="str">
        <f>Coversheet!B3</f>
        <v>Rochester Public Utilities</v>
      </c>
      <c r="B1" s="975"/>
      <c r="C1" s="975"/>
      <c r="D1" s="202"/>
      <c r="E1" s="202"/>
      <c r="F1" s="202"/>
    </row>
    <row r="2" spans="1:9" s="140" customFormat="1" ht="15">
      <c r="A2" s="976" t="s">
        <v>280</v>
      </c>
      <c r="B2" s="976"/>
      <c r="C2" s="976"/>
      <c r="D2" s="202"/>
      <c r="E2" s="202"/>
      <c r="F2" s="202"/>
    </row>
    <row r="3" spans="1:9" s="140" customFormat="1" ht="15">
      <c r="A3" s="976" t="s">
        <v>370</v>
      </c>
      <c r="B3" s="976"/>
      <c r="C3" s="976"/>
      <c r="D3" s="202"/>
      <c r="E3" s="202"/>
      <c r="F3" s="202"/>
    </row>
    <row r="4" spans="1:9" s="140" customFormat="1" ht="15.75">
      <c r="A4" s="977" t="str">
        <f>'Balance sheet Sched 2'!A4:F4</f>
        <v>True-up Actual for 12 Months Ended December 31, 2015</v>
      </c>
      <c r="B4" s="977"/>
      <c r="C4" s="977"/>
      <c r="D4" s="203"/>
      <c r="E4" s="203"/>
      <c r="F4" s="203"/>
    </row>
    <row r="5" spans="1:9" s="140" customFormat="1" ht="15">
      <c r="A5" s="204"/>
      <c r="B5" s="204"/>
      <c r="C5" s="204"/>
      <c r="D5" s="309"/>
      <c r="E5" s="309"/>
      <c r="F5" s="204"/>
    </row>
    <row r="6" spans="1:9" ht="15">
      <c r="A6" s="979" t="s">
        <v>371</v>
      </c>
      <c r="B6" s="979"/>
      <c r="C6" s="979"/>
      <c r="D6" s="308"/>
      <c r="E6" s="308"/>
      <c r="F6" s="205"/>
    </row>
    <row r="7" spans="1:9" ht="15">
      <c r="A7" s="151" t="s">
        <v>4</v>
      </c>
      <c r="B7" s="206"/>
      <c r="C7" s="207" t="s">
        <v>7</v>
      </c>
      <c r="D7" s="310"/>
      <c r="E7" s="310"/>
    </row>
    <row r="8" spans="1:9" ht="15">
      <c r="A8" s="159" t="s">
        <v>6</v>
      </c>
      <c r="B8" s="208"/>
      <c r="C8" s="147" t="s">
        <v>285</v>
      </c>
      <c r="D8" s="310"/>
      <c r="E8" s="310"/>
    </row>
    <row r="9" spans="1:9" ht="15">
      <c r="A9" s="159">
        <v>1</v>
      </c>
      <c r="B9" s="208" t="s">
        <v>372</v>
      </c>
      <c r="C9" s="577">
        <v>140536006.69</v>
      </c>
      <c r="D9" s="310"/>
      <c r="E9" s="310"/>
    </row>
    <row r="10" spans="1:9" ht="15">
      <c r="A10" s="159">
        <v>2</v>
      </c>
      <c r="B10" s="208" t="s">
        <v>373</v>
      </c>
      <c r="C10" s="579">
        <f>'Op &amp; Maint Sched 7'!D42</f>
        <v>105669391.72999999</v>
      </c>
      <c r="D10" s="310"/>
      <c r="E10" s="310"/>
    </row>
    <row r="11" spans="1:9" ht="15">
      <c r="A11" s="159">
        <v>3</v>
      </c>
      <c r="B11" s="208" t="s">
        <v>374</v>
      </c>
      <c r="C11" s="579">
        <f>'Op &amp; Maint Sched 7'!E42</f>
        <v>6518644.8700000001</v>
      </c>
      <c r="D11" s="310"/>
      <c r="E11" s="310"/>
      <c r="F11" s="274"/>
      <c r="G11" s="274"/>
      <c r="H11" s="274"/>
      <c r="I11" s="274"/>
    </row>
    <row r="12" spans="1:9" ht="15">
      <c r="A12" s="163">
        <v>4</v>
      </c>
      <c r="B12" s="210" t="s">
        <v>375</v>
      </c>
      <c r="C12" s="579">
        <v>10186632.130000001</v>
      </c>
      <c r="D12" s="310"/>
      <c r="E12" s="381"/>
      <c r="F12" s="274"/>
      <c r="G12" s="274"/>
      <c r="H12" s="274"/>
      <c r="I12" s="274"/>
    </row>
    <row r="13" spans="1:9" ht="15">
      <c r="A13" s="159">
        <v>5</v>
      </c>
      <c r="B13" s="208" t="s">
        <v>376</v>
      </c>
      <c r="C13" s="579">
        <v>475849.18</v>
      </c>
      <c r="D13" s="310"/>
      <c r="E13" s="310"/>
      <c r="F13" s="274"/>
      <c r="G13" s="274"/>
      <c r="H13" s="274"/>
      <c r="I13" s="274"/>
    </row>
    <row r="14" spans="1:9" ht="15.75" thickBot="1">
      <c r="A14" s="155">
        <v>6</v>
      </c>
      <c r="B14" s="211" t="s">
        <v>377</v>
      </c>
      <c r="C14" s="579">
        <v>9339866.8200000003</v>
      </c>
      <c r="D14" s="310"/>
      <c r="E14" s="310"/>
      <c r="F14" s="274"/>
      <c r="G14" s="274"/>
      <c r="H14" s="274"/>
      <c r="I14" s="274"/>
    </row>
    <row r="15" spans="1:9" ht="15.75" thickBot="1">
      <c r="A15" s="213">
        <v>7</v>
      </c>
      <c r="B15" s="214" t="s">
        <v>378</v>
      </c>
      <c r="C15" s="215">
        <f>SUM(C10:C14)</f>
        <v>132190384.72999999</v>
      </c>
      <c r="D15" s="310"/>
      <c r="E15" s="310"/>
      <c r="F15" s="274"/>
      <c r="G15" s="274"/>
      <c r="H15" s="274"/>
      <c r="I15" s="274"/>
    </row>
    <row r="16" spans="1:9" ht="15.75" thickBot="1">
      <c r="A16" s="213">
        <v>8</v>
      </c>
      <c r="B16" s="216" t="s">
        <v>379</v>
      </c>
      <c r="C16" s="215">
        <f>+C9-C15</f>
        <v>8345621.9600000083</v>
      </c>
      <c r="D16" s="310"/>
      <c r="E16" s="310"/>
      <c r="F16" s="274"/>
      <c r="G16" s="274"/>
      <c r="H16" s="274"/>
      <c r="I16" s="274"/>
    </row>
    <row r="17" spans="1:5" ht="15.75" thickBot="1">
      <c r="A17" s="155">
        <v>9</v>
      </c>
      <c r="B17" s="211" t="s">
        <v>380</v>
      </c>
      <c r="C17" s="212">
        <v>0</v>
      </c>
      <c r="D17" s="310"/>
      <c r="E17" s="310"/>
    </row>
    <row r="18" spans="1:5" ht="15.75" thickBot="1">
      <c r="A18" s="217">
        <v>10</v>
      </c>
      <c r="B18" s="218" t="s">
        <v>381</v>
      </c>
      <c r="C18" s="215">
        <f>+C17+C16</f>
        <v>8345621.9600000083</v>
      </c>
      <c r="D18" s="310"/>
      <c r="E18" s="310"/>
    </row>
    <row r="19" spans="1:5" ht="15">
      <c r="A19" s="159">
        <v>11</v>
      </c>
      <c r="B19" s="208" t="s">
        <v>382</v>
      </c>
      <c r="C19" s="579">
        <v>2736196.21</v>
      </c>
      <c r="D19" s="310"/>
      <c r="E19" s="310"/>
    </row>
    <row r="20" spans="1:5" ht="15">
      <c r="A20" s="159">
        <v>12</v>
      </c>
      <c r="B20" s="208" t="s">
        <v>383</v>
      </c>
      <c r="C20" s="579">
        <v>711026.62</v>
      </c>
      <c r="D20" s="310"/>
      <c r="E20" s="310"/>
    </row>
    <row r="21" spans="1:5" ht="15">
      <c r="A21" s="159">
        <v>13</v>
      </c>
      <c r="B21" s="208" t="s">
        <v>384</v>
      </c>
      <c r="C21" s="579"/>
      <c r="D21" s="310"/>
      <c r="E21" s="310"/>
    </row>
    <row r="22" spans="1:5" ht="15.75" thickBot="1">
      <c r="A22" s="155">
        <v>14</v>
      </c>
      <c r="B22" s="211" t="s">
        <v>385</v>
      </c>
      <c r="C22" s="581">
        <v>0</v>
      </c>
      <c r="D22" s="310"/>
      <c r="E22" s="310"/>
    </row>
    <row r="23" spans="1:5" ht="15.75" thickBot="1">
      <c r="A23" s="213">
        <v>15</v>
      </c>
      <c r="B23" s="214" t="s">
        <v>386</v>
      </c>
      <c r="C23" s="215">
        <f>+C18+C19-C20-C21-C22</f>
        <v>10370791.55000001</v>
      </c>
      <c r="D23" s="310"/>
      <c r="E23" s="310"/>
    </row>
    <row r="24" spans="1:5" ht="15">
      <c r="A24" s="159">
        <v>16</v>
      </c>
      <c r="B24" s="208" t="s">
        <v>387</v>
      </c>
      <c r="C24" s="579">
        <v>5060305.5999999996</v>
      </c>
      <c r="D24" s="310"/>
      <c r="E24" s="310"/>
    </row>
    <row r="25" spans="1:5" ht="15">
      <c r="A25" s="159">
        <v>17</v>
      </c>
      <c r="B25" s="208" t="s">
        <v>388</v>
      </c>
      <c r="C25" s="579">
        <v>-485220.57</v>
      </c>
      <c r="D25" s="310"/>
      <c r="E25" s="310"/>
    </row>
    <row r="26" spans="1:5" ht="15.75" thickBot="1">
      <c r="A26" s="155">
        <v>18</v>
      </c>
      <c r="B26" s="211" t="s">
        <v>389</v>
      </c>
      <c r="C26" s="579">
        <v>-1153795.01</v>
      </c>
      <c r="D26" s="310"/>
      <c r="E26" s="310"/>
    </row>
    <row r="27" spans="1:5" ht="15.75" thickBot="1">
      <c r="A27" s="213">
        <v>19</v>
      </c>
      <c r="B27" s="214" t="s">
        <v>390</v>
      </c>
      <c r="C27" s="215">
        <f>SUM(C24:C26)</f>
        <v>3421290.0199999996</v>
      </c>
      <c r="D27" s="310"/>
      <c r="E27" s="310"/>
    </row>
    <row r="28" spans="1:5" ht="15.75" thickBot="1">
      <c r="A28" s="213">
        <v>20</v>
      </c>
      <c r="B28" s="214" t="s">
        <v>391</v>
      </c>
      <c r="C28" s="215">
        <f>+C23-C27</f>
        <v>6949501.5300000105</v>
      </c>
      <c r="D28" s="310"/>
      <c r="E28" s="310"/>
    </row>
    <row r="29" spans="1:5" ht="15">
      <c r="A29" s="159">
        <v>21</v>
      </c>
      <c r="B29" s="208" t="s">
        <v>392</v>
      </c>
      <c r="C29" s="209"/>
      <c r="D29" s="310"/>
      <c r="E29" s="311"/>
    </row>
    <row r="30" spans="1:5" ht="15.75" thickBot="1">
      <c r="A30" s="155">
        <v>22</v>
      </c>
      <c r="B30" s="211" t="s">
        <v>393</v>
      </c>
      <c r="C30" s="209">
        <v>-909866.31</v>
      </c>
      <c r="D30" s="310"/>
      <c r="E30" s="310"/>
    </row>
    <row r="31" spans="1:5" ht="15.75" thickBot="1">
      <c r="A31" s="213">
        <v>23</v>
      </c>
      <c r="B31" s="216" t="s">
        <v>394</v>
      </c>
      <c r="C31" s="219">
        <f>SUM(C28:C30)</f>
        <v>6039635.22000001</v>
      </c>
      <c r="D31" s="310"/>
      <c r="E31" s="310"/>
    </row>
    <row r="32" spans="1:5" ht="15">
      <c r="A32" s="197"/>
      <c r="B32" s="197"/>
      <c r="C32" s="201"/>
      <c r="D32" s="310"/>
      <c r="E32" s="310"/>
    </row>
    <row r="33" spans="1:5" ht="15">
      <c r="A33" s="361" t="s">
        <v>658</v>
      </c>
      <c r="B33" s="312"/>
      <c r="C33" s="313"/>
      <c r="D33" s="312"/>
      <c r="E33" s="310"/>
    </row>
    <row r="34" spans="1:5">
      <c r="A34" s="361" t="s">
        <v>659</v>
      </c>
      <c r="C34" s="201"/>
      <c r="D34" s="197"/>
    </row>
    <row r="35" spans="1:5">
      <c r="A35" s="197"/>
      <c r="C35" s="201"/>
      <c r="D35" s="197"/>
    </row>
    <row r="36" spans="1:5">
      <c r="A36" s="197"/>
      <c r="B36" s="197"/>
      <c r="C36" s="201"/>
      <c r="D36" s="197"/>
    </row>
    <row r="37" spans="1:5">
      <c r="A37" s="197"/>
      <c r="B37" s="197"/>
      <c r="C37" s="201"/>
      <c r="D37" s="197"/>
    </row>
    <row r="38" spans="1:5">
      <c r="C38" s="220"/>
    </row>
    <row r="39" spans="1:5">
      <c r="C39" s="220"/>
    </row>
    <row r="40" spans="1:5">
      <c r="C40" s="220"/>
    </row>
    <row r="41" spans="1:5">
      <c r="C41" s="220"/>
    </row>
    <row r="42" spans="1:5">
      <c r="C42" s="220"/>
    </row>
    <row r="43" spans="1:5">
      <c r="C43" s="220"/>
    </row>
    <row r="44" spans="1:5">
      <c r="C44" s="220"/>
    </row>
    <row r="45" spans="1:5">
      <c r="C45" s="220"/>
    </row>
    <row r="46" spans="1:5">
      <c r="C46" s="220"/>
    </row>
    <row r="47" spans="1:5">
      <c r="C47" s="220"/>
    </row>
  </sheetData>
  <mergeCells count="5">
    <mergeCell ref="A1:C1"/>
    <mergeCell ref="A2:C2"/>
    <mergeCell ref="A3:C3"/>
    <mergeCell ref="A4:C4"/>
    <mergeCell ref="A6:C6"/>
  </mergeCells>
  <pageMargins left="0.25" right="0.25" top="0.75" bottom="0.5" header="0.5" footer="0.5"/>
  <pageSetup orientation="landscape" r:id="rId1"/>
  <headerFooter alignWithMargins="0">
    <oddHeader>&amp;L&amp;"Arial MT,Bold"Rochester Public Utilities
2015 Work Papers&amp;R&amp;"Arial MT,Bold"Exhibit RPU-8
Page 2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Coversheet</vt:lpstr>
      <vt:lpstr>Att O_RPU</vt:lpstr>
      <vt:lpstr>Att GG_RPU</vt:lpstr>
      <vt:lpstr>Sched 1_RPU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Tina Livingston</cp:lastModifiedBy>
  <cp:lastPrinted>2016-10-04T21:17:27Z</cp:lastPrinted>
  <dcterms:created xsi:type="dcterms:W3CDTF">2008-03-20T17:17:49Z</dcterms:created>
  <dcterms:modified xsi:type="dcterms:W3CDTF">2016-11-14T19:40:30Z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Copy of RPU Attach O_GG 2015 True-up and workpapers 11142016.xlsx</vt:lpwstr>
  </property>
</Properties>
</file>