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20" yWindow="60" windowWidth="12225" windowHeight="9105" tabRatio="883"/>
  </bookViews>
  <sheets>
    <sheet name="Nonlevelized-EIA 412" sheetId="9" r:id="rId1"/>
    <sheet name="True-up" sheetId="24" r:id="rId2"/>
    <sheet name="Balance sheet" sheetId="1" r:id="rId3"/>
    <sheet name="Income Statement" sheetId="4" r:id="rId4"/>
    <sheet name="Electric Plant" sheetId="8" r:id="rId5"/>
    <sheet name="Taxes" sheetId="7" r:id="rId6"/>
    <sheet name="Op &amp; Maint" sheetId="5" r:id="rId7"/>
    <sheet name="Attachment O, page 1" sheetId="10" r:id="rId8"/>
    <sheet name="Plant and Depre" sheetId="11" r:id="rId9"/>
    <sheet name="Land for future use" sheetId="12" r:id="rId10"/>
    <sheet name="Mat &amp; Supplies" sheetId="13" r:id="rId11"/>
    <sheet name="Pre Payments" sheetId="14" r:id="rId12"/>
    <sheet name="Transmission O&amp;M" sheetId="15" r:id="rId13"/>
    <sheet name="Admin &amp; General" sheetId="16" r:id="rId14"/>
    <sheet name="FERC Fees" sheetId="17" r:id="rId15"/>
    <sheet name="Taxes other than inc tax" sheetId="19" r:id="rId16"/>
    <sheet name="EPRI Reg Comm Non Safety" sheetId="18" r:id="rId17"/>
    <sheet name="Wages &amp; Salaries" sheetId="20" r:id="rId18"/>
    <sheet name="Debt Detail" sheetId="21" r:id="rId19"/>
    <sheet name="Account 454" sheetId="22" r:id="rId20"/>
    <sheet name="Account 456.1" sheetId="23" r:id="rId21"/>
  </sheets>
  <definedNames>
    <definedName name="_xlnm.Print_Area" localSheetId="7">'Attachment O, page 1'!$A$1:$Q$26</definedName>
    <definedName name="_xlnm.Print_Area" localSheetId="16">'EPRI Reg Comm Non Safety'!$A$1:$J$24</definedName>
    <definedName name="_xlnm.Print_Area" localSheetId="14">'FERC Fees'!$A$1:$G$18</definedName>
    <definedName name="_xlnm.Print_Area" localSheetId="3">'Income Statement'!$A$1:$C$31</definedName>
    <definedName name="_xlnm.Print_Area" localSheetId="9">'Land for future use'!$A$1:$L$18</definedName>
    <definedName name="_xlnm.Print_Area" localSheetId="0">'Nonlevelized-EIA 412'!$A$1:$K$308</definedName>
    <definedName name="_xlnm.Print_Area" localSheetId="11">'Pre Payments'!$A$1:$L$20</definedName>
    <definedName name="_xlnm.Print_Area" localSheetId="15">'Taxes other than inc tax'!$A$1:$M$17</definedName>
    <definedName name="_xlnm.Print_Titles" localSheetId="8">'Plant and Depre'!$1:$7</definedName>
  </definedNames>
  <calcPr calcId="145621"/>
</workbook>
</file>

<file path=xl/calcChain.xml><?xml version="1.0" encoding="utf-8"?>
<calcChain xmlns="http://schemas.openxmlformats.org/spreadsheetml/2006/main">
  <c r="J23" i="24" l="1"/>
  <c r="I79" i="24"/>
  <c r="G79" i="24"/>
  <c r="E79" i="24"/>
  <c r="G58" i="24"/>
  <c r="A59" i="24"/>
  <c r="G59" i="24"/>
  <c r="I59" i="24"/>
  <c r="K59" i="24"/>
  <c r="A60" i="24"/>
  <c r="G60" i="24"/>
  <c r="I60" i="24"/>
  <c r="K60" i="24"/>
  <c r="A61" i="24"/>
  <c r="G61" i="24"/>
  <c r="I61" i="24"/>
  <c r="K61" i="24"/>
  <c r="A62" i="24"/>
  <c r="G62" i="24"/>
  <c r="I62" i="24"/>
  <c r="K62" i="24"/>
  <c r="A63" i="24"/>
  <c r="G63" i="24"/>
  <c r="I63" i="24"/>
  <c r="K63" i="24"/>
  <c r="A64" i="24"/>
  <c r="G64" i="24"/>
  <c r="I64" i="24"/>
  <c r="K64" i="24"/>
  <c r="A65" i="24"/>
  <c r="G65" i="24"/>
  <c r="I65" i="24"/>
  <c r="K65" i="24"/>
  <c r="A66" i="24"/>
  <c r="G66" i="24"/>
  <c r="I66" i="24"/>
  <c r="K66" i="24"/>
  <c r="A67" i="24"/>
  <c r="G67" i="24"/>
  <c r="I67" i="24"/>
  <c r="K67" i="24"/>
  <c r="A68" i="24"/>
  <c r="G68" i="24"/>
  <c r="I68" i="24"/>
  <c r="K68" i="24"/>
  <c r="A69" i="24"/>
  <c r="G69" i="24"/>
  <c r="I69" i="24"/>
  <c r="K69" i="24"/>
  <c r="A70" i="24"/>
  <c r="G70" i="24"/>
  <c r="I70" i="24"/>
  <c r="K70" i="24"/>
  <c r="A71" i="24"/>
  <c r="G71" i="24"/>
  <c r="I71" i="24"/>
  <c r="K71" i="24"/>
  <c r="A72" i="24"/>
  <c r="G72" i="24"/>
  <c r="I72" i="24"/>
  <c r="K72" i="24"/>
  <c r="A73" i="24"/>
  <c r="G73" i="24"/>
  <c r="I73" i="24"/>
  <c r="K73" i="24"/>
  <c r="A74" i="24"/>
  <c r="G74" i="24"/>
  <c r="I74" i="24"/>
  <c r="K74" i="24"/>
  <c r="A75" i="24"/>
  <c r="G75" i="24"/>
  <c r="I75" i="24"/>
  <c r="K75" i="24"/>
  <c r="A76" i="24"/>
  <c r="G76" i="24"/>
  <c r="I76" i="24"/>
  <c r="K76" i="24"/>
  <c r="A77" i="24"/>
  <c r="G77" i="24"/>
  <c r="I77" i="24"/>
  <c r="K77" i="24"/>
  <c r="A78" i="24"/>
  <c r="G78" i="24"/>
  <c r="I78" i="24"/>
  <c r="K78" i="24"/>
  <c r="A79" i="24"/>
  <c r="U57" i="24"/>
  <c r="D32" i="20" l="1"/>
  <c r="D36" i="20"/>
  <c r="D35" i="20"/>
  <c r="D34" i="20"/>
  <c r="D30" i="20"/>
  <c r="D27" i="20"/>
  <c r="D26" i="20"/>
  <c r="D25" i="20"/>
  <c r="D24" i="20"/>
  <c r="C37" i="20" l="1"/>
  <c r="B37" i="20"/>
  <c r="C28" i="20"/>
  <c r="B28" i="20"/>
  <c r="D28" i="20"/>
  <c r="B32" i="13"/>
  <c r="D37" i="20" l="1"/>
  <c r="L1" i="24"/>
  <c r="L47" i="24" s="1"/>
  <c r="I58" i="24"/>
  <c r="CC57" i="24"/>
  <c r="BZ57" i="24"/>
  <c r="BW57" i="24"/>
  <c r="BT57" i="24"/>
  <c r="BQ57" i="24"/>
  <c r="BN57" i="24"/>
  <c r="BK57" i="24"/>
  <c r="BH57" i="24"/>
  <c r="BE57" i="24"/>
  <c r="BB57" i="24"/>
  <c r="AY57" i="24"/>
  <c r="AV57" i="24"/>
  <c r="AS57" i="24"/>
  <c r="AP57" i="24"/>
  <c r="AM57" i="24"/>
  <c r="AJ57" i="24"/>
  <c r="AG57" i="24"/>
  <c r="AD57" i="24"/>
  <c r="AA57" i="24"/>
  <c r="X57" i="24"/>
  <c r="J19" i="24"/>
  <c r="A13" i="24"/>
  <c r="A14" i="24" s="1"/>
  <c r="A16" i="24" s="1"/>
  <c r="A17" i="24" s="1"/>
  <c r="A18" i="24" s="1"/>
  <c r="A19" i="24" s="1"/>
  <c r="A20" i="24" s="1"/>
  <c r="A21" i="24" s="1"/>
  <c r="A23" i="24" s="1"/>
  <c r="A24" i="24" s="1"/>
  <c r="A25" i="24" s="1"/>
  <c r="A27" i="24" s="1"/>
  <c r="A28" i="24" s="1"/>
  <c r="A29" i="24" s="1"/>
  <c r="K58" i="24" l="1"/>
  <c r="K79" i="24" s="1"/>
  <c r="C17" i="8" l="1"/>
  <c r="C18" i="8"/>
  <c r="F71" i="11" l="1"/>
  <c r="F93" i="11"/>
  <c r="B69" i="11"/>
  <c r="F69" i="11" s="1"/>
  <c r="G92" i="11"/>
  <c r="G95" i="11" s="1"/>
  <c r="E92" i="11"/>
  <c r="E95" i="11" s="1"/>
  <c r="B92" i="11"/>
  <c r="B95" i="11" s="1"/>
  <c r="E74" i="11"/>
  <c r="F72" i="11"/>
  <c r="G66" i="11"/>
  <c r="G74" i="11" s="1"/>
  <c r="E66" i="11"/>
  <c r="B66" i="11"/>
  <c r="B74" i="11" s="1"/>
  <c r="D80" i="9" s="1"/>
  <c r="G120" i="11" l="1"/>
  <c r="E120" i="11"/>
  <c r="B120" i="11"/>
  <c r="F117" i="11"/>
  <c r="F116" i="11"/>
  <c r="F115" i="11"/>
  <c r="F114" i="11"/>
  <c r="F113" i="11"/>
  <c r="F112" i="11"/>
  <c r="F111" i="11"/>
  <c r="F110" i="11"/>
  <c r="F109" i="11"/>
  <c r="F108" i="11"/>
  <c r="F107" i="11"/>
  <c r="F106" i="11"/>
  <c r="G103" i="11"/>
  <c r="E103" i="11"/>
  <c r="B103" i="11"/>
  <c r="F100" i="11"/>
  <c r="F99" i="11"/>
  <c r="F98" i="11"/>
  <c r="D89" i="9"/>
  <c r="F91" i="11"/>
  <c r="F90" i="11"/>
  <c r="F89" i="11"/>
  <c r="F88" i="11"/>
  <c r="F87" i="11"/>
  <c r="F86" i="11"/>
  <c r="F85" i="11"/>
  <c r="F84" i="11"/>
  <c r="F83" i="11"/>
  <c r="F82" i="11"/>
  <c r="F81" i="11"/>
  <c r="F80" i="11"/>
  <c r="F79" i="11"/>
  <c r="F78" i="11"/>
  <c r="F77" i="11"/>
  <c r="D88" i="9"/>
  <c r="F65" i="11"/>
  <c r="F64" i="11"/>
  <c r="F63" i="11"/>
  <c r="F62" i="11"/>
  <c r="F61" i="11"/>
  <c r="F60" i="11"/>
  <c r="F59" i="11"/>
  <c r="F58" i="11"/>
  <c r="F57" i="11"/>
  <c r="F56" i="11"/>
  <c r="G50" i="11"/>
  <c r="E50" i="11"/>
  <c r="B50" i="11"/>
  <c r="F49" i="11"/>
  <c r="F48" i="11"/>
  <c r="F47" i="11"/>
  <c r="F46" i="11"/>
  <c r="F45" i="11"/>
  <c r="F44" i="11"/>
  <c r="F43" i="11"/>
  <c r="F42" i="11"/>
  <c r="G39" i="11"/>
  <c r="E39" i="11"/>
  <c r="B39" i="11"/>
  <c r="F38" i="11"/>
  <c r="F37" i="11"/>
  <c r="F36" i="11"/>
  <c r="F35" i="11"/>
  <c r="F34" i="11"/>
  <c r="F33" i="11"/>
  <c r="F32" i="11"/>
  <c r="F31" i="11"/>
  <c r="G27" i="11"/>
  <c r="E27" i="11"/>
  <c r="B27" i="11"/>
  <c r="F26" i="11"/>
  <c r="F25" i="11"/>
  <c r="F24" i="11"/>
  <c r="F23" i="11"/>
  <c r="F22" i="11"/>
  <c r="F21" i="11"/>
  <c r="G18" i="11"/>
  <c r="E18" i="11"/>
  <c r="B18" i="11"/>
  <c r="F17" i="11"/>
  <c r="F16" i="11"/>
  <c r="F15" i="11"/>
  <c r="F14" i="11"/>
  <c r="F13" i="11"/>
  <c r="F12" i="11"/>
  <c r="F11" i="11"/>
  <c r="F10" i="11"/>
  <c r="A2" i="11"/>
  <c r="D272" i="9"/>
  <c r="D271" i="9"/>
  <c r="K270" i="9"/>
  <c r="C270" i="9"/>
  <c r="B270" i="9"/>
  <c r="I255" i="9"/>
  <c r="G245" i="9"/>
  <c r="D241" i="9"/>
  <c r="L227" i="9"/>
  <c r="I220" i="9"/>
  <c r="L220" i="9" s="1"/>
  <c r="L222" i="9" s="1"/>
  <c r="L228" i="9" s="1"/>
  <c r="D207" i="9"/>
  <c r="D205" i="9"/>
  <c r="D204" i="9"/>
  <c r="K204" i="9"/>
  <c r="B204" i="9"/>
  <c r="D174" i="9"/>
  <c r="D178" i="9" s="1"/>
  <c r="D182" i="9" s="1"/>
  <c r="D170" i="9"/>
  <c r="D169" i="9"/>
  <c r="D168" i="9"/>
  <c r="D167" i="9"/>
  <c r="F169" i="9"/>
  <c r="F165" i="9"/>
  <c r="D165" i="9"/>
  <c r="B159" i="9"/>
  <c r="D157" i="9"/>
  <c r="B157" i="9"/>
  <c r="I153" i="9"/>
  <c r="F151" i="9"/>
  <c r="F149" i="9"/>
  <c r="F150" i="9" s="1"/>
  <c r="D147" i="9"/>
  <c r="D146" i="9"/>
  <c r="I146" i="9" s="1"/>
  <c r="D140" i="9"/>
  <c r="D138" i="9"/>
  <c r="D137" i="9"/>
  <c r="K137" i="9"/>
  <c r="B137" i="9"/>
  <c r="D108" i="9"/>
  <c r="F106" i="9"/>
  <c r="D99" i="9"/>
  <c r="B97" i="9"/>
  <c r="B91" i="9"/>
  <c r="B99" i="9" s="1"/>
  <c r="B90" i="9"/>
  <c r="B98" i="9" s="1"/>
  <c r="B89" i="9"/>
  <c r="B88" i="9"/>
  <c r="B96" i="9" s="1"/>
  <c r="B87" i="9"/>
  <c r="B95" i="9" s="1"/>
  <c r="F91" i="9"/>
  <c r="F90" i="9"/>
  <c r="G89" i="9"/>
  <c r="F89" i="9"/>
  <c r="F88" i="9"/>
  <c r="F110" i="9" s="1"/>
  <c r="G87" i="9"/>
  <c r="F87" i="9"/>
  <c r="D74" i="9"/>
  <c r="D72" i="9"/>
  <c r="D71" i="9"/>
  <c r="K71" i="9"/>
  <c r="B71" i="9"/>
  <c r="I42" i="9"/>
  <c r="I41" i="9"/>
  <c r="F15" i="9"/>
  <c r="F92" i="11" l="1"/>
  <c r="F95" i="11" s="1"/>
  <c r="D158" i="9"/>
  <c r="F27" i="11"/>
  <c r="G53" i="11"/>
  <c r="G122" i="11" s="1"/>
  <c r="F50" i="11"/>
  <c r="F120" i="11"/>
  <c r="F66" i="11"/>
  <c r="F74" i="11" s="1"/>
  <c r="F39" i="11"/>
  <c r="F18" i="11"/>
  <c r="B53" i="11"/>
  <c r="B122" i="11" s="1"/>
  <c r="E53" i="11"/>
  <c r="E122" i="11" s="1"/>
  <c r="F103" i="11"/>
  <c r="D90" i="9"/>
  <c r="D160" i="9"/>
  <c r="D87" i="9" l="1"/>
  <c r="D92" i="9" s="1"/>
  <c r="F53" i="11"/>
  <c r="F122" i="11" s="1"/>
  <c r="F44" i="1" l="1"/>
  <c r="C31" i="21" l="1"/>
  <c r="C25" i="21"/>
  <c r="C19" i="21"/>
  <c r="C13" i="21"/>
  <c r="C37" i="21" l="1"/>
  <c r="C15" i="1" l="1"/>
  <c r="C11" i="1"/>
  <c r="C30" i="1" l="1"/>
  <c r="C19" i="4" l="1"/>
  <c r="C20" i="4"/>
  <c r="C10" i="17" l="1"/>
  <c r="C41" i="16" l="1"/>
  <c r="B17" i="22" l="1"/>
  <c r="B9" i="20" l="1"/>
  <c r="D230" i="9" s="1"/>
  <c r="G230" i="9" s="1"/>
  <c r="B8" i="20"/>
  <c r="D229" i="9" s="1"/>
  <c r="B7" i="20"/>
  <c r="D228" i="9" s="1"/>
  <c r="B10" i="20"/>
  <c r="D231" i="9" s="1"/>
  <c r="G231" i="9" s="1"/>
  <c r="D232" i="9" l="1"/>
  <c r="G228" i="9"/>
  <c r="D40" i="21"/>
  <c r="C40" i="21"/>
  <c r="D31" i="21"/>
  <c r="D25" i="21"/>
  <c r="B10" i="13" l="1"/>
  <c r="D114" i="9" s="1"/>
  <c r="E6" i="19" l="1"/>
  <c r="D164" i="9" s="1"/>
  <c r="D171" i="9" s="1"/>
  <c r="B11" i="22" l="1"/>
  <c r="A1" i="10" l="1"/>
  <c r="A1" i="11" s="1"/>
  <c r="C8" i="7" l="1"/>
  <c r="C45" i="16"/>
  <c r="E29" i="5" s="1"/>
  <c r="C43" i="16"/>
  <c r="D29" i="5" s="1"/>
  <c r="C34" i="15"/>
  <c r="E21" i="5" s="1"/>
  <c r="C22" i="15"/>
  <c r="D21" i="5" s="1"/>
  <c r="C23" i="23"/>
  <c r="I263" i="9" s="1"/>
  <c r="C22" i="23"/>
  <c r="I262" i="9" s="1"/>
  <c r="C21" i="23"/>
  <c r="I261" i="9" s="1"/>
  <c r="C17" i="23"/>
  <c r="C20" i="23" s="1"/>
  <c r="I260" i="9" s="1"/>
  <c r="A2" i="23"/>
  <c r="A1" i="23"/>
  <c r="B14" i="22"/>
  <c r="I257" i="9" s="1"/>
  <c r="D14" i="9" s="1"/>
  <c r="A2" i="22"/>
  <c r="A1" i="22"/>
  <c r="D34" i="21"/>
  <c r="C34" i="21"/>
  <c r="D28" i="21"/>
  <c r="C28" i="21"/>
  <c r="D22" i="21"/>
  <c r="C22" i="21"/>
  <c r="D16" i="21"/>
  <c r="C16" i="21"/>
  <c r="D10" i="21"/>
  <c r="C10" i="21"/>
  <c r="A2" i="21"/>
  <c r="A1" i="21"/>
  <c r="A2" i="20"/>
  <c r="A1" i="20"/>
  <c r="E13" i="19"/>
  <c r="A2" i="19"/>
  <c r="A1" i="19"/>
  <c r="B21" i="18"/>
  <c r="B15" i="18"/>
  <c r="A2" i="18"/>
  <c r="A1" i="18"/>
  <c r="C13" i="17"/>
  <c r="D149" i="9" s="1"/>
  <c r="B13" i="17"/>
  <c r="A2" i="17"/>
  <c r="A1" i="17"/>
  <c r="C27" i="16"/>
  <c r="C20" i="16"/>
  <c r="C13" i="16"/>
  <c r="A2" i="16"/>
  <c r="A1" i="16"/>
  <c r="A2" i="15"/>
  <c r="A1" i="15"/>
  <c r="B13" i="14"/>
  <c r="C43" i="1" s="1"/>
  <c r="D115" i="9" s="1"/>
  <c r="A2" i="14"/>
  <c r="A1" i="14"/>
  <c r="B13" i="13"/>
  <c r="A2" i="13"/>
  <c r="A1" i="13"/>
  <c r="B12" i="12"/>
  <c r="A2" i="12"/>
  <c r="A1" i="12"/>
  <c r="B21" i="10"/>
  <c r="B23" i="10" s="1"/>
  <c r="I23" i="9" s="1"/>
  <c r="D151" i="9" l="1"/>
  <c r="D150" i="9"/>
  <c r="I264" i="9"/>
  <c r="D15" i="9" s="1"/>
  <c r="I30" i="9"/>
  <c r="J16" i="24"/>
  <c r="J18" i="24" s="1"/>
  <c r="J20" i="24" s="1"/>
  <c r="B18" i="22"/>
  <c r="C24" i="23"/>
  <c r="C43" i="21"/>
  <c r="D43" i="21"/>
  <c r="C35" i="15"/>
  <c r="F21" i="5" s="1"/>
  <c r="D145" i="9" s="1"/>
  <c r="C46" i="16"/>
  <c r="I219" i="9" l="1"/>
  <c r="F29" i="5"/>
  <c r="D148" i="9" s="1"/>
  <c r="D154" i="9" s="1"/>
  <c r="D113" i="9" s="1"/>
  <c r="D116" i="9" s="1"/>
  <c r="C27" i="8"/>
  <c r="E19" i="8"/>
  <c r="C19" i="8"/>
  <c r="I221" i="9" l="1"/>
  <c r="I223" i="9" s="1"/>
  <c r="G27" i="8"/>
  <c r="G24" i="8"/>
  <c r="G23" i="8"/>
  <c r="D110" i="9" s="1"/>
  <c r="G22" i="8"/>
  <c r="G19" i="8"/>
  <c r="G18" i="8"/>
  <c r="D81" i="9" s="1"/>
  <c r="D97" i="9" s="1"/>
  <c r="G17" i="8"/>
  <c r="G14" i="8"/>
  <c r="G13" i="8"/>
  <c r="G12" i="8"/>
  <c r="G11" i="8"/>
  <c r="G9" i="8"/>
  <c r="D82" i="9" s="1"/>
  <c r="D98" i="9" s="1"/>
  <c r="I211" i="9" l="1"/>
  <c r="I214" i="9" s="1"/>
  <c r="I216" i="9" s="1"/>
  <c r="D96" i="9"/>
  <c r="F38" i="5"/>
  <c r="E229" i="9" l="1"/>
  <c r="G229" i="9" s="1"/>
  <c r="G232" i="9" s="1"/>
  <c r="I232" i="9" s="1"/>
  <c r="I224" i="9"/>
  <c r="I225" i="9" s="1"/>
  <c r="G14" i="9"/>
  <c r="G80" i="9"/>
  <c r="C15" i="8"/>
  <c r="C20" i="8" s="1"/>
  <c r="C25" i="8" s="1"/>
  <c r="C28" i="8" s="1"/>
  <c r="C46" i="1"/>
  <c r="D19" i="5"/>
  <c r="D31" i="5" s="1"/>
  <c r="E19" i="5"/>
  <c r="E31" i="5" s="1"/>
  <c r="E42" i="5" s="1"/>
  <c r="C19" i="5"/>
  <c r="F18" i="5"/>
  <c r="F16" i="5"/>
  <c r="F13" i="5"/>
  <c r="F11" i="5"/>
  <c r="F16" i="1"/>
  <c r="D245" i="9" s="1"/>
  <c r="F28" i="1"/>
  <c r="D244" i="9" s="1"/>
  <c r="F45" i="1"/>
  <c r="F54" i="1"/>
  <c r="F33" i="1"/>
  <c r="C16" i="1"/>
  <c r="C22" i="1" s="1"/>
  <c r="C54" i="1"/>
  <c r="D15" i="8"/>
  <c r="D20" i="8" s="1"/>
  <c r="D25" i="8" s="1"/>
  <c r="D28" i="8" s="1"/>
  <c r="E15" i="8"/>
  <c r="E20" i="8" s="1"/>
  <c r="E25" i="8" s="1"/>
  <c r="E28" i="8" s="1"/>
  <c r="F15" i="8"/>
  <c r="A1" i="8"/>
  <c r="A4" i="8"/>
  <c r="A1" i="4"/>
  <c r="A4" i="4"/>
  <c r="C27" i="4"/>
  <c r="F27" i="5"/>
  <c r="F28" i="5"/>
  <c r="F25" i="5"/>
  <c r="F23" i="5"/>
  <c r="F15" i="5"/>
  <c r="F10" i="5"/>
  <c r="A1" i="5"/>
  <c r="A4" i="5"/>
  <c r="A1" i="7"/>
  <c r="A4" i="7"/>
  <c r="G244" i="9" l="1"/>
  <c r="D246" i="9"/>
  <c r="G88" i="9"/>
  <c r="I80" i="9"/>
  <c r="I14" i="9"/>
  <c r="G16" i="9"/>
  <c r="I16" i="9" s="1"/>
  <c r="G15" i="9"/>
  <c r="I15" i="9" s="1"/>
  <c r="G17" i="9"/>
  <c r="I17" i="9" s="1"/>
  <c r="G114" i="9"/>
  <c r="I114" i="9" s="1"/>
  <c r="G145" i="9"/>
  <c r="G148" i="9"/>
  <c r="G82" i="9"/>
  <c r="G149" i="9"/>
  <c r="I149" i="9" s="1"/>
  <c r="G150" i="9"/>
  <c r="I150" i="9" s="1"/>
  <c r="I236" i="9"/>
  <c r="C11" i="4"/>
  <c r="F20" i="8"/>
  <c r="G15" i="8"/>
  <c r="D79" i="9" s="1"/>
  <c r="F19" i="5"/>
  <c r="F31" i="5" s="1"/>
  <c r="F42" i="5" s="1"/>
  <c r="D42" i="5"/>
  <c r="F56" i="1"/>
  <c r="C56" i="1"/>
  <c r="D95" i="9" l="1"/>
  <c r="D100" i="9" s="1"/>
  <c r="D118" i="9" s="1"/>
  <c r="D84" i="9"/>
  <c r="D235" i="9" s="1"/>
  <c r="D238" i="9" s="1"/>
  <c r="G236" i="9" s="1"/>
  <c r="K236" i="9" s="1"/>
  <c r="E245" i="9"/>
  <c r="I245" i="9" s="1"/>
  <c r="E244" i="9"/>
  <c r="I244" i="9"/>
  <c r="I18" i="9"/>
  <c r="I145" i="9"/>
  <c r="G147" i="9"/>
  <c r="I147" i="9" s="1"/>
  <c r="G151" i="9"/>
  <c r="I151" i="9" s="1"/>
  <c r="G90" i="9"/>
  <c r="I90" i="9" s="1"/>
  <c r="I82" i="9"/>
  <c r="G158" i="9"/>
  <c r="I148" i="9"/>
  <c r="I88" i="9"/>
  <c r="I96" i="9" s="1"/>
  <c r="G110" i="9"/>
  <c r="C10" i="4"/>
  <c r="C15" i="4" s="1"/>
  <c r="C16" i="4" s="1"/>
  <c r="C18" i="4" s="1"/>
  <c r="C23" i="4" s="1"/>
  <c r="C28" i="4" s="1"/>
  <c r="C31" i="4" s="1"/>
  <c r="F25" i="8"/>
  <c r="G20" i="8"/>
  <c r="G83" i="9" l="1"/>
  <c r="G152" i="9"/>
  <c r="I246" i="9"/>
  <c r="D185" i="9"/>
  <c r="E246" i="9"/>
  <c r="I98" i="9"/>
  <c r="G91" i="9"/>
  <c r="I91" i="9" s="1"/>
  <c r="I92" i="9" s="1"/>
  <c r="I83" i="9"/>
  <c r="I99" i="9" s="1"/>
  <c r="I100" i="9" s="1"/>
  <c r="G100" i="9" s="1"/>
  <c r="G164" i="9"/>
  <c r="I158" i="9"/>
  <c r="I110" i="9"/>
  <c r="G157" i="9"/>
  <c r="I157" i="9" s="1"/>
  <c r="I152" i="9"/>
  <c r="I154" i="9" s="1"/>
  <c r="I113" i="9" s="1"/>
  <c r="G159" i="9"/>
  <c r="I159" i="9" s="1"/>
  <c r="F28" i="8"/>
  <c r="G28" i="8" s="1"/>
  <c r="G25" i="8"/>
  <c r="B11" i="20"/>
  <c r="D175" i="9" l="1"/>
  <c r="I249" i="9"/>
  <c r="D181" i="9"/>
  <c r="D183" i="9" s="1"/>
  <c r="D188" i="9" s="1"/>
  <c r="D197" i="9" s="1"/>
  <c r="I160" i="9"/>
  <c r="G104" i="9"/>
  <c r="G182" i="9"/>
  <c r="I182" i="9" s="1"/>
  <c r="I84" i="9"/>
  <c r="G84" i="9" s="1"/>
  <c r="G165" i="9"/>
  <c r="I165" i="9" s="1"/>
  <c r="I164" i="9"/>
  <c r="G115" i="9" l="1"/>
  <c r="I115" i="9" s="1"/>
  <c r="I116" i="9" s="1"/>
  <c r="G167" i="9"/>
  <c r="I104" i="9"/>
  <c r="G105" i="9"/>
  <c r="I105" i="9" l="1"/>
  <c r="G107" i="9"/>
  <c r="I107" i="9" s="1"/>
  <c r="G106" i="9"/>
  <c r="I106" i="9" s="1"/>
  <c r="G169" i="9"/>
  <c r="I167" i="9"/>
  <c r="I108" i="9" l="1"/>
  <c r="I118" i="9" s="1"/>
  <c r="I185" i="9" s="1"/>
  <c r="I181" i="9" s="1"/>
  <c r="I183" i="9" s="1"/>
  <c r="G170" i="9"/>
  <c r="I170" i="9" s="1"/>
  <c r="I169" i="9"/>
  <c r="I171" i="9" l="1"/>
  <c r="I188" i="9" s="1"/>
  <c r="I197" i="9" s="1"/>
  <c r="I11" i="9" s="1"/>
  <c r="I20" i="9" s="1"/>
  <c r="D32" i="9" l="1"/>
  <c r="J12" i="24"/>
  <c r="J14" i="24" s="1"/>
  <c r="J21" i="24" s="1"/>
  <c r="J25" i="24" s="1"/>
  <c r="J27" i="24" s="1"/>
  <c r="J29" i="24" s="1"/>
  <c r="I37" i="9" l="1"/>
  <c r="D36" i="9"/>
  <c r="I38" i="9"/>
  <c r="D38" i="9"/>
  <c r="D37" i="9"/>
  <c r="D33" i="9"/>
  <c r="I36" i="9"/>
</calcChain>
</file>

<file path=xl/sharedStrings.xml><?xml version="1.0" encoding="utf-8"?>
<sst xmlns="http://schemas.openxmlformats.org/spreadsheetml/2006/main" count="1143" uniqueCount="916">
  <si>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</si>
  <si>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</si>
  <si>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</si>
  <si>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</si>
  <si>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</si>
  <si>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</si>
  <si>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</si>
  <si>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</si>
  <si>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</si>
  <si>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</si>
  <si>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</si>
  <si>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</si>
  <si>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</si>
  <si>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</si>
  <si>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</si>
  <si>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</si>
  <si>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</si>
  <si>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</si>
  <si>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</si>
  <si>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</si>
  <si>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</si>
  <si>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</si>
  <si>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</si>
  <si>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</si>
  <si>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</si>
  <si>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</si>
  <si>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</si>
  <si>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</si>
  <si>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</si>
  <si>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</si>
  <si>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</si>
  <si>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</si>
  <si>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</si>
  <si>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</si>
  <si>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</si>
  <si>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</si>
  <si>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</si>
  <si>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</si>
  <si>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</si>
  <si>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</si>
  <si>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</si>
  <si>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</si>
  <si>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</si>
  <si>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</si>
  <si>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</si>
  <si>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</si>
  <si>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</si>
  <si>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</si>
  <si>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</si>
  <si>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</si>
  <si>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</si>
  <si>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</si>
  <si>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</si>
  <si>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</si>
  <si>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</si>
  <si>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</si>
  <si>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</si>
  <si>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</si>
  <si>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</si>
  <si>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</si>
  <si>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</si>
  <si>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</si>
  <si>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</si>
  <si>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</si>
  <si>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</si>
  <si>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</si>
  <si>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</si>
  <si>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</si>
  <si>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</si>
  <si>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</si>
  <si>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</si>
  <si>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</si>
  <si>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</si>
  <si>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</si>
  <si>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</si>
  <si>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</si>
  <si>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</si>
  <si>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</si>
  <si>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</si>
  <si>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</si>
  <si>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</si>
  <si>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</si>
  <si>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</si>
  <si>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</si>
  <si>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</si>
  <si>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</si>
  <si>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</si>
  <si>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</si>
  <si>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</si>
  <si>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</si>
  <si>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</si>
  <si>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</si>
  <si>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</si>
  <si>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</si>
  <si>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</si>
  <si>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</si>
  <si>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</si>
  <si>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</si>
  <si>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</si>
  <si>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</si>
  <si>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</si>
  <si>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</si>
  <si>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</si>
  <si>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</si>
  <si>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</si>
  <si>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</si>
  <si>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</si>
  <si>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</si>
  <si>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</si>
  <si>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</si>
  <si>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</si>
  <si>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</si>
  <si>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</si>
  <si>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</si>
  <si>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</si>
  <si>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</si>
  <si>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</si>
  <si>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</si>
  <si>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</si>
  <si>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</si>
  <si>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</si>
  <si>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</si>
  <si>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</si>
  <si>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</si>
  <si>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</si>
  <si>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</si>
  <si>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</si>
  <si>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</si>
  <si>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</si>
  <si>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</si>
  <si>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</si>
  <si>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</si>
  <si>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</si>
  <si>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</si>
  <si>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</si>
  <si>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</si>
  <si>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</si>
  <si>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</si>
  <si>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</si>
  <si>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</si>
  <si>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</si>
  <si>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</si>
  <si>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</si>
  <si>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</si>
  <si>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</si>
  <si>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</si>
  <si>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</si>
  <si>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</si>
  <si>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</si>
  <si>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</si>
  <si>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</si>
  <si>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</si>
  <si>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</si>
  <si>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</si>
  <si>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</si>
  <si>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</si>
  <si>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</si>
  <si>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</si>
  <si>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</si>
  <si>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</si>
  <si>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</si>
  <si>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</si>
  <si>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</si>
  <si>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</si>
  <si>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</si>
  <si>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</si>
  <si>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</si>
  <si>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</si>
  <si>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</si>
  <si>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</si>
  <si>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</si>
  <si>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</si>
  <si>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</si>
  <si>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</si>
  <si>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</si>
  <si>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</si>
  <si>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</si>
  <si>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</si>
  <si>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</si>
  <si>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</si>
  <si>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Rochester Public Utilities</t>
  </si>
  <si>
    <t>Regional Market Expenses</t>
  </si>
  <si>
    <t>9575-576)</t>
  </si>
  <si>
    <r>
      <t>Other Electric Deductions (416, 417, 421.2</t>
    </r>
    <r>
      <rPr>
        <sz val="10"/>
        <rFont val="Arial"/>
        <family val="2"/>
      </rPr>
      <t>)</t>
    </r>
  </si>
  <si>
    <r>
      <t>Non-Electric Plant Property (121</t>
    </r>
    <r>
      <rPr>
        <sz val="10"/>
        <rFont val="Arial"/>
        <family val="2"/>
      </rPr>
      <t>)</t>
    </r>
  </si>
  <si>
    <r>
      <t>Depreciation and Amortization (122</t>
    </r>
    <r>
      <rPr>
        <sz val="10"/>
        <rFont val="Arial"/>
        <family val="2"/>
      </rPr>
      <t>)</t>
    </r>
  </si>
  <si>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</si>
  <si>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</si>
  <si>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</si>
  <si>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</si>
  <si>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</si>
  <si>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</si>
  <si>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</si>
  <si>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</si>
  <si>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</si>
  <si>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</si>
  <si>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</si>
  <si>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</si>
  <si>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</si>
  <si>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</si>
  <si>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</si>
  <si>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</si>
  <si>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Line 4 supported by schedules.</t>
  </si>
  <si>
    <t>Revenues from service provided by the ISO at a discount</t>
  </si>
  <si>
    <t>Line 5 supported by schedules.</t>
  </si>
  <si>
    <t>TOTAL REVENUE CREDITS  (sum lines 2-5)</t>
  </si>
  <si>
    <t>NET REVENUE REQUIREMENT</t>
  </si>
  <si>
    <t>(line 1 minus line 6)</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</si>
  <si>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</si>
  <si>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</si>
  <si>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</si>
  <si>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</si>
  <si>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</si>
  <si>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</si>
  <si>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</si>
  <si>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</si>
  <si>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</si>
  <si>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</si>
  <si>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</si>
  <si>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</si>
  <si>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</si>
  <si>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</si>
  <si>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</si>
  <si>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</si>
  <si>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</si>
  <si>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</si>
  <si>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</si>
  <si>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</si>
  <si>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</si>
  <si>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</si>
  <si>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</si>
  <si>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</si>
  <si>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</si>
  <si>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</si>
  <si>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</si>
  <si>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</si>
  <si>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</si>
  <si>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</si>
  <si>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</si>
  <si>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</si>
  <si>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</si>
  <si>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</si>
  <si>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</si>
  <si>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</si>
  <si>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</si>
  <si>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</si>
  <si>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</si>
  <si>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</si>
  <si>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</si>
  <si>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</si>
  <si>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</si>
  <si>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</si>
  <si>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</si>
  <si>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</si>
  <si>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</si>
  <si>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</si>
  <si>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</si>
  <si>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</si>
  <si>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</si>
  <si>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</si>
  <si>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</si>
  <si>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</si>
  <si>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</si>
  <si>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</si>
  <si>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</si>
  <si>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</si>
  <si>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</si>
  <si>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</si>
  <si>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</si>
  <si>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</si>
  <si>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</si>
  <si>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</si>
  <si>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</si>
  <si>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</si>
  <si>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</si>
  <si>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</si>
  <si>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</si>
  <si>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</si>
  <si>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</si>
  <si>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</si>
  <si>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</si>
  <si>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</si>
  <si>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</si>
  <si>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</si>
  <si>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</si>
  <si>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</si>
  <si>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</si>
  <si>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</si>
  <si>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</si>
  <si>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</si>
  <si>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</si>
  <si>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</si>
  <si>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</si>
  <si>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</si>
  <si>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</si>
  <si>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</si>
  <si>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</si>
  <si>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</si>
  <si>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</si>
  <si>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</si>
  <si>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</si>
  <si>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</si>
  <si>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</si>
  <si>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</si>
  <si>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</si>
  <si>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</si>
  <si>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</si>
  <si>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</si>
  <si>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</si>
  <si>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</si>
  <si>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</si>
  <si>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</si>
  <si>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</si>
  <si>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</si>
  <si>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</si>
  <si>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</si>
  <si>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</si>
  <si>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</si>
  <si>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</si>
  <si>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</si>
  <si>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</si>
  <si>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</si>
  <si>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</si>
  <si>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</si>
  <si>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</si>
  <si>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</si>
  <si>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</si>
  <si>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</si>
  <si>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</si>
  <si>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</si>
  <si>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</si>
  <si>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</si>
  <si>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</si>
  <si>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</si>
  <si>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</si>
  <si>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</si>
  <si>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</si>
  <si>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</si>
  <si>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</si>
  <si>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</si>
  <si>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</si>
  <si>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</si>
  <si>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</si>
  <si>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</si>
  <si>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</si>
  <si>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</si>
  <si>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</si>
  <si>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</si>
  <si>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</si>
  <si>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</si>
  <si>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</si>
  <si>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</si>
  <si>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</si>
  <si>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</si>
  <si>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</si>
  <si>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</si>
  <si>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</si>
  <si>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</si>
  <si>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</si>
  <si>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</si>
  <si>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</si>
  <si>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</si>
  <si>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</si>
  <si>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Total transmission expenses  (page 3, line 1, column 3)</t>
  </si>
  <si>
    <t>Schedule 1 Recoveralbe Expenses</t>
  </si>
  <si>
    <t>Less transmission expenses included in OATT Ancillary Services  (Note L)</t>
  </si>
  <si>
    <t>Acct 561 included in Line 7?</t>
  </si>
  <si>
    <t>Included transmission expenses (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</si>
  <si>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</si>
  <si>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</si>
  <si>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</si>
  <si>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</si>
  <si>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</si>
  <si>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</si>
  <si>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</si>
  <si>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</si>
  <si>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</si>
  <si>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</si>
  <si>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</si>
  <si>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
  </si>
  <si>
    <t>Allocation</t>
  </si>
  <si>
    <t>total Revenue Credits</t>
  </si>
  <si>
    <t>Net Schedule 1 Expenses (Acct 561 minus Credits)</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</si>
  <si>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</si>
  <si>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</si>
  <si>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</si>
  <si>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</si>
  <si>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</si>
  <si>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</si>
  <si>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</si>
  <si>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</si>
  <si>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</si>
  <si>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</si>
  <si>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</si>
  <si>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</si>
  <si>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</si>
  <si>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</si>
  <si>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</si>
  <si>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</si>
  <si>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</si>
  <si>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</si>
  <si>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</si>
  <si>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</si>
  <si>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</si>
  <si>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</si>
  <si>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</si>
  <si>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</si>
  <si>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</si>
  <si>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</si>
  <si>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</si>
  <si>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</si>
  <si>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</si>
  <si>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</si>
  <si>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</si>
  <si>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</si>
  <si>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</si>
  <si>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</si>
  <si>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</si>
  <si>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</si>
  <si>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</si>
  <si>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</si>
  <si>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</si>
  <si>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</si>
  <si>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</si>
  <si>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</si>
  <si>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</si>
  <si>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</si>
  <si>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</si>
  <si>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</si>
  <si>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</si>
  <si>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Line 31 supported by notes in Form 412 or detailed Schedule</t>
  </si>
  <si>
    <t>Line 32 supported by notes in Form 412 or detailed Schedule</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</si>
  <si>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</si>
  <si>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</si>
  <si>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</si>
  <si>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</si>
  <si>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</si>
  <si>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</si>
  <si>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</si>
  <si>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</si>
  <si>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</si>
  <si>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</si>
  <si>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</si>
  <si>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</si>
  <si>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</si>
  <si>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</si>
  <si>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</si>
  <si>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</si>
  <si>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</si>
  <si>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</si>
  <si>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</si>
  <si>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</si>
  <si>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</si>
  <si>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</si>
  <si>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</si>
  <si>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</si>
  <si>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</si>
  <si>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</si>
  <si>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</si>
  <si>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</si>
  <si>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</si>
  <si>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</si>
  <si>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</si>
  <si>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</si>
  <si>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</si>
  <si>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</si>
  <si>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</si>
  <si>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</si>
  <si>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</si>
  <si>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</si>
  <si>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SIT work papers if required</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</si>
  <si>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</si>
  <si>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</si>
  <si>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</si>
  <si>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</si>
  <si>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</si>
  <si>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</si>
  <si>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</si>
  <si>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</si>
  <si>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</si>
  <si>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</si>
  <si>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</si>
  <si>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</si>
  <si>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</si>
  <si>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</si>
  <si>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</si>
  <si>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</si>
  <si>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</si>
  <si>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</si>
  <si>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</si>
  <si>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</si>
  <si>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</si>
  <si>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</si>
  <si>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</si>
  <si>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</si>
  <si>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</si>
  <si>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</si>
  <si>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</si>
  <si>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</si>
  <si>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</si>
  <si>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</si>
  <si>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 divisor</t>
  </si>
  <si>
    <t>Report the CP of your load in the Pricing Zone by Pricing Zone for Each Month in KWs</t>
  </si>
  <si>
    <t>Jan</t>
  </si>
  <si>
    <t>Feb</t>
  </si>
  <si>
    <t>Mar</t>
  </si>
  <si>
    <t>Apr</t>
  </si>
  <si>
    <t>May</t>
  </si>
  <si>
    <t>Jun</t>
  </si>
  <si>
    <t>Jul</t>
  </si>
  <si>
    <t>Aug</t>
  </si>
  <si>
    <t>Sep</t>
  </si>
  <si>
    <t>Oct</t>
  </si>
  <si>
    <t>Nov</t>
  </si>
  <si>
    <t>Dec</t>
  </si>
  <si>
    <t>Sub total</t>
  </si>
  <si>
    <t>Average</t>
  </si>
  <si>
    <t>should be reported on Attachment O, page 1, line 8</t>
  </si>
  <si>
    <t>Plant Summary</t>
  </si>
  <si>
    <t xml:space="preserve">Accumulated </t>
  </si>
  <si>
    <t>Net</t>
  </si>
  <si>
    <t>Depreciation</t>
  </si>
  <si>
    <t>Gross Plant</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</si>
  <si>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</si>
  <si>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</si>
  <si>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</si>
  <si>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</si>
  <si>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</si>
  <si>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</si>
  <si>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</si>
  <si>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</si>
  <si>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</si>
  <si>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</si>
  <si>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</si>
  <si>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</si>
  <si>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 xml:space="preserve">EIA 412, Sch 4, ln 2 </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</si>
  <si>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</si>
  <si>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</si>
  <si>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</si>
  <si>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</si>
  <si>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</si>
  <si>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</si>
  <si>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</si>
  <si>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</si>
  <si>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EIA 412, Sch 4, ln 3</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</si>
  <si>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</si>
  <si>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</si>
  <si>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</si>
  <si>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</si>
  <si>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</si>
  <si>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</si>
  <si>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</si>
  <si>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</si>
  <si>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</si>
  <si>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</si>
  <si>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</si>
  <si>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EIA 412, Sch 4, ln 4</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</si>
  <si>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</si>
  <si>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</si>
  <si>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</si>
  <si>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</si>
  <si>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</si>
  <si>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</si>
  <si>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</si>
  <si>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</si>
  <si>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</si>
  <si>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</si>
  <si>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EIA 412, Sch 4, ln 5</t>
  </si>
  <si>
    <t>Att O, pg 2, line 1</t>
  </si>
  <si>
    <t>Att O, pg 2, line 7</t>
  </si>
  <si>
    <t>EIA 412, Sch 4, ln 6</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</si>
  <si>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</si>
  <si>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</si>
  <si>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</si>
  <si>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</si>
  <si>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</si>
  <si>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</si>
  <si>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</si>
  <si>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</si>
  <si>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</si>
  <si>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</si>
  <si>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</si>
  <si>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Att O, pg 2, line 2</t>
  </si>
  <si>
    <t>Att O, pg 2, line 8</t>
  </si>
  <si>
    <t>Att O, pg 3, line 9</t>
  </si>
  <si>
    <t>Total Transmission Plant</t>
  </si>
  <si>
    <t>EIA 412, Sch 4, ln 7</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</si>
  <si>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</si>
  <si>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</si>
  <si>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</si>
  <si>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</si>
  <si>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</si>
  <si>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</si>
  <si>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</si>
  <si>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</si>
  <si>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</si>
  <si>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</si>
  <si>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</si>
  <si>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</si>
  <si>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</si>
  <si>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</si>
  <si>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</si>
  <si>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</si>
  <si>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Att O, pg 2, line 3</t>
  </si>
  <si>
    <t>Att O, pg 2, line 9</t>
  </si>
  <si>
    <t>Total Distribution Plant</t>
  </si>
  <si>
    <t>EIA 412, Sch 4, ln 8</t>
  </si>
  <si>
    <t>Intangible Plant</t>
  </si>
  <si>
    <t>301 Organization</t>
  </si>
  <si>
    <t>302 Franchises and Consents</t>
  </si>
  <si>
    <t>303 Miscellaneous Intangible Plant</t>
  </si>
  <si>
    <t>Att O, pg 2, line 4</t>
  </si>
  <si>
    <t>Att O, pg 2, line 10</t>
  </si>
  <si>
    <t>Total Intangible Plant</t>
  </si>
  <si>
    <t>EIA 412, Sch 4, ln 1</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</si>
  <si>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</si>
  <si>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</si>
  <si>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</si>
  <si>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</si>
  <si>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</si>
  <si>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</si>
  <si>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</si>
  <si>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</si>
  <si>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</si>
  <si>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</si>
  <si>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</si>
  <si>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</si>
  <si>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</si>
  <si>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Att O, pg 3, line 10</t>
  </si>
  <si>
    <t>Total General Plant</t>
  </si>
  <si>
    <t>EIA 412, Sch 4, ln 9</t>
  </si>
  <si>
    <t>Grand Total Plant In-Service</t>
  </si>
  <si>
    <t xml:space="preserve">Attachment O, page 2, line 25 </t>
  </si>
  <si>
    <t>Land Held For Future Use</t>
  </si>
  <si>
    <t>Production</t>
  </si>
  <si>
    <t>should be reported on Attachment O, page 2, line 25</t>
  </si>
  <si>
    <t xml:space="preserve">Distribution </t>
  </si>
  <si>
    <t>Other</t>
  </si>
  <si>
    <t>Attachment O, page 2, line 27</t>
  </si>
  <si>
    <t>Materials and Supplies</t>
  </si>
  <si>
    <t>should be reported on Attachment O, page 2, line 27</t>
  </si>
  <si>
    <t>Attachment O, page 2, line 28</t>
  </si>
  <si>
    <t>Pre Payment Description</t>
  </si>
  <si>
    <t>XXXXX</t>
  </si>
  <si>
    <t>Total Pre Payments</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</si>
  <si>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</si>
  <si>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</si>
  <si>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</si>
  <si>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</si>
  <si>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</si>
  <si>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</si>
  <si>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</si>
  <si>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</si>
  <si>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</si>
  <si>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</si>
  <si>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</si>
  <si>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</si>
  <si>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</si>
  <si>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</si>
  <si>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</si>
  <si>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</si>
  <si>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</si>
  <si>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</si>
  <si>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</si>
  <si>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</si>
  <si>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</si>
  <si>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</si>
  <si>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</si>
  <si>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</si>
  <si>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</si>
  <si>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</si>
  <si>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</si>
  <si>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</si>
  <si>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</si>
  <si>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</si>
  <si>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Transmission O&amp;M Expense</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</si>
  <si>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</si>
  <si>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</si>
  <si>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</si>
  <si>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</si>
  <si>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</si>
  <si>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</si>
  <si>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</si>
  <si>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</si>
  <si>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</si>
  <si>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</si>
  <si>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</si>
  <si>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</si>
  <si>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</si>
  <si>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</si>
  <si>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</si>
  <si>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</si>
  <si>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</si>
  <si>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</si>
  <si>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</si>
  <si>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</si>
  <si>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</si>
  <si>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</si>
  <si>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</si>
  <si>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</si>
  <si>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</si>
  <si>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</si>
  <si>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</si>
  <si>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</si>
  <si>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</si>
  <si>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</si>
  <si>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</si>
  <si>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</si>
  <si>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</si>
  <si>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</si>
  <si>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</si>
  <si>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</si>
  <si>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</si>
  <si>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Attachment O, page 3, line 4</t>
  </si>
  <si>
    <t>Account</t>
  </si>
  <si>
    <t>FERC fees recorded to expense during the year</t>
  </si>
  <si>
    <t>Charged</t>
  </si>
  <si>
    <t>FERC fees payable to FERC</t>
  </si>
  <si>
    <t>FERC fees paid to MISO via Schedule 10-FERC</t>
  </si>
  <si>
    <t>Other FERC fees paid</t>
  </si>
  <si>
    <t>Attachment O, page 3, lines 5 and 5a</t>
  </si>
  <si>
    <t>EPRI Costs</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</si>
  <si>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</si>
  <si>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</si>
  <si>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Fuel adjustment clause docket XX</t>
  </si>
  <si>
    <t>Taxes Other Than Income Taxes</t>
  </si>
  <si>
    <t>Payroll</t>
  </si>
  <si>
    <t>Attachment O, page 3, line 13</t>
  </si>
  <si>
    <t>Highway &amp; Vehicle</t>
  </si>
  <si>
    <t>Attachment O, page 3, line 14</t>
  </si>
  <si>
    <t>Property</t>
  </si>
  <si>
    <t>Attachment O, page 3, line 16</t>
  </si>
  <si>
    <t>Gross</t>
  </si>
  <si>
    <t>Attachment O, page 3, line 17</t>
  </si>
  <si>
    <t>Other - please explain</t>
  </si>
  <si>
    <t>Attachment O, page 3, line 18</t>
  </si>
  <si>
    <t>Fed &amp; State income Tax</t>
  </si>
  <si>
    <t>Not reported on Attach O</t>
  </si>
  <si>
    <t>Attachment O, page 4, line 12 - 15</t>
  </si>
  <si>
    <t>Report on Attachment O, page 4, line 12</t>
  </si>
  <si>
    <t>Transmisssion</t>
  </si>
  <si>
    <t>Report on Attachment O, page 4, line 13</t>
  </si>
  <si>
    <t>Distribution</t>
  </si>
  <si>
    <t>Report on Attachment O, page 4, line 14</t>
  </si>
  <si>
    <t>Other _1/</t>
  </si>
  <si>
    <t>Report on Attachment O, page 4, line 15</t>
  </si>
  <si>
    <t>Debt Detail - Electric only</t>
  </si>
  <si>
    <t>Principal Balance</t>
  </si>
  <si>
    <t>Interest</t>
  </si>
  <si>
    <t>Principle &amp; Interest Grand Total</t>
  </si>
  <si>
    <t>Account 454 (Rent from Electric Property)</t>
  </si>
  <si>
    <t>Attachment O, page 4, line 30</t>
  </si>
  <si>
    <t>Property Description</t>
  </si>
  <si>
    <t>Total Rent Income</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</si>
  <si>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</si>
  <si>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</si>
  <si>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</si>
  <si>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</si>
  <si>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</si>
  <si>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</si>
  <si>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</si>
  <si>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</si>
  <si>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</si>
  <si>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</si>
  <si>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</si>
  <si>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</si>
  <si>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</si>
  <si>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</si>
  <si>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</si>
  <si>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</si>
  <si>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</si>
  <si>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</si>
  <si>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</si>
  <si>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For the 12 months ended 12/31/2013</t>
  </si>
  <si>
    <t>Total Operations</t>
  </si>
  <si>
    <t>EIA 412, Schd 7, line 8, Column B</t>
  </si>
  <si>
    <t>Attachment O, page 3, line 1 and EIA 412, Schd 7, line 8, Column D</t>
  </si>
  <si>
    <t>Total Maintenance</t>
  </si>
  <si>
    <t>EIA 412, Schd 7, line 8, Column C</t>
  </si>
  <si>
    <t>Total Operations A&amp;G</t>
  </si>
  <si>
    <t>Total Maintenance A&amp;G</t>
  </si>
  <si>
    <t>Attach O, page 3, line 3 and EAI 412, Sch 7, line 13, Column D</t>
  </si>
  <si>
    <t>EAI 412, Sch 7, line 13, Column C</t>
  </si>
  <si>
    <t>EAI 412, Sch 7, line 13, Column B</t>
  </si>
  <si>
    <t>Payments in lieu of taxes</t>
  </si>
  <si>
    <t>Attachment O, page 3, line 19</t>
  </si>
  <si>
    <r>
      <t xml:space="preserve">For the Year ended </t>
    </r>
    <r>
      <rPr>
        <b/>
        <sz val="12"/>
        <color theme="4" tint="-0.249977111117893"/>
        <rFont val="Helv"/>
      </rPr>
      <t>12/31/2013</t>
    </r>
  </si>
  <si>
    <t>Amortization of Prepaid Lease Revenue from SMMPA for a RPU Transmission Line</t>
  </si>
  <si>
    <t>at 12/31/2013</t>
  </si>
  <si>
    <t>Series 2005A Revenue Note</t>
  </si>
  <si>
    <t>Series 2009A Revenue Note</t>
  </si>
  <si>
    <t>Prepaid Maintenance - Core Switch Refresh Project</t>
  </si>
  <si>
    <t>Revenue Bond Series 2013B</t>
  </si>
  <si>
    <t>Revenue Bond Series 2007C</t>
  </si>
  <si>
    <t>Revenue Bond Series 2013A</t>
  </si>
  <si>
    <t>Revenue Bond Series 2002A</t>
  </si>
  <si>
    <t>Revenue Note-2005A</t>
  </si>
  <si>
    <t>Revenue Note-2009A</t>
  </si>
  <si>
    <t>Admin &amp; General Advertising</t>
  </si>
  <si>
    <t>Non Safety Advertising (provide a brief but descriptive list of charges)</t>
  </si>
  <si>
    <t>Distribution pole attachment fees charged to telecommunications provider</t>
  </si>
  <si>
    <t>Transmission pole attachment fees charged to telecommunications provider</t>
  </si>
  <si>
    <t>Total Rent from Utility Property on Income Statement</t>
  </si>
  <si>
    <t>recorded in Usof A account ________, reflected in I/S in _______ exp</t>
  </si>
  <si>
    <t>recorded in UsofA account ________, reflected in I/S in ________ exp</t>
  </si>
  <si>
    <t>recorded in USofA account ________, reflected in I/S in _________ exp</t>
  </si>
  <si>
    <t>recorded in USofA account 930.1, reflected in I/S in Admin &amp; General O&amp;M exp</t>
  </si>
  <si>
    <t>Xxxxxxxx</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</si>
  <si>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</si>
  <si>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</si>
  <si>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</si>
  <si>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</si>
  <si>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Reclassify land from distribution to transmission</t>
  </si>
  <si>
    <t>Total Distribution Plant Adjusted</t>
  </si>
  <si>
    <t>Total Transmission Plant Adjusted</t>
  </si>
  <si>
    <t>Chester-Silver Lake 161 kV Substation contribution from NSP</t>
  </si>
  <si>
    <t>Contributions in Aid of Construction (CIACs):</t>
  </si>
  <si>
    <t>MNDOT US52 transmission relocation contribution</t>
  </si>
  <si>
    <t>Adjustments resulting from settlement agreement between SMMPA and RPU</t>
  </si>
  <si>
    <t>Formula Rate Template</t>
  </si>
  <si>
    <t>Attachment O Work Papers - True-up Interest Calculation</t>
  </si>
  <si>
    <t>Line No.</t>
  </si>
  <si>
    <t>Interest on Attachment O Amounts</t>
  </si>
  <si>
    <t>Notes</t>
  </si>
  <si>
    <r>
      <t xml:space="preserve">(6) For over-collections, the applicable interest rate shall be the average of the FERC refund rate listed on the FERC website at  </t>
    </r>
    <r>
      <rPr>
        <sz val="12"/>
        <color theme="4" tint="-0.24994659260841701"/>
        <rFont val="Times New Roman"/>
        <family val="1"/>
      </rPr>
      <t/>
    </r>
  </si>
  <si>
    <r>
      <t xml:space="preserve">      http://www.ferc.gov/enforcement/acct-matts/interest-rates.asp </t>
    </r>
    <r>
      <rPr>
        <sz val="12"/>
        <rFont val="Times New Roman"/>
        <family val="1"/>
      </rPr>
      <t xml:space="preserve">for the appropriate Months.  For under-collections, the </t>
    </r>
  </si>
  <si>
    <t xml:space="preserve">       applicable interest rate shall be calculated based on the annual average of the one-month London Interbank Offer Rate </t>
  </si>
  <si>
    <t xml:space="preserve">      (“LIBOR”) capped at the annual average of the applicable refund interest rates as provided in 18 C.F.R. § 35.19a.</t>
  </si>
  <si>
    <t>Formula Rate Work Papers - True-up Interest Calculation</t>
  </si>
  <si>
    <t>Calculation of Effective Interest Rate</t>
  </si>
  <si>
    <t>Year</t>
  </si>
  <si>
    <t>Month</t>
  </si>
  <si>
    <t>FERC Refund Rate (2)</t>
  </si>
  <si>
    <t>1 month LIBOR Interest Rate (3)</t>
  </si>
  <si>
    <t>Rate for Over Collection (4)</t>
  </si>
  <si>
    <t>Rate for Under Collection (5)</t>
  </si>
  <si>
    <t>January</t>
  </si>
  <si>
    <t>February</t>
  </si>
  <si>
    <t>March</t>
  </si>
  <si>
    <t>April</t>
  </si>
  <si>
    <t>June</t>
  </si>
  <si>
    <t>July</t>
  </si>
  <si>
    <t>August</t>
  </si>
  <si>
    <t>September</t>
  </si>
  <si>
    <t>October</t>
  </si>
  <si>
    <t>November</t>
  </si>
  <si>
    <t>December</t>
  </si>
  <si>
    <t>(1) The Interest Rate for True-up will be the average of the most recent Interest Rates at the time of the True-up calculation</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</si>
  <si>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</si>
  <si>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</si>
  <si>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</si>
  <si>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</si>
  <si>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</si>
  <si>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 xml:space="preserve">(5) Interest calculated on RPU under-collections using the lesser of the average of 1 month LIBOR Rates or </t>
  </si>
  <si>
    <t xml:space="preserve">     the average of the FERC Refund rates for the noted months</t>
  </si>
  <si>
    <t>(2) Att O_RPU Page 1 of 5, line 7 of RPU Historic Attachment O for 12 months ended 12/31/2013</t>
  </si>
  <si>
    <t>(3) Att O_RPU Page 1 of 5, line 8 of RPU True-up Attachment O for 12 months ended 12/31/2013</t>
  </si>
  <si>
    <t>(4) Att O_RPU Page 1 of 5, line 8 of RPU Historic Attachment O for 12 months ended 12/31/2013</t>
  </si>
  <si>
    <t>Interest on True-Up Amount                       (Line 9 * Line 10 * Line 11)</t>
  </si>
  <si>
    <t>Monthly Interest Rate--Final FERC or LIBOR rate                            (6)</t>
  </si>
  <si>
    <t>Number of Months being Trued Up                                                    (7)</t>
  </si>
  <si>
    <t>(5) Att O_RPU Page 1 of 5, line 16 of RPU Historic Attachment O for 12 months ended 12/31/2013</t>
  </si>
  <si>
    <t>Page 1 of 2</t>
  </si>
  <si>
    <t>Page 2 of 2</t>
  </si>
  <si>
    <t>Calculation of True-up Amounts and Interest for Attachment O</t>
  </si>
  <si>
    <t>Settlement True-up year Actual ATRR Amount                                (1)</t>
  </si>
  <si>
    <t>Settlement True-up year ATRR True-up Amount            (Line 1 - Line 2)</t>
  </si>
  <si>
    <t>Historic Year ATRR Amount                                                                 (2)</t>
  </si>
  <si>
    <t>Settlement True-up year Actual divisor                                              (3)</t>
  </si>
  <si>
    <t>Historic Year Projected Divisor                                                            (4)</t>
  </si>
  <si>
    <t>Historic Year Annual Cost ($/kW/Yr)                                                 (5)</t>
  </si>
  <si>
    <t>Settlement True-up Year Divisor True-up Amount       (Line 6 * Line 7)</t>
  </si>
  <si>
    <t>Difference in Divisor                                                             (line 5 - line 4)</t>
  </si>
  <si>
    <t>Total Settlement True-up Amount                                   (Line 3 + Line 8)</t>
  </si>
  <si>
    <t>Total Settlement True-up Amount plus True-up Interest Amount</t>
  </si>
  <si>
    <t>(Line 9 + Line 12)</t>
  </si>
  <si>
    <t xml:space="preserve">Divide by 12 months  </t>
  </si>
  <si>
    <t>(8) RPU joined as a MISO transmission owner effective December 1, 2014.</t>
  </si>
  <si>
    <t>Settlement True-up Amount plus True-up Interest Amount for one month        (8)</t>
  </si>
  <si>
    <t>(1) Att O_RPU Page 1 of 5, line 7 of RPU Settlement True-up Attachment O for 12 months ended 12/31/2013</t>
  </si>
  <si>
    <t>Material Group</t>
  </si>
  <si>
    <t>Insulators</t>
  </si>
  <si>
    <t>Relays</t>
  </si>
  <si>
    <t>Substation Misc Part</t>
  </si>
  <si>
    <t>Transmission wires</t>
  </si>
  <si>
    <t>Trans. Line Hardware</t>
  </si>
  <si>
    <t>Transducers</t>
  </si>
  <si>
    <r>
      <rPr>
        <b/>
        <sz val="11"/>
        <color theme="1"/>
        <rFont val="Calibri"/>
        <family val="2"/>
        <scheme val="minor"/>
      </rPr>
      <t xml:space="preserve">Below </t>
    </r>
    <r>
      <rPr>
        <sz val="10"/>
        <rFont val="Arial"/>
        <family val="2"/>
      </rPr>
      <t xml:space="preserve">- Provide a brief but descriptive list of the Transmission related Materials and Supplies </t>
    </r>
  </si>
  <si>
    <t>and the amounts related to each item of Transmission related Materials and Supplies</t>
  </si>
  <si>
    <t>Transmission Materials &amp; Supplies</t>
  </si>
  <si>
    <t>Please provide the following information:</t>
  </si>
  <si>
    <t>What line of the audited financial statements includes the Transmission O&amp;M Expense?</t>
  </si>
  <si>
    <t>Transmission expenses are included in Income Statement lines Operation Expenses and Maintenance Expenses</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</si>
  <si>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</si>
  <si>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</si>
  <si>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</si>
  <si>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</si>
  <si>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</si>
  <si>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SMMPA Power Sales Contract</t>
  </si>
  <si>
    <t>Midcontinent Independent System Operator</t>
  </si>
  <si>
    <t>What line of the audited financial statements includes the A&amp;G Expense?</t>
  </si>
  <si>
    <t>A&amp;G expenses are included in Income Statement lines Operation Expenses and Maintenance Expenses</t>
  </si>
  <si>
    <t>What line of the audited financial statements includes the Customer Account, Customer Service, and Sales Expense?</t>
  </si>
  <si>
    <t>These expenses are included in Income Statement line Operation Expenses</t>
  </si>
  <si>
    <r>
      <t xml:space="preserve">Confirm that the above does not contain any capitalized wages. </t>
    </r>
    <r>
      <rPr>
        <b/>
        <sz val="11"/>
        <color theme="1"/>
        <rFont val="Calibri"/>
        <family val="2"/>
        <scheme val="minor"/>
      </rPr>
      <t xml:space="preserve"> Correct.</t>
    </r>
  </si>
  <si>
    <r>
      <t xml:space="preserve">Confirm that the above does not contain any any A&amp;G related wages  . </t>
    </r>
    <r>
      <rPr>
        <b/>
        <sz val="11"/>
        <color theme="1"/>
        <rFont val="Calibri"/>
        <family val="2"/>
        <scheme val="minor"/>
      </rPr>
      <t>Correct.</t>
    </r>
  </si>
  <si>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</si>
  <si>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</si>
  <si>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</si>
  <si>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</si>
  <si>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</si>
  <si>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</si>
  <si>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</si>
  <si>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</si>
  <si>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(7) Interest began accruing in December 2014 and will begin to be paid back in January 2017</t>
  </si>
  <si>
    <t>21 Month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</si>
</sst>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General_)"/>
    <numFmt numFmtId="176" formatCode="0.00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b/>
      <sz val="12"/>
      <color indexed="12"/>
      <name val="Arial"/>
      <family val="2"/>
    </font>
    <font>
      <sz val="10"/>
      <name val="Arial"/>
      <family val="2"/>
    </font>
    <font>
      <sz val="10"/>
      <color indexed="12"/>
      <name val="Arial"/>
      <family val="2"/>
    </font>
    <font>
      <sz val="10"/>
      <color indexed="12"/>
      <name val="Arial"/>
      <family val="2"/>
    </font>
    <font>
      <sz val="11"/>
      <color rgb="FFFF0000"/>
      <name val="Calibri"/>
      <family val="2"/>
      <scheme val="minor"/>
    </font>
    <font>
      <b/>
      <sz val="11"/>
      <color theme="1"/>
      <name val="Calibri"/>
      <family val="2"/>
      <scheme val="minor"/>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2"/>
      <name val="Helv"/>
    </font>
    <font>
      <b/>
      <sz val="12"/>
      <color theme="4" tint="-0.249977111117893"/>
      <name val="Helv"/>
    </font>
    <font>
      <b/>
      <sz val="12"/>
      <name val="Helv"/>
    </font>
    <font>
      <b/>
      <sz val="18"/>
      <color theme="1"/>
      <name val="Times New Roman"/>
      <family val="1"/>
    </font>
    <font>
      <b/>
      <u/>
      <sz val="11"/>
      <color theme="1"/>
      <name val="Calibri"/>
      <family val="2"/>
      <scheme val="minor"/>
    </font>
    <font>
      <b/>
      <sz val="12"/>
      <name val="Helvetica"/>
      <family val="2"/>
    </font>
    <font>
      <sz val="12"/>
      <name val="Helvetica"/>
      <family val="2"/>
    </font>
    <font>
      <sz val="10"/>
      <name val="Helvetica"/>
      <family val="2"/>
    </font>
    <font>
      <b/>
      <sz val="10"/>
      <name val="Helvetica"/>
      <family val="2"/>
    </font>
    <font>
      <b/>
      <u val="singleAccounting"/>
      <sz val="10"/>
      <name val="Helvetica"/>
      <family val="2"/>
    </font>
    <font>
      <sz val="12"/>
      <color indexed="12"/>
      <name val="Helvetica"/>
      <family val="2"/>
    </font>
    <font>
      <b/>
      <sz val="12"/>
      <color theme="1"/>
      <name val="Helvetica"/>
      <family val="2"/>
    </font>
    <font>
      <sz val="12"/>
      <color theme="1"/>
      <name val="Helvetica"/>
      <family val="2"/>
    </font>
    <font>
      <u val="singleAccounting"/>
      <sz val="12"/>
      <name val="Helvetica"/>
      <family val="2"/>
    </font>
    <font>
      <b/>
      <sz val="16"/>
      <name val="Helvetica"/>
      <family val="2"/>
    </font>
    <font>
      <u val="doubleAccounting"/>
      <sz val="12"/>
      <name val="Helvetica"/>
      <family val="2"/>
    </font>
    <font>
      <b/>
      <sz val="14"/>
      <color theme="1"/>
      <name val="Times New Roman"/>
      <family val="1"/>
    </font>
    <font>
      <u val="singleAccounting"/>
      <sz val="11"/>
      <color theme="1"/>
      <name val="Calibri"/>
      <family val="2"/>
      <scheme val="minor"/>
    </font>
    <font>
      <b/>
      <sz val="14"/>
      <color theme="1"/>
      <name val="Calibri"/>
      <family val="2"/>
      <scheme val="minor"/>
    </font>
    <font>
      <b/>
      <u/>
      <sz val="12"/>
      <color theme="1"/>
      <name val="Times New Roman"/>
      <family val="1"/>
    </font>
    <font>
      <sz val="12"/>
      <color theme="1"/>
      <name val="Times New Roman"/>
      <family val="1"/>
    </font>
    <font>
      <b/>
      <sz val="12"/>
      <color theme="1"/>
      <name val="Times New Roman"/>
      <family val="1"/>
    </font>
    <font>
      <b/>
      <sz val="16"/>
      <color theme="1"/>
      <name val="Times New Roman"/>
      <family val="1"/>
    </font>
    <font>
      <b/>
      <sz val="16"/>
      <color theme="1"/>
      <name val="Calibri"/>
      <family val="2"/>
      <scheme val="minor"/>
    </font>
    <font>
      <b/>
      <sz val="12"/>
      <name val="Arial"/>
      <family val="2"/>
    </font>
    <font>
      <sz val="9"/>
      <name val="Arial"/>
      <family val="2"/>
    </font>
    <font>
      <u val="singleAccounting"/>
      <sz val="10"/>
      <color indexed="12"/>
      <name val="Arial"/>
      <family val="2"/>
    </font>
    <font>
      <u val="singleAccounting"/>
      <sz val="10"/>
      <name val="Arial"/>
      <family val="2"/>
    </font>
    <font>
      <b/>
      <sz val="12"/>
      <name val="Arial MT"/>
    </font>
    <font>
      <sz val="12"/>
      <color rgb="FFFF0000"/>
      <name val="Helvetica"/>
      <family val="2"/>
    </font>
    <font>
      <sz val="11"/>
      <color rgb="FF0070C0"/>
      <name val="Calibri"/>
      <family val="2"/>
      <scheme val="minor"/>
    </font>
    <font>
      <sz val="12"/>
      <color rgb="FF0070C0"/>
      <name val="Helvetica"/>
      <family val="2"/>
    </font>
    <font>
      <b/>
      <sz val="11"/>
      <color rgb="FFFF0000"/>
      <name val="Calibri"/>
      <family val="2"/>
      <scheme val="minor"/>
    </font>
    <font>
      <sz val="11"/>
      <color rgb="FF00B050"/>
      <name val="Calibri"/>
      <family val="2"/>
      <scheme val="minor"/>
    </font>
    <font>
      <sz val="10"/>
      <color rgb="FF0070C0"/>
      <name val="Arial"/>
      <family val="2"/>
    </font>
    <font>
      <sz val="10"/>
      <name val="Arial"/>
      <family val="2"/>
    </font>
    <font>
      <sz val="12"/>
      <color rgb="FF000000"/>
      <name val="Times New Roman"/>
      <family val="1"/>
    </font>
    <font>
      <sz val="12"/>
      <color theme="4" tint="-0.24994659260841701"/>
      <name val="Times New Roman"/>
      <family val="1"/>
    </font>
    <font>
      <u/>
      <sz val="12"/>
      <color theme="10"/>
      <name val="Arial MT"/>
    </font>
    <font>
      <sz val="12"/>
      <color theme="10"/>
      <name val="Times New Roman"/>
      <family val="1"/>
    </font>
    <font>
      <sz val="12"/>
      <color rgb="FF333333"/>
      <name val="Times New Roman"/>
      <family val="1"/>
    </font>
    <font>
      <u/>
      <sz val="12"/>
      <color theme="10"/>
      <name val="Times New Roman"/>
      <family val="1"/>
    </font>
    <font>
      <b/>
      <sz val="10"/>
      <color rgb="FF0070C0"/>
      <name val="Calibri"/>
      <family val="2"/>
      <scheme val="minor"/>
    </font>
    <font>
      <sz val="10"/>
      <color rgb="FF0070C0"/>
      <name val="Calibri"/>
      <family val="2"/>
      <scheme val="minor"/>
    </font>
    <font>
      <b/>
      <sz val="10"/>
      <color theme="1"/>
      <name val="Arial"/>
      <family val="2"/>
    </font>
    <font>
      <sz val="12"/>
      <color rgb="FF0070C0"/>
      <name val="Times New Roman"/>
      <family val="1"/>
    </font>
    <font>
      <b/>
      <sz val="12"/>
      <color rgb="FF0070C0"/>
      <name val="Times New Roman"/>
      <family val="1"/>
    </font>
    <font>
      <b/>
      <sz val="11"/>
      <color rgb="FF0070C0"/>
      <name val="Calibri"/>
      <family val="2"/>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bottom style="thin">
        <color theme="1"/>
      </bottom>
      <diagonal/>
    </border>
    <border>
      <left/>
      <right/>
      <top style="thin">
        <color theme="1"/>
      </top>
      <bottom style="double">
        <color theme="1"/>
      </bottom>
      <diagonal/>
    </border>
    <border>
      <left/>
      <right/>
      <top style="thin">
        <color indexed="64"/>
      </top>
      <bottom style="double">
        <color indexed="64"/>
      </bottom>
      <diagonal/>
    </border>
  </borders>
  <cellStyleXfs count="22">
    <xf numFmtId="0" fontId="0" fillId="0" borderId="0"/>
    <xf numFmtId="43" fontId="4" fillId="0" borderId="0" applyFont="0" applyFill="0" applyBorder="0" applyAlignment="0" applyProtection="0"/>
    <xf numFmtId="44" fontId="4" fillId="0" borderId="0" applyFont="0" applyFill="0" applyBorder="0" applyAlignment="0" applyProtection="0"/>
    <xf numFmtId="166" fontId="14" fillId="0" borderId="0" applyProtection="0"/>
    <xf numFmtId="175" fontId="23" fillId="0" borderId="0"/>
    <xf numFmtId="0" fontId="3" fillId="0" borderId="0"/>
    <xf numFmtId="43" fontId="3"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58" fillId="0" borderId="0" applyFont="0" applyFill="0" applyBorder="0" applyAlignment="0" applyProtection="0"/>
    <xf numFmtId="0" fontId="1" fillId="0" borderId="0"/>
    <xf numFmtId="0" fontId="14" fillId="0" borderId="0"/>
    <xf numFmtId="0" fontId="61" fillId="0" borderId="0" applyNumberFormat="0" applyFill="0" applyBorder="0" applyAlignment="0" applyProtection="0">
      <alignment vertical="top"/>
      <protection locked="0"/>
    </xf>
    <xf numFmtId="9" fontId="4" fillId="0" borderId="0" applyFont="0" applyFill="0" applyBorder="0" applyAlignment="0" applyProtection="0"/>
  </cellStyleXfs>
  <cellXfs count="58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5" xfId="0" applyFill="1" applyBorder="1"/>
    <xf numFmtId="0" fontId="5" fillId="0" borderId="3" xfId="0" applyFont="1" applyBorder="1" applyAlignment="1">
      <alignment horizontal="center"/>
    </xf>
    <xf numFmtId="0" fontId="5" fillId="0" borderId="6" xfId="0" applyFont="1" applyBorder="1" applyAlignment="1">
      <alignment horizontal="center"/>
    </xf>
    <xf numFmtId="37" fontId="0" fillId="0" borderId="0" xfId="0" applyNumberFormat="1"/>
    <xf numFmtId="0" fontId="6" fillId="0" borderId="0" xfId="0" applyFont="1" applyAlignment="1">
      <alignment horizontal="center"/>
    </xf>
    <xf numFmtId="0" fontId="5" fillId="0" borderId="3" xfId="0" applyFont="1" applyBorder="1"/>
    <xf numFmtId="0" fontId="5" fillId="0" borderId="5" xfId="0" applyFont="1" applyBorder="1"/>
    <xf numFmtId="43" fontId="0" fillId="0" borderId="6" xfId="1" applyFont="1" applyBorder="1"/>
    <xf numFmtId="37" fontId="0" fillId="0" borderId="3" xfId="1" applyNumberFormat="1" applyFont="1" applyBorder="1"/>
    <xf numFmtId="37" fontId="0" fillId="0" borderId="0" xfId="1" applyNumberFormat="1" applyFont="1" applyBorder="1"/>
    <xf numFmtId="43" fontId="0" fillId="0" borderId="0" xfId="1" applyFont="1" applyBorder="1"/>
    <xf numFmtId="37" fontId="0" fillId="0" borderId="0" xfId="0" applyNumberFormat="1" applyBorder="1"/>
    <xf numFmtId="0" fontId="0" fillId="0" borderId="3" xfId="0" applyFill="1" applyBorder="1"/>
    <xf numFmtId="0" fontId="5" fillId="0" borderId="3" xfId="0" applyFont="1" applyFill="1" applyBorder="1" applyAlignment="1">
      <alignment horizontal="center"/>
    </xf>
    <xf numFmtId="0" fontId="5" fillId="0" borderId="4"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7" xfId="0" applyBorder="1"/>
    <xf numFmtId="14" fontId="6" fillId="0" borderId="0" xfId="0" applyNumberFormat="1" applyFont="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xf>
    <xf numFmtId="0" fontId="0" fillId="0" borderId="9" xfId="0" applyBorder="1" applyAlignment="1">
      <alignment horizontal="center"/>
    </xf>
    <xf numFmtId="0" fontId="0" fillId="0" borderId="0" xfId="0"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7" fillId="0" borderId="0" xfId="0" applyFont="1" applyBorder="1" applyAlignment="1">
      <alignment horizontal="left"/>
    </xf>
    <xf numFmtId="37" fontId="0" fillId="0" borderId="1" xfId="0" applyNumberFormat="1" applyBorder="1"/>
    <xf numFmtId="0" fontId="0" fillId="0" borderId="10" xfId="0" applyBorder="1"/>
    <xf numFmtId="0" fontId="0" fillId="0" borderId="8" xfId="0" applyBorder="1"/>
    <xf numFmtId="0" fontId="0" fillId="0" borderId="10" xfId="0" applyBorder="1" applyAlignment="1">
      <alignment horizontal="center"/>
    </xf>
    <xf numFmtId="37" fontId="0" fillId="0" borderId="7" xfId="0" applyNumberFormat="1" applyBorder="1"/>
    <xf numFmtId="0" fontId="0" fillId="0" borderId="11" xfId="0" applyBorder="1"/>
    <xf numFmtId="0" fontId="0" fillId="0" borderId="0" xfId="0" applyFill="1" applyBorder="1"/>
    <xf numFmtId="0" fontId="0" fillId="0" borderId="12" xfId="0" applyFill="1" applyBorder="1"/>
    <xf numFmtId="0" fontId="0" fillId="0" borderId="4" xfId="0" applyFill="1" applyBorder="1" applyAlignment="1">
      <alignment horizontal="center"/>
    </xf>
    <xf numFmtId="37" fontId="0" fillId="0" borderId="6" xfId="0" applyNumberFormat="1" applyBorder="1"/>
    <xf numFmtId="0" fontId="0" fillId="0" borderId="13" xfId="0" applyBorder="1"/>
    <xf numFmtId="0" fontId="5" fillId="0" borderId="13" xfId="0" applyFont="1" applyBorder="1"/>
    <xf numFmtId="0" fontId="9" fillId="0" borderId="13" xfId="0" applyFont="1" applyBorder="1"/>
    <xf numFmtId="0" fontId="0" fillId="0" borderId="6" xfId="0" applyBorder="1"/>
    <xf numFmtId="0" fontId="0" fillId="0" borderId="14" xfId="0" applyBorder="1" applyAlignment="1">
      <alignment horizontal="center"/>
    </xf>
    <xf numFmtId="0" fontId="9" fillId="0" borderId="14" xfId="0" applyFont="1" applyBorder="1" applyAlignment="1">
      <alignment horizontal="center"/>
    </xf>
    <xf numFmtId="0" fontId="5" fillId="0" borderId="15" xfId="0" applyFont="1" applyFill="1" applyBorder="1"/>
    <xf numFmtId="0" fontId="0" fillId="0" borderId="11" xfId="0" applyFill="1" applyBorder="1" applyAlignment="1">
      <alignment horizontal="center"/>
    </xf>
    <xf numFmtId="37" fontId="5" fillId="0" borderId="16" xfId="1" applyNumberFormat="1" applyFont="1" applyBorder="1"/>
    <xf numFmtId="0" fontId="0" fillId="0" borderId="17" xfId="0" applyBorder="1"/>
    <xf numFmtId="0" fontId="5" fillId="0" borderId="18" xfId="0" applyFont="1" applyFill="1" applyBorder="1"/>
    <xf numFmtId="0" fontId="0" fillId="0" borderId="6" xfId="0" applyFill="1" applyBorder="1" applyAlignment="1">
      <alignment horizontal="center"/>
    </xf>
    <xf numFmtId="0" fontId="5" fillId="0" borderId="15" xfId="0" applyFont="1" applyBorder="1"/>
    <xf numFmtId="0" fontId="5" fillId="0" borderId="2" xfId="0" applyFont="1" applyBorder="1"/>
    <xf numFmtId="0" fontId="0" fillId="0" borderId="19" xfId="0" applyBorder="1" applyAlignment="1">
      <alignment horizontal="center"/>
    </xf>
    <xf numFmtId="37" fontId="5" fillId="0" borderId="6" xfId="1" applyNumberFormat="1" applyFont="1" applyBorder="1"/>
    <xf numFmtId="0" fontId="5" fillId="0" borderId="20" xfId="0" applyFont="1" applyBorder="1"/>
    <xf numFmtId="0" fontId="5" fillId="0" borderId="6" xfId="0" applyFont="1" applyBorder="1"/>
    <xf numFmtId="0" fontId="0" fillId="0" borderId="3" xfId="0" applyBorder="1" applyAlignment="1">
      <alignment horizontal="left" indent="1"/>
    </xf>
    <xf numFmtId="0" fontId="0" fillId="0" borderId="4" xfId="0" applyBorder="1" applyAlignment="1">
      <alignment horizontal="left" indent="1"/>
    </xf>
    <xf numFmtId="0" fontId="0" fillId="0" borderId="4" xfId="0" applyFill="1" applyBorder="1" applyAlignment="1">
      <alignment horizontal="left" indent="1"/>
    </xf>
    <xf numFmtId="0" fontId="0" fillId="0" borderId="4" xfId="0" quotePrefix="1" applyBorder="1" applyAlignment="1">
      <alignment horizontal="left" indent="1"/>
    </xf>
    <xf numFmtId="0" fontId="5" fillId="0" borderId="2" xfId="0" applyFont="1" applyFill="1" applyBorder="1"/>
    <xf numFmtId="0" fontId="5" fillId="0" borderId="21" xfId="0" applyFont="1" applyBorder="1"/>
    <xf numFmtId="37" fontId="10" fillId="0" borderId="3" xfId="1" applyNumberFormat="1" applyFont="1" applyBorder="1"/>
    <xf numFmtId="37" fontId="10" fillId="0" borderId="7" xfId="1" applyNumberFormat="1" applyFont="1" applyBorder="1"/>
    <xf numFmtId="164" fontId="10" fillId="0" borderId="4" xfId="1" applyNumberFormat="1" applyFont="1" applyBorder="1"/>
    <xf numFmtId="164" fontId="0" fillId="0" borderId="3" xfId="1" applyNumberFormat="1" applyFont="1" applyBorder="1"/>
    <xf numFmtId="164" fontId="10" fillId="0" borderId="6" xfId="1" applyNumberFormat="1" applyFont="1" applyBorder="1"/>
    <xf numFmtId="164" fontId="5" fillId="0" borderId="16" xfId="1" applyNumberFormat="1" applyFont="1" applyBorder="1"/>
    <xf numFmtId="164" fontId="10" fillId="0" borderId="5" xfId="1" applyNumberFormat="1" applyFont="1" applyBorder="1"/>
    <xf numFmtId="164" fontId="10" fillId="0" borderId="3" xfId="1" applyNumberFormat="1" applyFont="1" applyBorder="1"/>
    <xf numFmtId="164" fontId="5" fillId="0" borderId="3" xfId="1" applyNumberFormat="1" applyFont="1" applyBorder="1"/>
    <xf numFmtId="165" fontId="10" fillId="0" borderId="4" xfId="2" applyNumberFormat="1" applyFont="1" applyBorder="1"/>
    <xf numFmtId="164" fontId="0" fillId="0" borderId="4" xfId="1" applyNumberFormat="1" applyFont="1" applyBorder="1"/>
    <xf numFmtId="0" fontId="0" fillId="0" borderId="22" xfId="0" applyBorder="1" applyAlignment="1">
      <alignment horizontal="center"/>
    </xf>
    <xf numFmtId="165" fontId="5" fillId="0" borderId="16" xfId="2" applyNumberFormat="1" applyFont="1" applyBorder="1"/>
    <xf numFmtId="164" fontId="5" fillId="0" borderId="23" xfId="1" applyNumberFormat="1" applyFont="1" applyBorder="1"/>
    <xf numFmtId="164" fontId="0" fillId="0" borderId="7" xfId="1" applyNumberFormat="1" applyFont="1" applyBorder="1"/>
    <xf numFmtId="164" fontId="0" fillId="0" borderId="8" xfId="1" applyNumberFormat="1" applyFont="1" applyBorder="1"/>
    <xf numFmtId="165" fontId="5" fillId="0" borderId="24" xfId="2" applyNumberFormat="1" applyFont="1" applyBorder="1"/>
    <xf numFmtId="165" fontId="0" fillId="0" borderId="5" xfId="2" applyNumberFormat="1" applyFont="1" applyBorder="1"/>
    <xf numFmtId="165" fontId="5" fillId="0" borderId="5" xfId="2" applyNumberFormat="1" applyFont="1" applyBorder="1"/>
    <xf numFmtId="164" fontId="5" fillId="0" borderId="5" xfId="1" applyNumberFormat="1" applyFont="1" applyBorder="1"/>
    <xf numFmtId="164" fontId="5" fillId="0" borderId="6" xfId="1" applyNumberFormat="1" applyFont="1" applyBorder="1"/>
    <xf numFmtId="165" fontId="5" fillId="0" borderId="4" xfId="2" applyNumberFormat="1" applyFont="1" applyBorder="1"/>
    <xf numFmtId="165" fontId="5" fillId="0" borderId="25" xfId="2" applyNumberFormat="1" applyFont="1" applyBorder="1"/>
    <xf numFmtId="165" fontId="5" fillId="0" borderId="14" xfId="2" applyNumberFormat="1" applyFont="1" applyBorder="1"/>
    <xf numFmtId="37" fontId="5" fillId="0" borderId="4" xfId="0" applyNumberFormat="1" applyFont="1" applyBorder="1"/>
    <xf numFmtId="37" fontId="10" fillId="0" borderId="10" xfId="0" applyNumberFormat="1" applyFont="1" applyBorder="1"/>
    <xf numFmtId="37" fontId="10" fillId="0" borderId="8" xfId="0" applyNumberFormat="1" applyFont="1" applyBorder="1"/>
    <xf numFmtId="0" fontId="0" fillId="0" borderId="12" xfId="0" applyBorder="1"/>
    <xf numFmtId="165" fontId="5" fillId="0" borderId="13" xfId="2" applyNumberFormat="1" applyFont="1" applyBorder="1"/>
    <xf numFmtId="165" fontId="5" fillId="0" borderId="23" xfId="2" applyNumberFormat="1" applyFont="1" applyBorder="1"/>
    <xf numFmtId="0" fontId="0" fillId="0" borderId="1" xfId="0" applyBorder="1" applyAlignment="1">
      <alignment horizontal="left" indent="1"/>
    </xf>
    <xf numFmtId="0" fontId="0" fillId="0" borderId="1" xfId="0" applyFill="1" applyBorder="1" applyAlignment="1">
      <alignment horizontal="left" indent="1"/>
    </xf>
    <xf numFmtId="0" fontId="0" fillId="0" borderId="8" xfId="0" applyBorder="1" applyAlignment="1">
      <alignment horizontal="left" indent="1"/>
    </xf>
    <xf numFmtId="164" fontId="10" fillId="0" borderId="7" xfId="1" applyNumberFormat="1" applyFont="1" applyBorder="1"/>
    <xf numFmtId="164" fontId="10" fillId="0" borderId="8" xfId="1" applyNumberFormat="1" applyFont="1" applyBorder="1"/>
    <xf numFmtId="164" fontId="11" fillId="0" borderId="5" xfId="1" applyNumberFormat="1" applyFont="1" applyBorder="1"/>
    <xf numFmtId="164" fontId="11" fillId="0" borderId="6" xfId="1" applyNumberFormat="1" applyFont="1" applyBorder="1"/>
    <xf numFmtId="165" fontId="10" fillId="0" borderId="5" xfId="2" applyNumberFormat="1" applyFont="1" applyBorder="1"/>
    <xf numFmtId="165" fontId="10" fillId="0" borderId="8" xfId="2" applyNumberFormat="1" applyFont="1" applyBorder="1"/>
    <xf numFmtId="164" fontId="10" fillId="0" borderId="11" xfId="1" applyNumberFormat="1" applyFont="1" applyBorder="1"/>
    <xf numFmtId="37" fontId="10" fillId="0" borderId="7" xfId="0" applyNumberFormat="1" applyFont="1" applyBorder="1"/>
    <xf numFmtId="164" fontId="10" fillId="0" borderId="11" xfId="1" applyNumberFormat="1" applyFont="1" applyBorder="1" applyAlignment="1">
      <alignment horizontal="right"/>
    </xf>
    <xf numFmtId="165" fontId="4" fillId="0" borderId="8" xfId="2" applyNumberFormat="1" applyFont="1" applyBorder="1"/>
    <xf numFmtId="164" fontId="4" fillId="0" borderId="8" xfId="1" applyNumberFormat="1" applyFont="1" applyBorder="1"/>
    <xf numFmtId="164" fontId="4" fillId="0" borderId="7" xfId="1" applyNumberFormat="1" applyFont="1" applyBorder="1"/>
    <xf numFmtId="164" fontId="4" fillId="0" borderId="11" xfId="1" applyNumberFormat="1" applyFont="1" applyBorder="1"/>
    <xf numFmtId="164" fontId="10" fillId="0" borderId="8" xfId="1" applyNumberFormat="1" applyFont="1" applyBorder="1" applyAlignment="1">
      <alignment horizontal="right"/>
    </xf>
    <xf numFmtId="164" fontId="10" fillId="0" borderId="7" xfId="1" applyNumberFormat="1" applyFont="1" applyBorder="1" applyAlignment="1">
      <alignment horizontal="right"/>
    </xf>
    <xf numFmtId="37" fontId="10" fillId="0" borderId="7" xfId="0" applyNumberFormat="1" applyFont="1" applyBorder="1" applyAlignment="1">
      <alignment horizontal="right"/>
    </xf>
    <xf numFmtId="165" fontId="10" fillId="0" borderId="4" xfId="2" applyNumberFormat="1" applyFont="1" applyFill="1" applyBorder="1"/>
    <xf numFmtId="37" fontId="10" fillId="0" borderId="5" xfId="1" applyNumberFormat="1" applyFont="1" applyFill="1" applyBorder="1"/>
    <xf numFmtId="37" fontId="0" fillId="0" borderId="3" xfId="1" applyNumberFormat="1" applyFont="1" applyFill="1" applyBorder="1"/>
    <xf numFmtId="37" fontId="10" fillId="0" borderId="3" xfId="1" applyNumberFormat="1" applyFont="1" applyFill="1" applyBorder="1"/>
    <xf numFmtId="164" fontId="10" fillId="0" borderId="4" xfId="1" applyNumberFormat="1" applyFont="1" applyFill="1" applyBorder="1"/>
    <xf numFmtId="164" fontId="0" fillId="0" borderId="3" xfId="1" applyNumberFormat="1" applyFont="1" applyFill="1" applyBorder="1"/>
    <xf numFmtId="164" fontId="10" fillId="0" borderId="5" xfId="1" applyNumberFormat="1" applyFont="1" applyFill="1" applyBorder="1"/>
    <xf numFmtId="37" fontId="0" fillId="0" borderId="5" xfId="1" applyNumberFormat="1" applyFont="1" applyFill="1" applyBorder="1"/>
    <xf numFmtId="37" fontId="10" fillId="0" borderId="4" xfId="1" applyNumberFormat="1" applyFont="1" applyFill="1" applyBorder="1"/>
    <xf numFmtId="164" fontId="10" fillId="0" borderId="6" xfId="1" applyNumberFormat="1" applyFont="1" applyBorder="1" applyAlignment="1">
      <alignment horizontal="right"/>
    </xf>
    <xf numFmtId="165" fontId="10" fillId="0" borderId="6" xfId="2" applyNumberFormat="1" applyFont="1" applyBorder="1"/>
    <xf numFmtId="164" fontId="0" fillId="0" borderId="6" xfId="1" applyNumberFormat="1" applyFont="1" applyBorder="1"/>
    <xf numFmtId="0" fontId="0" fillId="0" borderId="0" xfId="0" applyBorder="1" applyAlignment="1">
      <alignment horizontal="left" indent="1"/>
    </xf>
    <xf numFmtId="165" fontId="0" fillId="0" borderId="0" xfId="0" applyNumberFormat="1"/>
    <xf numFmtId="43" fontId="0" fillId="0" borderId="0" xfId="1" applyFont="1"/>
    <xf numFmtId="0" fontId="4" fillId="0" borderId="8" xfId="0" applyFont="1" applyBorder="1"/>
    <xf numFmtId="0" fontId="4" fillId="0" borderId="4" xfId="0" applyFont="1" applyBorder="1" applyAlignment="1">
      <alignment horizontal="left" indent="1"/>
    </xf>
    <xf numFmtId="0" fontId="4" fillId="0" borderId="4" xfId="0" applyFont="1" applyBorder="1"/>
    <xf numFmtId="166" fontId="15" fillId="0" borderId="0" xfId="3" applyFont="1" applyAlignment="1"/>
    <xf numFmtId="166" fontId="15" fillId="0" borderId="0" xfId="3" applyFont="1" applyAlignment="1">
      <alignment horizontal="right"/>
    </xf>
    <xf numFmtId="0" fontId="15" fillId="0" borderId="0" xfId="3" applyNumberFormat="1" applyFont="1" applyAlignment="1" applyProtection="1">
      <protection locked="0"/>
    </xf>
    <xf numFmtId="0" fontId="15" fillId="0" borderId="0" xfId="3" applyNumberFormat="1" applyFont="1" applyAlignment="1" applyProtection="1">
      <alignment horizontal="left"/>
      <protection locked="0"/>
    </xf>
    <xf numFmtId="0" fontId="15" fillId="0" borderId="0" xfId="3" applyNumberFormat="1" applyFont="1" applyProtection="1">
      <protection locked="0"/>
    </xf>
    <xf numFmtId="0" fontId="15" fillId="0" borderId="0" xfId="3" applyNumberFormat="1" applyFont="1"/>
    <xf numFmtId="0" fontId="15" fillId="0" borderId="0" xfId="3" applyNumberFormat="1" applyFont="1" applyAlignment="1">
      <alignment horizontal="right"/>
    </xf>
    <xf numFmtId="0" fontId="15" fillId="0" borderId="0" xfId="3" applyNumberFormat="1" applyFont="1" applyAlignment="1">
      <alignment horizontal="center"/>
    </xf>
    <xf numFmtId="0" fontId="15" fillId="2" borderId="0" xfId="3" applyNumberFormat="1" applyFont="1" applyFill="1" applyProtection="1">
      <protection locked="0"/>
    </xf>
    <xf numFmtId="166" fontId="15" fillId="2" borderId="0" xfId="3" applyFont="1" applyFill="1" applyAlignment="1"/>
    <xf numFmtId="0" fontId="15" fillId="2" borderId="0" xfId="3" applyNumberFormat="1" applyFont="1" applyFill="1"/>
    <xf numFmtId="0" fontId="15" fillId="2" borderId="0" xfId="3" applyNumberFormat="1" applyFont="1" applyFill="1" applyAlignment="1" applyProtection="1">
      <alignment horizontal="right"/>
      <protection locked="0"/>
    </xf>
    <xf numFmtId="3" fontId="15" fillId="0" borderId="0" xfId="3" applyNumberFormat="1" applyFont="1" applyAlignment="1"/>
    <xf numFmtId="0" fontId="15" fillId="0" borderId="0" xfId="3" applyNumberFormat="1" applyFont="1" applyAlignment="1" applyProtection="1">
      <alignment horizontal="center"/>
      <protection locked="0"/>
    </xf>
    <xf numFmtId="49" fontId="15" fillId="2" borderId="0" xfId="3" applyNumberFormat="1" applyFont="1" applyFill="1"/>
    <xf numFmtId="49" fontId="15" fillId="0" borderId="0" xfId="3" applyNumberFormat="1" applyFont="1"/>
    <xf numFmtId="0" fontId="15" fillId="0" borderId="27" xfId="3" applyNumberFormat="1" applyFont="1" applyBorder="1" applyAlignment="1" applyProtection="1">
      <alignment horizontal="center"/>
      <protection locked="0"/>
    </xf>
    <xf numFmtId="3" fontId="15" fillId="0" borderId="0" xfId="3" applyNumberFormat="1" applyFont="1"/>
    <xf numFmtId="42" fontId="15" fillId="0" borderId="0" xfId="3" applyNumberFormat="1" applyFont="1"/>
    <xf numFmtId="0" fontId="15" fillId="0" borderId="0" xfId="3" applyNumberFormat="1" applyFont="1" applyAlignment="1"/>
    <xf numFmtId="0" fontId="15" fillId="0" borderId="27" xfId="3" applyNumberFormat="1" applyFont="1" applyBorder="1" applyAlignment="1" applyProtection="1">
      <alignment horizontal="centerContinuous"/>
      <protection locked="0"/>
    </xf>
    <xf numFmtId="167" fontId="15" fillId="0" borderId="0" xfId="3" applyNumberFormat="1" applyFont="1" applyAlignment="1"/>
    <xf numFmtId="3" fontId="15" fillId="2" borderId="0" xfId="3" applyNumberFormat="1" applyFont="1" applyFill="1"/>
    <xf numFmtId="0" fontId="16" fillId="0" borderId="0" xfId="3" applyNumberFormat="1" applyFont="1"/>
    <xf numFmtId="3" fontId="15" fillId="0" borderId="27" xfId="3" applyNumberFormat="1" applyFont="1" applyBorder="1" applyAlignment="1"/>
    <xf numFmtId="3" fontId="15" fillId="0" borderId="0" xfId="3" applyNumberFormat="1" applyFont="1" applyAlignment="1">
      <alignment horizontal="fill"/>
    </xf>
    <xf numFmtId="42" fontId="15" fillId="0" borderId="28" xfId="3" applyNumberFormat="1" applyFont="1" applyBorder="1" applyAlignment="1" applyProtection="1">
      <alignment horizontal="right"/>
      <protection locked="0"/>
    </xf>
    <xf numFmtId="166" fontId="16" fillId="0" borderId="0" xfId="3" applyFont="1" applyAlignment="1"/>
    <xf numFmtId="3" fontId="15" fillId="0" borderId="0" xfId="3" applyNumberFormat="1" applyFont="1" applyFill="1" applyBorder="1"/>
    <xf numFmtId="3" fontId="15" fillId="2" borderId="0" xfId="3" applyNumberFormat="1" applyFont="1" applyFill="1" applyBorder="1"/>
    <xf numFmtId="3" fontId="15" fillId="2" borderId="27" xfId="3" applyNumberFormat="1" applyFont="1" applyFill="1" applyBorder="1"/>
    <xf numFmtId="168" fontId="15" fillId="0" borderId="0" xfId="3" applyNumberFormat="1" applyFont="1"/>
    <xf numFmtId="168" fontId="15" fillId="0" borderId="0" xfId="3" applyNumberFormat="1" applyFont="1" applyAlignment="1">
      <alignment horizontal="center"/>
    </xf>
    <xf numFmtId="166" fontId="15" fillId="0" borderId="0" xfId="3" applyFont="1" applyAlignment="1">
      <alignment horizontal="center"/>
    </xf>
    <xf numFmtId="169" fontId="15" fillId="0" borderId="0" xfId="3" applyNumberFormat="1" applyFont="1" applyAlignment="1"/>
    <xf numFmtId="169" fontId="15" fillId="2" borderId="0" xfId="3" applyNumberFormat="1" applyFont="1" applyFill="1" applyProtection="1">
      <protection locked="0"/>
    </xf>
    <xf numFmtId="169" fontId="15" fillId="0" borderId="0" xfId="3" applyNumberFormat="1" applyFont="1" applyProtection="1">
      <protection locked="0"/>
    </xf>
    <xf numFmtId="0" fontId="15" fillId="0" borderId="0" xfId="3" applyNumberFormat="1" applyFont="1" applyAlignment="1">
      <alignment horizontal="left"/>
    </xf>
    <xf numFmtId="49" fontId="15" fillId="0" borderId="0" xfId="3" applyNumberFormat="1" applyFont="1" applyAlignment="1">
      <alignment horizontal="left"/>
    </xf>
    <xf numFmtId="49" fontId="15" fillId="0" borderId="0" xfId="3" applyNumberFormat="1" applyFont="1" applyAlignment="1">
      <alignment horizontal="center"/>
    </xf>
    <xf numFmtId="3" fontId="17" fillId="0" borderId="0" xfId="3" applyNumberFormat="1" applyFont="1" applyAlignment="1">
      <alignment horizontal="center"/>
    </xf>
    <xf numFmtId="0" fontId="17" fillId="0" borderId="0" xfId="3" applyNumberFormat="1" applyFont="1" applyAlignment="1" applyProtection="1">
      <alignment horizontal="center"/>
      <protection locked="0"/>
    </xf>
    <xf numFmtId="0" fontId="17" fillId="0" borderId="0" xfId="3" applyNumberFormat="1" applyFont="1" applyAlignment="1"/>
    <xf numFmtId="166" fontId="17" fillId="0" borderId="0" xfId="3" applyFont="1" applyAlignment="1">
      <alignment horizontal="center"/>
    </xf>
    <xf numFmtId="3" fontId="17" fillId="0" borderId="0" xfId="3" applyNumberFormat="1" applyFont="1" applyAlignment="1"/>
    <xf numFmtId="3" fontId="15" fillId="2" borderId="0" xfId="3" applyNumberFormat="1" applyFont="1" applyFill="1" applyBorder="1" applyAlignment="1"/>
    <xf numFmtId="170" fontId="15" fillId="0" borderId="0" xfId="3" applyNumberFormat="1" applyFont="1" applyAlignment="1"/>
    <xf numFmtId="3" fontId="15" fillId="2" borderId="27" xfId="3" applyNumberFormat="1" applyFont="1" applyFill="1" applyBorder="1" applyAlignment="1"/>
    <xf numFmtId="171" fontId="15" fillId="0" borderId="0" xfId="3" applyNumberFormat="1" applyFont="1" applyAlignment="1">
      <alignment horizontal="center"/>
    </xf>
    <xf numFmtId="3" fontId="15" fillId="2" borderId="0" xfId="3" applyNumberFormat="1" applyFont="1" applyFill="1" applyAlignment="1"/>
    <xf numFmtId="0" fontId="15" fillId="0" borderId="0" xfId="3" applyNumberFormat="1" applyFont="1" applyAlignment="1">
      <alignment horizontal="fill"/>
    </xf>
    <xf numFmtId="170" fontId="15" fillId="0" borderId="0" xfId="3" applyNumberFormat="1" applyFont="1" applyAlignment="1">
      <alignment horizontal="right"/>
    </xf>
    <xf numFmtId="3" fontId="15" fillId="0" borderId="0" xfId="3" applyNumberFormat="1" applyFont="1" applyAlignment="1">
      <alignment horizontal="center"/>
    </xf>
    <xf numFmtId="166" fontId="15" fillId="0" borderId="27" xfId="3" applyFont="1" applyBorder="1" applyAlignment="1"/>
    <xf numFmtId="3" fontId="15" fillId="0" borderId="28" xfId="3" applyNumberFormat="1" applyFont="1" applyBorder="1" applyAlignment="1"/>
    <xf numFmtId="3" fontId="15" fillId="0" borderId="0" xfId="3" applyNumberFormat="1" applyFont="1" applyAlignment="1">
      <alignment horizontal="right"/>
    </xf>
    <xf numFmtId="0" fontId="15" fillId="0" borderId="0" xfId="3" applyNumberFormat="1" applyFont="1" applyFill="1" applyAlignment="1" applyProtection="1">
      <alignment horizontal="center"/>
      <protection locked="0"/>
    </xf>
    <xf numFmtId="0" fontId="15" fillId="0" borderId="0" xfId="3" applyNumberFormat="1" applyFont="1" applyFill="1" applyAlignment="1"/>
    <xf numFmtId="166" fontId="15" fillId="0" borderId="0" xfId="3" applyFont="1" applyFill="1" applyAlignment="1"/>
    <xf numFmtId="3" fontId="18" fillId="0" borderId="0" xfId="3" applyNumberFormat="1" applyFont="1" applyAlignment="1"/>
    <xf numFmtId="3" fontId="15" fillId="0" borderId="0" xfId="3" applyNumberFormat="1" applyFont="1" applyFill="1" applyAlignment="1"/>
    <xf numFmtId="0" fontId="15" fillId="0" borderId="0" xfId="3" applyNumberFormat="1" applyFont="1" applyFill="1" applyAlignment="1">
      <alignment horizontal="fill"/>
    </xf>
    <xf numFmtId="3" fontId="15" fillId="0" borderId="0" xfId="3" applyNumberFormat="1" applyFont="1" applyAlignment="1">
      <alignment horizontal="left"/>
    </xf>
    <xf numFmtId="167" fontId="15" fillId="0" borderId="0" xfId="3" applyNumberFormat="1" applyFont="1" applyAlignment="1">
      <alignment horizontal="right"/>
    </xf>
    <xf numFmtId="10" fontId="15" fillId="0" borderId="0" xfId="3" applyNumberFormat="1" applyFont="1" applyAlignment="1">
      <alignment horizontal="left"/>
    </xf>
    <xf numFmtId="167" fontId="15" fillId="0" borderId="0" xfId="3" applyNumberFormat="1" applyFont="1" applyAlignment="1">
      <alignment horizontal="center"/>
    </xf>
    <xf numFmtId="171" fontId="15" fillId="0" borderId="0" xfId="3" applyNumberFormat="1" applyFont="1" applyAlignment="1">
      <alignment horizontal="left"/>
    </xf>
    <xf numFmtId="10" fontId="15" fillId="0" borderId="0" xfId="3" applyNumberFormat="1" applyFont="1" applyFill="1" applyAlignment="1">
      <alignment horizontal="right"/>
    </xf>
    <xf numFmtId="172" fontId="15" fillId="0" borderId="0" xfId="3" applyNumberFormat="1" applyFont="1" applyFill="1" applyAlignment="1">
      <alignment horizontal="right"/>
    </xf>
    <xf numFmtId="171" fontId="15" fillId="0" borderId="0" xfId="3" applyNumberFormat="1" applyFont="1" applyAlignment="1" applyProtection="1">
      <alignment horizontal="left"/>
      <protection locked="0"/>
    </xf>
    <xf numFmtId="3" fontId="15" fillId="0" borderId="0" xfId="3" applyNumberFormat="1" applyFont="1" applyFill="1" applyAlignment="1">
      <alignment horizontal="right"/>
    </xf>
    <xf numFmtId="173" fontId="15" fillId="0" borderId="0" xfId="3" applyNumberFormat="1" applyFont="1" applyAlignment="1"/>
    <xf numFmtId="3" fontId="15" fillId="0" borderId="0" xfId="3" applyNumberFormat="1" applyFont="1" applyBorder="1" applyAlignment="1"/>
    <xf numFmtId="0" fontId="15" fillId="2" borderId="0" xfId="3" applyNumberFormat="1" applyFont="1" applyFill="1" applyBorder="1" applyAlignment="1"/>
    <xf numFmtId="0" fontId="15" fillId="2" borderId="27" xfId="3" applyNumberFormat="1" applyFont="1" applyFill="1" applyBorder="1" applyAlignment="1"/>
    <xf numFmtId="3" fontId="15" fillId="0" borderId="28" xfId="3" applyNumberFormat="1" applyFont="1" applyFill="1" applyBorder="1" applyAlignment="1"/>
    <xf numFmtId="0" fontId="15" fillId="0" borderId="0" xfId="3" applyNumberFormat="1" applyFont="1" applyFill="1"/>
    <xf numFmtId="0" fontId="19" fillId="0" borderId="0" xfId="3" applyNumberFormat="1" applyFont="1" applyAlignment="1" applyProtection="1">
      <alignment horizontal="center"/>
      <protection locked="0"/>
    </xf>
    <xf numFmtId="166" fontId="19" fillId="0" borderId="0" xfId="3" applyFont="1" applyAlignment="1"/>
    <xf numFmtId="3" fontId="19" fillId="0" borderId="0" xfId="3" applyNumberFormat="1" applyFont="1" applyAlignment="1"/>
    <xf numFmtId="0" fontId="19" fillId="0" borderId="0" xfId="3" applyNumberFormat="1" applyFont="1"/>
    <xf numFmtId="0" fontId="19" fillId="0" borderId="0" xfId="3" applyNumberFormat="1" applyFont="1" applyAlignment="1">
      <alignment horizontal="center"/>
    </xf>
    <xf numFmtId="0" fontId="20" fillId="0" borderId="0" xfId="3" applyNumberFormat="1" applyFont="1"/>
    <xf numFmtId="0" fontId="15" fillId="0" borderId="27" xfId="3" applyNumberFormat="1" applyFont="1" applyBorder="1" applyProtection="1">
      <protection locked="0"/>
    </xf>
    <xf numFmtId="0" fontId="15" fillId="0" borderId="27" xfId="3" applyNumberFormat="1" applyFont="1" applyBorder="1"/>
    <xf numFmtId="49" fontId="15" fillId="0" borderId="0" xfId="3" applyNumberFormat="1" applyFont="1" applyAlignment="1"/>
    <xf numFmtId="166" fontId="21" fillId="0" borderId="0" xfId="3" applyFont="1" applyAlignment="1"/>
    <xf numFmtId="174" fontId="15" fillId="0" borderId="17" xfId="3" applyNumberFormat="1" applyFont="1" applyBorder="1" applyAlignment="1"/>
    <xf numFmtId="3" fontId="16" fillId="0" borderId="0" xfId="3" applyNumberFormat="1" applyFont="1" applyBorder="1" applyAlignment="1"/>
    <xf numFmtId="0" fontId="15" fillId="0" borderId="0" xfId="3" applyNumberFormat="1" applyFont="1" applyBorder="1"/>
    <xf numFmtId="0" fontId="15" fillId="0" borderId="0" xfId="3" applyNumberFormat="1" applyFont="1" applyBorder="1" applyAlignment="1"/>
    <xf numFmtId="166" fontId="15" fillId="0" borderId="7" xfId="3" applyFont="1" applyBorder="1" applyAlignment="1"/>
    <xf numFmtId="174" fontId="15" fillId="2" borderId="2" xfId="3" applyNumberFormat="1" applyFont="1" applyFill="1" applyBorder="1" applyAlignment="1"/>
    <xf numFmtId="166" fontId="16" fillId="0" borderId="0" xfId="3" applyFont="1" applyBorder="1" applyAlignment="1"/>
    <xf numFmtId="166" fontId="15" fillId="0" borderId="0" xfId="3" applyFont="1" applyBorder="1" applyAlignment="1"/>
    <xf numFmtId="0" fontId="15" fillId="0" borderId="17" xfId="3" applyNumberFormat="1" applyFont="1" applyBorder="1" applyAlignment="1">
      <alignment horizontal="center"/>
    </xf>
    <xf numFmtId="166" fontId="22" fillId="0" borderId="0" xfId="3" applyFont="1" applyBorder="1"/>
    <xf numFmtId="0" fontId="15" fillId="0" borderId="0" xfId="3" applyNumberFormat="1" applyFont="1" applyBorder="1" applyAlignment="1">
      <alignment horizontal="center"/>
    </xf>
    <xf numFmtId="0" fontId="15" fillId="0" borderId="7" xfId="3" applyNumberFormat="1" applyFont="1" applyBorder="1" applyAlignment="1">
      <alignment horizontal="center"/>
    </xf>
    <xf numFmtId="170" fontId="15" fillId="0" borderId="0" xfId="3" applyNumberFormat="1" applyFont="1"/>
    <xf numFmtId="174" fontId="15" fillId="2" borderId="17" xfId="3" applyNumberFormat="1" applyFont="1" applyFill="1" applyBorder="1" applyAlignment="1"/>
    <xf numFmtId="166" fontId="16" fillId="0" borderId="0" xfId="3" applyFont="1" applyBorder="1"/>
    <xf numFmtId="167" fontId="15" fillId="0" borderId="0" xfId="3" applyNumberFormat="1" applyFont="1"/>
    <xf numFmtId="3" fontId="15" fillId="0" borderId="27" xfId="3" applyNumberFormat="1" applyFont="1" applyBorder="1" applyAlignment="1">
      <alignment horizontal="center"/>
    </xf>
    <xf numFmtId="174" fontId="15" fillId="0" borderId="17" xfId="3" applyNumberFormat="1" applyFont="1" applyFill="1" applyBorder="1" applyAlignment="1"/>
    <xf numFmtId="4" fontId="15" fillId="0" borderId="0" xfId="3" applyNumberFormat="1" applyFont="1" applyAlignment="1"/>
    <xf numFmtId="174" fontId="15" fillId="0" borderId="2" xfId="3" applyNumberFormat="1" applyFont="1" applyBorder="1" applyAlignment="1"/>
    <xf numFmtId="166" fontId="16" fillId="0" borderId="1" xfId="3" applyFont="1" applyBorder="1" applyAlignment="1"/>
    <xf numFmtId="166" fontId="15" fillId="0" borderId="1" xfId="3" applyFont="1" applyBorder="1" applyAlignment="1"/>
    <xf numFmtId="166" fontId="15" fillId="0" borderId="8" xfId="3" applyFont="1" applyBorder="1" applyAlignment="1"/>
    <xf numFmtId="174" fontId="15" fillId="0" borderId="0" xfId="3" applyNumberFormat="1" applyFont="1" applyBorder="1" applyAlignment="1"/>
    <xf numFmtId="3" fontId="15" fillId="0" borderId="0" xfId="3" applyNumberFormat="1" applyFont="1" applyBorder="1" applyAlignment="1">
      <alignment horizontal="center"/>
    </xf>
    <xf numFmtId="167" fontId="15" fillId="0" borderId="0" xfId="3" applyNumberFormat="1" applyFont="1" applyAlignment="1" applyProtection="1">
      <alignment horizontal="center"/>
      <protection locked="0"/>
    </xf>
    <xf numFmtId="0" fontId="15" fillId="0" borderId="27" xfId="3" applyNumberFormat="1" applyFont="1" applyBorder="1" applyAlignment="1"/>
    <xf numFmtId="174" fontId="15" fillId="2" borderId="0" xfId="3" applyNumberFormat="1" applyFont="1" applyFill="1" applyAlignment="1"/>
    <xf numFmtId="9" fontId="15" fillId="0" borderId="0" xfId="3" applyNumberFormat="1" applyFont="1" applyAlignment="1"/>
    <xf numFmtId="172" fontId="15" fillId="0" borderId="0" xfId="3" applyNumberFormat="1" applyFont="1" applyAlignment="1"/>
    <xf numFmtId="10" fontId="15" fillId="0" borderId="0" xfId="3" applyNumberFormat="1" applyFont="1" applyAlignment="1"/>
    <xf numFmtId="3" fontId="15" fillId="0" borderId="0" xfId="3" quotePrefix="1" applyNumberFormat="1" applyFont="1" applyAlignment="1"/>
    <xf numFmtId="9" fontId="15" fillId="0" borderId="27" xfId="3" applyNumberFormat="1" applyFont="1" applyBorder="1" applyAlignment="1"/>
    <xf numFmtId="172" fontId="15" fillId="0" borderId="27" xfId="3" applyNumberFormat="1" applyFont="1" applyBorder="1" applyAlignment="1"/>
    <xf numFmtId="9" fontId="15" fillId="0" borderId="0" xfId="3" applyNumberFormat="1" applyFont="1" applyFill="1" applyAlignment="1"/>
    <xf numFmtId="10" fontId="15" fillId="2" borderId="0" xfId="3" applyNumberFormat="1" applyFont="1" applyFill="1" applyAlignment="1"/>
    <xf numFmtId="0" fontId="19" fillId="0" borderId="0" xfId="3" applyNumberFormat="1" applyFont="1" applyProtection="1">
      <protection locked="0"/>
    </xf>
    <xf numFmtId="166" fontId="15" fillId="0" borderId="0" xfId="3" applyFont="1" applyFill="1" applyAlignment="1" applyProtection="1"/>
    <xf numFmtId="0" fontId="15" fillId="0" borderId="0" xfId="3" applyNumberFormat="1" applyFont="1" applyBorder="1" applyProtection="1">
      <protection locked="0"/>
    </xf>
    <xf numFmtId="169" fontId="15" fillId="0" borderId="0" xfId="3" applyNumberFormat="1" applyFont="1" applyBorder="1" applyProtection="1">
      <protection locked="0"/>
    </xf>
    <xf numFmtId="174" fontId="15" fillId="0" borderId="0" xfId="3" applyNumberFormat="1" applyFont="1" applyFill="1" applyBorder="1" applyProtection="1"/>
    <xf numFmtId="174" fontId="15" fillId="2" borderId="0" xfId="3" applyNumberFormat="1" applyFont="1" applyFill="1" applyBorder="1" applyProtection="1"/>
    <xf numFmtId="174" fontId="15" fillId="2" borderId="0" xfId="3" applyNumberFormat="1" applyFont="1" applyFill="1" applyBorder="1" applyAlignment="1" applyProtection="1">
      <protection locked="0"/>
    </xf>
    <xf numFmtId="3" fontId="16" fillId="0" borderId="0" xfId="3" applyNumberFormat="1" applyFont="1" applyAlignment="1">
      <alignment horizontal="left"/>
    </xf>
    <xf numFmtId="0" fontId="15" fillId="0" borderId="0" xfId="3" applyNumberFormat="1" applyFont="1" applyBorder="1" applyAlignment="1" applyProtection="1">
      <protection locked="0"/>
    </xf>
    <xf numFmtId="0" fontId="15" fillId="0" borderId="0" xfId="3" applyNumberFormat="1" applyFont="1" applyFill="1" applyBorder="1" applyAlignment="1" applyProtection="1">
      <protection locked="0"/>
    </xf>
    <xf numFmtId="0" fontId="15" fillId="0" borderId="0" xfId="3" applyNumberFormat="1" applyFont="1" applyFill="1" applyBorder="1" applyProtection="1">
      <protection locked="0"/>
    </xf>
    <xf numFmtId="0" fontId="15" fillId="0" borderId="27" xfId="3" applyNumberFormat="1" applyFont="1" applyFill="1" applyBorder="1" applyAlignment="1" applyProtection="1">
      <protection locked="0"/>
    </xf>
    <xf numFmtId="0" fontId="15" fillId="0" borderId="27" xfId="3" applyNumberFormat="1" applyFont="1" applyFill="1" applyBorder="1" applyProtection="1">
      <protection locked="0"/>
    </xf>
    <xf numFmtId="174" fontId="15" fillId="2" borderId="27" xfId="3" applyNumberFormat="1" applyFont="1" applyFill="1" applyBorder="1" applyAlignment="1" applyProtection="1">
      <protection locked="0"/>
    </xf>
    <xf numFmtId="174" fontId="15" fillId="0" borderId="0" xfId="3" applyNumberFormat="1" applyFont="1" applyFill="1" applyBorder="1" applyAlignment="1" applyProtection="1"/>
    <xf numFmtId="166" fontId="15" fillId="0" borderId="0" xfId="3" applyNumberFormat="1" applyFont="1" applyAlignment="1" applyProtection="1">
      <protection locked="0"/>
    </xf>
    <xf numFmtId="0" fontId="19" fillId="0" borderId="0" xfId="3" applyNumberFormat="1" applyFont="1" applyAlignment="1" applyProtection="1">
      <protection locked="0"/>
    </xf>
    <xf numFmtId="0" fontId="19" fillId="0" borderId="0" xfId="3" applyNumberFormat="1" applyFont="1" applyAlignment="1"/>
    <xf numFmtId="3" fontId="15" fillId="0" borderId="0" xfId="3" applyNumberFormat="1" applyFont="1" applyProtection="1">
      <protection locked="0"/>
    </xf>
    <xf numFmtId="174" fontId="15" fillId="0" borderId="0" xfId="3" applyNumberFormat="1" applyFont="1" applyAlignment="1" applyProtection="1">
      <alignment horizontal="right"/>
      <protection locked="0"/>
    </xf>
    <xf numFmtId="174" fontId="15" fillId="0" borderId="0" xfId="3" applyNumberFormat="1" applyFont="1" applyProtection="1">
      <protection locked="0"/>
    </xf>
    <xf numFmtId="3" fontId="15" fillId="0" borderId="0" xfId="3" applyNumberFormat="1" applyFont="1" applyFill="1" applyAlignment="1" applyProtection="1"/>
    <xf numFmtId="0" fontId="15" fillId="0" borderId="0" xfId="3" applyNumberFormat="1" applyFont="1" applyAlignment="1" applyProtection="1">
      <alignment horizontal="left" indent="8"/>
      <protection locked="0"/>
    </xf>
    <xf numFmtId="0" fontId="15" fillId="0" borderId="0" xfId="3" applyNumberFormat="1" applyFont="1" applyAlignment="1" applyProtection="1">
      <alignment horizontal="center" vertical="top" wrapText="1"/>
      <protection locked="0"/>
    </xf>
    <xf numFmtId="0" fontId="15" fillId="0" borderId="0" xfId="3" applyNumberFormat="1" applyFont="1" applyFill="1" applyAlignment="1" applyProtection="1">
      <alignment horizontal="left" vertical="top" wrapText="1" indent="8"/>
      <protection locked="0"/>
    </xf>
    <xf numFmtId="0" fontId="15" fillId="0" borderId="0" xfId="3" applyNumberFormat="1" applyFont="1" applyFill="1" applyAlignment="1" applyProtection="1">
      <alignment vertical="top" wrapText="1"/>
      <protection locked="0"/>
    </xf>
    <xf numFmtId="10" fontId="15" fillId="2" borderId="0" xfId="3" applyNumberFormat="1" applyFont="1" applyFill="1" applyAlignment="1" applyProtection="1">
      <alignment vertical="top" wrapText="1"/>
      <protection locked="0"/>
    </xf>
    <xf numFmtId="3" fontId="15" fillId="0" borderId="0" xfId="3" applyNumberFormat="1" applyFont="1" applyAlignment="1">
      <alignment vertical="top" wrapText="1"/>
    </xf>
    <xf numFmtId="0" fontId="15" fillId="0" borderId="0" xfId="3" applyNumberFormat="1" applyFont="1" applyAlignment="1" applyProtection="1">
      <alignment vertical="top" wrapText="1"/>
      <protection locked="0"/>
    </xf>
    <xf numFmtId="0" fontId="16" fillId="0" borderId="0" xfId="3" applyNumberFormat="1" applyFont="1" applyFill="1" applyAlignment="1" applyProtection="1">
      <alignment horizontal="left"/>
      <protection locked="0"/>
    </xf>
    <xf numFmtId="166" fontId="15" fillId="0" borderId="0" xfId="3" applyFont="1" applyAlignment="1">
      <alignment horizontal="center" vertical="top" wrapText="1"/>
    </xf>
    <xf numFmtId="166" fontId="15" fillId="0" borderId="0" xfId="3" applyFont="1" applyFill="1" applyAlignment="1">
      <alignment horizontal="center" vertical="top" wrapText="1"/>
    </xf>
    <xf numFmtId="0" fontId="15" fillId="0" borderId="0" xfId="3" applyNumberFormat="1" applyFont="1" applyFill="1" applyAlignment="1">
      <alignment horizontal="left" vertical="top"/>
    </xf>
    <xf numFmtId="0" fontId="19" fillId="0" borderId="0" xfId="3" applyNumberFormat="1" applyFont="1" applyAlignment="1" applyProtection="1">
      <alignment vertical="top" wrapText="1"/>
      <protection locked="0"/>
    </xf>
    <xf numFmtId="0" fontId="15" fillId="0" borderId="0" xfId="3" applyNumberFormat="1" applyFont="1" applyFill="1" applyAlignment="1">
      <alignment vertical="top"/>
    </xf>
    <xf numFmtId="166" fontId="19" fillId="0" borderId="0" xfId="3" applyFont="1" applyAlignment="1">
      <alignment horizontal="center" vertical="top" wrapText="1"/>
    </xf>
    <xf numFmtId="0" fontId="19" fillId="0" borderId="0" xfId="3" applyNumberFormat="1" applyFont="1" applyFill="1" applyAlignment="1">
      <alignment vertical="top" wrapText="1"/>
    </xf>
    <xf numFmtId="0" fontId="15" fillId="0" borderId="0" xfId="3" applyNumberFormat="1" applyFont="1" applyFill="1" applyAlignment="1">
      <alignment vertical="top" wrapText="1"/>
    </xf>
    <xf numFmtId="0" fontId="3" fillId="0" borderId="0" xfId="5"/>
    <xf numFmtId="175" fontId="25" fillId="0" borderId="0" xfId="4" applyFont="1" applyAlignment="1">
      <alignment horizontal="center"/>
    </xf>
    <xf numFmtId="0" fontId="26" fillId="0" borderId="0" xfId="5" applyFont="1"/>
    <xf numFmtId="0" fontId="13" fillId="0" borderId="0" xfId="5" applyFont="1"/>
    <xf numFmtId="164" fontId="0" fillId="0" borderId="0" xfId="6" applyNumberFormat="1" applyFont="1"/>
    <xf numFmtId="164" fontId="3" fillId="0" borderId="1" xfId="6" applyNumberFormat="1" applyFont="1" applyBorder="1"/>
    <xf numFmtId="0" fontId="3" fillId="0" borderId="0" xfId="5" applyAlignment="1">
      <alignment horizontal="left" indent="1"/>
    </xf>
    <xf numFmtId="0" fontId="27" fillId="0" borderId="0" xfId="5" applyFont="1" applyAlignment="1">
      <alignment horizontal="center"/>
    </xf>
    <xf numFmtId="43" fontId="23" fillId="0" borderId="0" xfId="4" applyNumberFormat="1"/>
    <xf numFmtId="175" fontId="23" fillId="0" borderId="0" xfId="4"/>
    <xf numFmtId="175" fontId="25" fillId="0" borderId="0" xfId="4" applyFont="1"/>
    <xf numFmtId="0" fontId="28" fillId="0" borderId="0" xfId="7" applyFont="1" applyBorder="1" applyAlignment="1">
      <alignment vertical="center"/>
    </xf>
    <xf numFmtId="43" fontId="29" fillId="0" borderId="0" xfId="4" applyNumberFormat="1" applyFont="1" applyBorder="1"/>
    <xf numFmtId="175" fontId="29" fillId="0" borderId="0" xfId="4" applyFont="1" applyBorder="1"/>
    <xf numFmtId="175" fontId="29" fillId="0" borderId="0" xfId="4" applyFont="1"/>
    <xf numFmtId="175" fontId="29" fillId="0" borderId="0" xfId="4" applyFont="1" applyFill="1" applyBorder="1"/>
    <xf numFmtId="0" fontId="30" fillId="0" borderId="0" xfId="7" applyFont="1" applyFill="1" applyBorder="1" applyAlignment="1">
      <alignment horizontal="left" vertical="center" indent="2"/>
    </xf>
    <xf numFmtId="175" fontId="29" fillId="0" borderId="0" xfId="4" applyFont="1" applyFill="1"/>
    <xf numFmtId="43" fontId="31" fillId="0" borderId="0" xfId="4" applyNumberFormat="1" applyFont="1" applyBorder="1" applyAlignment="1">
      <alignment horizontal="center"/>
    </xf>
    <xf numFmtId="43" fontId="29" fillId="0" borderId="0" xfId="4" applyNumberFormat="1" applyFont="1" applyFill="1" applyBorder="1"/>
    <xf numFmtId="165" fontId="33" fillId="0" borderId="0" xfId="8" applyNumberFormat="1" applyFont="1" applyFill="1" applyBorder="1"/>
    <xf numFmtId="44" fontId="29" fillId="0" borderId="0" xfId="9" applyFont="1" applyFill="1" applyBorder="1"/>
    <xf numFmtId="43" fontId="29" fillId="0" borderId="0" xfId="6" applyFont="1" applyFill="1" applyBorder="1"/>
    <xf numFmtId="43" fontId="36" fillId="0" borderId="0" xfId="6" applyFont="1" applyFill="1" applyBorder="1"/>
    <xf numFmtId="43" fontId="29" fillId="0" borderId="0" xfId="4" applyNumberFormat="1" applyFont="1"/>
    <xf numFmtId="43" fontId="29" fillId="0" borderId="0" xfId="6" applyFont="1" applyFill="1"/>
    <xf numFmtId="44" fontId="29" fillId="0" borderId="0" xfId="9" applyFont="1"/>
    <xf numFmtId="164" fontId="29" fillId="0" borderId="0" xfId="9" applyNumberFormat="1" applyFont="1" applyFill="1" applyBorder="1"/>
    <xf numFmtId="0" fontId="34" fillId="0" borderId="0" xfId="5" applyFont="1" applyFill="1" applyAlignment="1"/>
    <xf numFmtId="43" fontId="29" fillId="0" borderId="0" xfId="6" applyFont="1" applyFill="1" applyBorder="1" applyAlignment="1">
      <alignment horizontal="center"/>
    </xf>
    <xf numFmtId="0" fontId="39" fillId="0" borderId="0" xfId="5" applyFont="1"/>
    <xf numFmtId="165" fontId="0" fillId="0" borderId="0" xfId="9" applyNumberFormat="1" applyFont="1"/>
    <xf numFmtId="164" fontId="40" fillId="0" borderId="0" xfId="6" applyNumberFormat="1" applyFont="1"/>
    <xf numFmtId="165" fontId="3" fillId="0" borderId="0" xfId="5" applyNumberFormat="1"/>
    <xf numFmtId="0" fontId="3" fillId="0" borderId="0" xfId="5" applyAlignment="1">
      <alignment horizontal="center"/>
    </xf>
    <xf numFmtId="164" fontId="0" fillId="0" borderId="0" xfId="6" applyNumberFormat="1" applyFont="1" applyFill="1" applyBorder="1"/>
    <xf numFmtId="164" fontId="3" fillId="0" borderId="0" xfId="6" applyNumberFormat="1" applyFont="1"/>
    <xf numFmtId="0" fontId="42" fillId="0" borderId="0" xfId="5" applyFont="1" applyAlignment="1">
      <alignment horizontal="center"/>
    </xf>
    <xf numFmtId="0" fontId="43" fillId="0" borderId="0" xfId="5" applyFont="1" applyAlignment="1">
      <alignment horizontal="left" indent="1"/>
    </xf>
    <xf numFmtId="0" fontId="3" fillId="0" borderId="0" xfId="5" applyAlignment="1"/>
    <xf numFmtId="0" fontId="43" fillId="0" borderId="0" xfId="5" applyFont="1" applyAlignment="1">
      <alignment horizontal="left" indent="2"/>
    </xf>
    <xf numFmtId="44" fontId="0" fillId="0" borderId="0" xfId="9" applyFont="1"/>
    <xf numFmtId="0" fontId="44" fillId="0" borderId="0" xfId="5" applyFont="1"/>
    <xf numFmtId="0" fontId="41" fillId="0" borderId="0" xfId="5" applyFont="1"/>
    <xf numFmtId="0" fontId="44" fillId="0" borderId="0" xfId="5" applyFont="1" applyAlignment="1">
      <alignment horizontal="left" indent="1"/>
    </xf>
    <xf numFmtId="0" fontId="45" fillId="0" borderId="0" xfId="5" applyFont="1"/>
    <xf numFmtId="0" fontId="13" fillId="0" borderId="0" xfId="5" applyFont="1" applyAlignment="1">
      <alignment horizontal="center"/>
    </xf>
    <xf numFmtId="164" fontId="0" fillId="0" borderId="1" xfId="6" applyNumberFormat="1" applyFont="1" applyBorder="1"/>
    <xf numFmtId="164" fontId="3" fillId="0" borderId="0" xfId="5" applyNumberFormat="1"/>
    <xf numFmtId="0" fontId="46" fillId="0" borderId="0" xfId="5" applyFont="1"/>
    <xf numFmtId="0" fontId="4" fillId="0" borderId="0" xfId="10" applyNumberFormat="1"/>
    <xf numFmtId="0" fontId="4" fillId="0" borderId="0" xfId="10"/>
    <xf numFmtId="0" fontId="4" fillId="0" borderId="0" xfId="10" applyBorder="1"/>
    <xf numFmtId="43" fontId="4" fillId="0" borderId="0" xfId="10" applyNumberFormat="1" applyFont="1" applyBorder="1"/>
    <xf numFmtId="0" fontId="47" fillId="0" borderId="0" xfId="10" applyFont="1" applyBorder="1" applyAlignment="1">
      <alignment vertical="center"/>
    </xf>
    <xf numFmtId="43" fontId="5" fillId="0" borderId="0" xfId="10" applyNumberFormat="1" applyFont="1" applyBorder="1" applyAlignment="1">
      <alignment horizontal="center"/>
    </xf>
    <xf numFmtId="0" fontId="5" fillId="0" borderId="0" xfId="10" applyFont="1" applyBorder="1" applyAlignment="1">
      <alignment horizontal="center"/>
    </xf>
    <xf numFmtId="43" fontId="4" fillId="0" borderId="0" xfId="10" applyNumberFormat="1" applyFont="1"/>
    <xf numFmtId="0" fontId="10" fillId="0" borderId="0" xfId="12" applyFont="1" applyFill="1" applyBorder="1" applyAlignment="1">
      <alignment horizontal="left" vertical="center" indent="2"/>
    </xf>
    <xf numFmtId="0" fontId="4" fillId="0" borderId="0" xfId="10" applyFill="1"/>
    <xf numFmtId="0" fontId="4" fillId="0" borderId="0" xfId="10" applyBorder="1" applyAlignment="1">
      <alignment horizontal="right"/>
    </xf>
    <xf numFmtId="0" fontId="4" fillId="0" borderId="0" xfId="10" applyFont="1" applyBorder="1" applyAlignment="1">
      <alignment horizontal="right"/>
    </xf>
    <xf numFmtId="44" fontId="4" fillId="0" borderId="0" xfId="11" applyFont="1" applyBorder="1"/>
    <xf numFmtId="0" fontId="48" fillId="0" borderId="0" xfId="10" applyFont="1" applyFill="1" applyBorder="1" applyAlignment="1">
      <alignment horizontal="left"/>
    </xf>
    <xf numFmtId="0" fontId="4" fillId="0" borderId="0" xfId="10" applyAlignment="1">
      <alignment horizontal="left" indent="1"/>
    </xf>
    <xf numFmtId="0" fontId="4" fillId="0" borderId="0" xfId="10" applyAlignment="1">
      <alignment horizontal="right"/>
    </xf>
    <xf numFmtId="0" fontId="27" fillId="0" borderId="0" xfId="5" applyFont="1" applyAlignment="1">
      <alignment horizontal="left"/>
    </xf>
    <xf numFmtId="0" fontId="3" fillId="0" borderId="0" xfId="5" applyAlignment="1">
      <alignment horizontal="left"/>
    </xf>
    <xf numFmtId="0" fontId="3" fillId="0" borderId="0" xfId="5" quotePrefix="1" applyAlignment="1"/>
    <xf numFmtId="0" fontId="51" fillId="0" borderId="0" xfId="5" quotePrefix="1" applyFont="1" applyAlignment="1"/>
    <xf numFmtId="0" fontId="51" fillId="0" borderId="1" xfId="5" quotePrefix="1" applyFont="1" applyBorder="1" applyAlignment="1">
      <alignment horizontal="center"/>
    </xf>
    <xf numFmtId="3" fontId="3" fillId="0" borderId="0" xfId="5" applyNumberFormat="1" applyAlignment="1"/>
    <xf numFmtId="44" fontId="0" fillId="0" borderId="12" xfId="9" applyFont="1" applyBorder="1" applyAlignment="1"/>
    <xf numFmtId="44" fontId="0" fillId="0" borderId="0" xfId="9" applyFont="1" applyBorder="1" applyAlignment="1"/>
    <xf numFmtId="44" fontId="0" fillId="0" borderId="0" xfId="9" applyFont="1" applyAlignment="1"/>
    <xf numFmtId="0" fontId="15" fillId="0" borderId="0" xfId="5" applyNumberFormat="1" applyFont="1" applyAlignment="1" applyProtection="1">
      <alignment horizontal="center"/>
      <protection locked="0"/>
    </xf>
    <xf numFmtId="0" fontId="15" fillId="0" borderId="0" xfId="5" applyNumberFormat="1" applyFont="1" applyAlignment="1" applyProtection="1">
      <protection locked="0"/>
    </xf>
    <xf numFmtId="0" fontId="15" fillId="0" borderId="0" xfId="5" applyNumberFormat="1" applyFont="1" applyBorder="1" applyAlignment="1" applyProtection="1">
      <protection locked="0"/>
    </xf>
    <xf numFmtId="0" fontId="15" fillId="0" borderId="0" xfId="5" applyNumberFormat="1" applyFont="1" applyFill="1" applyAlignment="1" applyProtection="1">
      <alignment horizontal="center"/>
      <protection locked="0"/>
    </xf>
    <xf numFmtId="0" fontId="15" fillId="0" borderId="0" xfId="5" applyNumberFormat="1" applyFont="1" applyFill="1" applyBorder="1" applyAlignment="1" applyProtection="1">
      <protection locked="0"/>
    </xf>
    <xf numFmtId="44" fontId="0" fillId="0" borderId="19" xfId="9" applyFont="1" applyBorder="1" applyAlignment="1"/>
    <xf numFmtId="0" fontId="12" fillId="0" borderId="0" xfId="5" applyFont="1"/>
    <xf numFmtId="164" fontId="3" fillId="0" borderId="0" xfId="1" applyNumberFormat="1" applyFont="1"/>
    <xf numFmtId="164" fontId="0" fillId="0" borderId="0" xfId="9" applyNumberFormat="1" applyFont="1"/>
    <xf numFmtId="164" fontId="3" fillId="0" borderId="0" xfId="6" applyNumberFormat="1" applyFont="1" applyFill="1" applyBorder="1"/>
    <xf numFmtId="0" fontId="12" fillId="0" borderId="0" xfId="5" applyFont="1" applyAlignment="1"/>
    <xf numFmtId="43" fontId="52" fillId="0" borderId="0" xfId="4" applyNumberFormat="1" applyFont="1" applyFill="1" applyBorder="1"/>
    <xf numFmtId="0" fontId="53" fillId="0" borderId="0" xfId="5" applyFont="1" applyAlignment="1"/>
    <xf numFmtId="0" fontId="3" fillId="0" borderId="0" xfId="5" applyFill="1"/>
    <xf numFmtId="43" fontId="29" fillId="0" borderId="0" xfId="1" applyFont="1" applyFill="1" applyBorder="1"/>
    <xf numFmtId="0" fontId="53" fillId="0" borderId="0" xfId="5" applyFont="1"/>
    <xf numFmtId="43" fontId="0" fillId="0" borderId="0" xfId="1" applyFont="1" applyFill="1"/>
    <xf numFmtId="44" fontId="4" fillId="0" borderId="0" xfId="10" applyNumberFormat="1"/>
    <xf numFmtId="43" fontId="54" fillId="0" borderId="0" xfId="4" applyNumberFormat="1" applyFont="1" applyFill="1" applyBorder="1"/>
    <xf numFmtId="0" fontId="4" fillId="0" borderId="11" xfId="0" applyFont="1" applyBorder="1"/>
    <xf numFmtId="0" fontId="2" fillId="0" borderId="0" xfId="5" applyFont="1"/>
    <xf numFmtId="165" fontId="0" fillId="0" borderId="0" xfId="2" applyNumberFormat="1" applyFont="1"/>
    <xf numFmtId="0" fontId="55" fillId="0" borderId="0" xfId="5" applyFont="1"/>
    <xf numFmtId="0" fontId="2" fillId="0" borderId="0" xfId="5" applyFont="1" applyFill="1"/>
    <xf numFmtId="165" fontId="3" fillId="0" borderId="27" xfId="2" applyNumberFormat="1" applyFont="1" applyBorder="1"/>
    <xf numFmtId="0" fontId="56" fillId="0" borderId="0" xfId="5" applyFont="1"/>
    <xf numFmtId="0" fontId="1" fillId="0" borderId="0" xfId="5" applyFont="1"/>
    <xf numFmtId="164" fontId="57" fillId="0" borderId="0" xfId="6" applyNumberFormat="1" applyFont="1"/>
    <xf numFmtId="0" fontId="1" fillId="0" borderId="0" xfId="5" applyFont="1" applyAlignment="1">
      <alignment horizontal="left" indent="1"/>
    </xf>
    <xf numFmtId="0" fontId="4" fillId="0" borderId="0" xfId="0" applyFont="1" applyBorder="1"/>
    <xf numFmtId="164" fontId="10" fillId="0" borderId="4" xfId="1" applyNumberFormat="1" applyFont="1" applyFill="1" applyBorder="1"/>
    <xf numFmtId="0" fontId="1" fillId="0" borderId="0" xfId="14" applyAlignment="1">
      <alignment horizontal="left" indent="1"/>
    </xf>
    <xf numFmtId="165" fontId="4" fillId="0" borderId="0" xfId="11" applyNumberFormat="1" applyFont="1" applyBorder="1"/>
    <xf numFmtId="165" fontId="4" fillId="0" borderId="0" xfId="10" applyNumberFormat="1" applyBorder="1"/>
    <xf numFmtId="165" fontId="4" fillId="0" borderId="0" xfId="10" applyNumberFormat="1" applyFont="1" applyBorder="1"/>
    <xf numFmtId="0" fontId="57" fillId="0" borderId="0" xfId="10" applyFont="1"/>
    <xf numFmtId="10" fontId="15" fillId="0" borderId="0" xfId="17" applyNumberFormat="1" applyFont="1" applyAlignment="1"/>
    <xf numFmtId="164" fontId="0" fillId="0" borderId="5" xfId="6" applyNumberFormat="1" applyFont="1" applyFill="1" applyBorder="1"/>
    <xf numFmtId="43" fontId="32" fillId="0" borderId="0" xfId="4" applyNumberFormat="1" applyFont="1" applyFill="1" applyBorder="1" applyAlignment="1">
      <alignment horizontal="center"/>
    </xf>
    <xf numFmtId="175" fontId="28" fillId="0" borderId="0" xfId="4" applyFont="1" applyFill="1" applyBorder="1"/>
    <xf numFmtId="175" fontId="23" fillId="0" borderId="0" xfId="4" applyFill="1"/>
    <xf numFmtId="0" fontId="34" fillId="0" borderId="0" xfId="5" applyFont="1" applyFill="1" applyAlignment="1">
      <alignment horizontal="left" indent="1"/>
    </xf>
    <xf numFmtId="0" fontId="35" fillId="0" borderId="0" xfId="5" applyFont="1" applyFill="1" applyBorder="1" applyAlignment="1">
      <alignment horizontal="left" indent="2"/>
    </xf>
    <xf numFmtId="175" fontId="29" fillId="0" borderId="0" xfId="4" applyFont="1" applyFill="1" applyBorder="1" applyAlignment="1">
      <alignment horizontal="left" indent="1"/>
    </xf>
    <xf numFmtId="0" fontId="35" fillId="0" borderId="0" xfId="5" applyFont="1" applyFill="1" applyAlignment="1">
      <alignment horizontal="left" indent="2"/>
    </xf>
    <xf numFmtId="175" fontId="23" fillId="0" borderId="0" xfId="4" applyFont="1" applyFill="1"/>
    <xf numFmtId="43" fontId="29" fillId="0" borderId="0" xfId="4" applyNumberFormat="1" applyFont="1" applyFill="1"/>
    <xf numFmtId="0" fontId="35" fillId="0" borderId="0" xfId="5" applyFont="1" applyFill="1" applyAlignment="1">
      <alignment horizontal="left" indent="1"/>
    </xf>
    <xf numFmtId="0" fontId="35" fillId="0" borderId="0" xfId="5" applyFont="1" applyFill="1" applyAlignment="1"/>
    <xf numFmtId="43" fontId="29" fillId="0" borderId="0" xfId="4" applyNumberFormat="1" applyFont="1" applyFill="1" applyAlignment="1">
      <alignment horizontal="center"/>
    </xf>
    <xf numFmtId="0" fontId="34" fillId="0" borderId="0" xfId="5" applyFont="1" applyFill="1" applyAlignment="1">
      <alignment horizontal="left" indent="2"/>
    </xf>
    <xf numFmtId="44" fontId="29" fillId="0" borderId="5" xfId="9" applyFont="1" applyFill="1" applyBorder="1"/>
    <xf numFmtId="44" fontId="29" fillId="0" borderId="0" xfId="9" applyFont="1" applyFill="1"/>
    <xf numFmtId="165" fontId="29" fillId="0" borderId="0" xfId="9" applyNumberFormat="1" applyFont="1" applyFill="1"/>
    <xf numFmtId="44" fontId="29" fillId="0" borderId="0" xfId="4" applyNumberFormat="1" applyFont="1" applyFill="1"/>
    <xf numFmtId="175" fontId="23" fillId="0" borderId="0" xfId="4" applyFont="1" applyFill="1" applyAlignment="1">
      <alignment horizontal="center"/>
    </xf>
    <xf numFmtId="175" fontId="28" fillId="0" borderId="0" xfId="4" applyFont="1" applyFill="1"/>
    <xf numFmtId="175" fontId="37" fillId="0" borderId="0" xfId="4" applyFont="1" applyFill="1"/>
    <xf numFmtId="44" fontId="38" fillId="0" borderId="0" xfId="9" applyFont="1" applyFill="1"/>
    <xf numFmtId="165" fontId="3" fillId="0" borderId="5" xfId="5" applyNumberFormat="1" applyFill="1" applyBorder="1"/>
    <xf numFmtId="164" fontId="0" fillId="0" borderId="0" xfId="6" applyNumberFormat="1" applyFont="1" applyFill="1"/>
    <xf numFmtId="164" fontId="40" fillId="0" borderId="0" xfId="6" applyNumberFormat="1" applyFont="1" applyFill="1"/>
    <xf numFmtId="164" fontId="3" fillId="0" borderId="5" xfId="5" applyNumberFormat="1" applyFill="1" applyBorder="1"/>
    <xf numFmtId="164" fontId="0" fillId="0" borderId="5" xfId="9" applyNumberFormat="1" applyFont="1" applyFill="1" applyBorder="1"/>
    <xf numFmtId="165" fontId="0" fillId="0" borderId="0" xfId="9" applyNumberFormat="1" applyFont="1" applyFill="1"/>
    <xf numFmtId="165" fontId="0" fillId="0" borderId="0" xfId="9" applyNumberFormat="1" applyFont="1" applyFill="1" applyBorder="1"/>
    <xf numFmtId="164" fontId="40" fillId="0" borderId="0" xfId="6" applyNumberFormat="1" applyFont="1" applyFill="1" applyBorder="1"/>
    <xf numFmtId="44" fontId="10" fillId="0" borderId="0" xfId="11" applyFont="1" applyFill="1" applyBorder="1"/>
    <xf numFmtId="165" fontId="10" fillId="0" borderId="0" xfId="11" applyNumberFormat="1" applyFont="1" applyFill="1" applyBorder="1"/>
    <xf numFmtId="0" fontId="4" fillId="0" borderId="0" xfId="10" applyFill="1" applyBorder="1" applyAlignment="1">
      <alignment horizontal="right"/>
    </xf>
    <xf numFmtId="43" fontId="10" fillId="0" borderId="0" xfId="13" applyNumberFormat="1" applyFont="1" applyFill="1" applyBorder="1"/>
    <xf numFmtId="165" fontId="10" fillId="0" borderId="0" xfId="13" applyNumberFormat="1" applyFont="1" applyFill="1" applyBorder="1"/>
    <xf numFmtId="43" fontId="49" fillId="0" borderId="0" xfId="13" applyNumberFormat="1" applyFont="1" applyFill="1" applyBorder="1"/>
    <xf numFmtId="165" fontId="49" fillId="0" borderId="0" xfId="13" applyNumberFormat="1" applyFont="1" applyFill="1" applyBorder="1"/>
    <xf numFmtId="0" fontId="4" fillId="0" borderId="0" xfId="10" applyFont="1" applyFill="1" applyBorder="1" applyAlignment="1">
      <alignment horizontal="right"/>
    </xf>
    <xf numFmtId="44" fontId="4" fillId="0" borderId="0" xfId="11" applyFont="1" applyFill="1" applyBorder="1"/>
    <xf numFmtId="165" fontId="4" fillId="0" borderId="0" xfId="11" applyNumberFormat="1" applyFont="1" applyFill="1" applyBorder="1"/>
    <xf numFmtId="0" fontId="4" fillId="0" borderId="0" xfId="10" applyFill="1" applyBorder="1"/>
    <xf numFmtId="43" fontId="4" fillId="0" borderId="0" xfId="10" applyNumberFormat="1" applyFont="1" applyFill="1" applyBorder="1"/>
    <xf numFmtId="165" fontId="4" fillId="0" borderId="0" xfId="10" applyNumberFormat="1" applyFill="1" applyBorder="1"/>
    <xf numFmtId="43" fontId="4" fillId="0" borderId="0" xfId="13" applyNumberFormat="1" applyFont="1" applyFill="1" applyBorder="1"/>
    <xf numFmtId="165" fontId="4" fillId="0" borderId="0" xfId="13" applyNumberFormat="1" applyFill="1" applyBorder="1"/>
    <xf numFmtId="43" fontId="50" fillId="0" borderId="0" xfId="13" applyNumberFormat="1" applyFont="1" applyFill="1" applyBorder="1"/>
    <xf numFmtId="165" fontId="50" fillId="0" borderId="0" xfId="13" applyNumberFormat="1" applyFont="1" applyFill="1" applyBorder="1"/>
    <xf numFmtId="165" fontId="4" fillId="0" borderId="0" xfId="10" applyNumberFormat="1" applyFont="1" applyFill="1" applyBorder="1"/>
    <xf numFmtId="44" fontId="0" fillId="0" borderId="0" xfId="9" applyFont="1" applyFill="1" applyAlignment="1"/>
    <xf numFmtId="0" fontId="35" fillId="0" borderId="0" xfId="5" applyFont="1" applyFill="1" applyAlignment="1">
      <alignment horizontal="right" indent="1"/>
    </xf>
    <xf numFmtId="0" fontId="35" fillId="0" borderId="0" xfId="5" applyFont="1" applyFill="1" applyAlignment="1">
      <alignment horizontal="left"/>
    </xf>
    <xf numFmtId="0" fontId="0" fillId="0" borderId="0" xfId="0" applyAlignment="1"/>
    <xf numFmtId="0" fontId="15" fillId="0" borderId="0" xfId="0" applyNumberFormat="1" applyFont="1" applyFill="1" applyBorder="1" applyAlignment="1" applyProtection="1">
      <alignment horizontal="right"/>
      <protection locked="0"/>
    </xf>
    <xf numFmtId="0" fontId="15" fillId="0" borderId="0" xfId="0" applyFont="1" applyAlignment="1">
      <alignment horizontal="right"/>
    </xf>
    <xf numFmtId="0" fontId="0" fillId="0" borderId="0" xfId="0" applyFont="1" applyAlignment="1"/>
    <xf numFmtId="0" fontId="59" fillId="0" borderId="1" xfId="0" applyFont="1" applyBorder="1" applyAlignment="1">
      <alignment horizontal="center" wrapText="1"/>
    </xf>
    <xf numFmtId="0" fontId="17" fillId="0" borderId="0" xfId="0" applyNumberFormat="1" applyFont="1" applyFill="1" applyBorder="1" applyAlignment="1">
      <alignment horizontal="center"/>
    </xf>
    <xf numFmtId="0" fontId="15" fillId="0" borderId="0" xfId="0" applyFont="1" applyAlignment="1"/>
    <xf numFmtId="0" fontId="15" fillId="0" borderId="0" xfId="0" applyNumberFormat="1" applyFont="1" applyFill="1" applyBorder="1" applyAlignment="1"/>
    <xf numFmtId="0" fontId="15" fillId="0" borderId="0" xfId="0" applyNumberFormat="1" applyFont="1" applyAlignment="1">
      <alignment horizontal="center"/>
    </xf>
    <xf numFmtId="0" fontId="15" fillId="0" borderId="0" xfId="0" applyFont="1" applyFill="1" applyAlignment="1"/>
    <xf numFmtId="0" fontId="15" fillId="0" borderId="0" xfId="0" applyNumberFormat="1" applyFont="1" applyFill="1" applyAlignment="1"/>
    <xf numFmtId="42" fontId="15" fillId="0" borderId="0" xfId="1" applyNumberFormat="1" applyFont="1" applyFill="1" applyAlignment="1"/>
    <xf numFmtId="4" fontId="15" fillId="3" borderId="29" xfId="0" applyNumberFormat="1" applyFont="1" applyFill="1" applyBorder="1" applyAlignment="1"/>
    <xf numFmtId="164" fontId="15" fillId="0" borderId="0" xfId="1" applyNumberFormat="1" applyFont="1" applyFill="1" applyAlignment="1"/>
    <xf numFmtId="0" fontId="15" fillId="0" borderId="0" xfId="0" applyFont="1" applyAlignment="1"/>
    <xf numFmtId="7" fontId="15" fillId="0" borderId="0" xfId="0" applyNumberFormat="1" applyFont="1" applyBorder="1" applyAlignment="1"/>
    <xf numFmtId="3" fontId="15" fillId="0" borderId="0" xfId="0" applyNumberFormat="1" applyFont="1" applyFill="1" applyAlignment="1"/>
    <xf numFmtId="3" fontId="15" fillId="3" borderId="29" xfId="0" applyNumberFormat="1" applyFont="1" applyFill="1" applyBorder="1" applyAlignment="1"/>
    <xf numFmtId="0" fontId="15" fillId="0" borderId="0" xfId="0" applyNumberFormat="1" applyFont="1"/>
    <xf numFmtId="0" fontId="15" fillId="0" borderId="0" xfId="0" applyNumberFormat="1" applyFont="1" applyFill="1"/>
    <xf numFmtId="37" fontId="15" fillId="0" borderId="0" xfId="0" applyNumberFormat="1" applyFont="1" applyAlignment="1"/>
    <xf numFmtId="42" fontId="15" fillId="0" borderId="0" xfId="1" applyNumberFormat="1" applyFont="1"/>
    <xf numFmtId="169" fontId="15" fillId="0" borderId="29" xfId="0" applyNumberFormat="1" applyFont="1" applyFill="1" applyBorder="1" applyAlignment="1"/>
    <xf numFmtId="42" fontId="15" fillId="0" borderId="0" xfId="0" applyNumberFormat="1" applyFont="1"/>
    <xf numFmtId="164" fontId="15" fillId="0" borderId="0" xfId="1" applyNumberFormat="1" applyFont="1"/>
    <xf numFmtId="7" fontId="15" fillId="0" borderId="0" xfId="0" applyNumberFormat="1" applyFont="1" applyAlignment="1"/>
    <xf numFmtId="0" fontId="15" fillId="0" borderId="0" xfId="0" applyNumberFormat="1" applyFont="1" applyFill="1" applyAlignment="1">
      <alignment horizontal="right"/>
    </xf>
    <xf numFmtId="42" fontId="15" fillId="0" borderId="0" xfId="0" applyNumberFormat="1" applyFont="1" applyFill="1" applyAlignment="1"/>
    <xf numFmtId="7" fontId="15" fillId="0" borderId="30" xfId="0" applyNumberFormat="1" applyFont="1" applyBorder="1" applyAlignment="1"/>
    <xf numFmtId="176" fontId="15" fillId="0" borderId="0" xfId="17" applyNumberFormat="1" applyFont="1" applyAlignment="1"/>
    <xf numFmtId="7" fontId="17" fillId="0" borderId="30" xfId="0" applyNumberFormat="1" applyFont="1" applyBorder="1" applyAlignment="1"/>
    <xf numFmtId="176" fontId="15" fillId="0" borderId="0" xfId="17" applyNumberFormat="1" applyFont="1" applyFill="1" applyAlignment="1"/>
    <xf numFmtId="0" fontId="15" fillId="0" borderId="0" xfId="0" quotePrefix="1" applyFont="1" applyAlignment="1"/>
    <xf numFmtId="0" fontId="15" fillId="0" borderId="0" xfId="0" applyFont="1" applyFill="1" applyBorder="1" applyAlignment="1"/>
    <xf numFmtId="0" fontId="15" fillId="0" borderId="0" xfId="0" applyFont="1" applyAlignment="1">
      <alignment horizontal="center"/>
    </xf>
    <xf numFmtId="0" fontId="0" fillId="0" borderId="0" xfId="0" applyFont="1" applyAlignment="1">
      <alignment horizontal="center"/>
    </xf>
    <xf numFmtId="0" fontId="17" fillId="0" borderId="1" xfId="0" applyFont="1" applyBorder="1" applyAlignment="1">
      <alignment horizontal="center"/>
    </xf>
    <xf numFmtId="0" fontId="15" fillId="0" borderId="1" xfId="0" applyFont="1" applyBorder="1" applyAlignment="1">
      <alignment horizontal="center" wrapText="1"/>
    </xf>
    <xf numFmtId="0" fontId="15" fillId="0" borderId="0" xfId="0" applyFont="1" applyFill="1" applyAlignment="1">
      <alignment horizontal="center"/>
    </xf>
    <xf numFmtId="14" fontId="0" fillId="0" borderId="0" xfId="0" applyNumberFormat="1" applyFont="1" applyAlignment="1"/>
    <xf numFmtId="0" fontId="0" fillId="0" borderId="0" xfId="0" applyNumberFormat="1" applyFont="1" applyAlignment="1"/>
    <xf numFmtId="1" fontId="15" fillId="0" borderId="0" xfId="0" applyNumberFormat="1" applyFont="1" applyAlignment="1">
      <alignment horizontal="center"/>
    </xf>
    <xf numFmtId="0" fontId="43" fillId="0" borderId="0" xfId="18" applyFont="1" applyAlignment="1">
      <alignment horizontal="center" vertical="center"/>
    </xf>
    <xf numFmtId="173" fontId="63" fillId="3" borderId="0" xfId="0" applyNumberFormat="1" applyFont="1" applyFill="1" applyAlignment="1">
      <alignment horizontal="center" wrapText="1"/>
    </xf>
    <xf numFmtId="173" fontId="15" fillId="0" borderId="0" xfId="0" applyNumberFormat="1" applyFont="1" applyFill="1" applyBorder="1" applyAlignment="1">
      <alignment horizontal="center" wrapText="1"/>
    </xf>
    <xf numFmtId="173" fontId="15" fillId="0" borderId="0" xfId="0" applyNumberFormat="1" applyFont="1" applyAlignment="1"/>
    <xf numFmtId="14" fontId="0" fillId="3" borderId="0" xfId="0" applyNumberFormat="1" applyFont="1" applyFill="1" applyBorder="1" applyAlignment="1" applyProtection="1"/>
    <xf numFmtId="0" fontId="0" fillId="3" borderId="0" xfId="0" applyNumberFormat="1" applyFont="1" applyFill="1" applyBorder="1" applyAlignment="1" applyProtection="1">
      <alignment horizontal="right"/>
    </xf>
    <xf numFmtId="0" fontId="0" fillId="3" borderId="0" xfId="0" applyFont="1" applyFill="1" applyAlignment="1"/>
    <xf numFmtId="0" fontId="0" fillId="3" borderId="0" xfId="0" applyNumberFormat="1" applyFont="1" applyFill="1" applyBorder="1" applyAlignment="1" applyProtection="1"/>
    <xf numFmtId="0" fontId="17" fillId="0" borderId="0" xfId="0" applyNumberFormat="1" applyFont="1" applyAlignment="1"/>
    <xf numFmtId="176" fontId="17" fillId="0" borderId="31" xfId="17" applyNumberFormat="1" applyFont="1" applyBorder="1" applyAlignment="1"/>
    <xf numFmtId="176" fontId="0" fillId="0" borderId="0" xfId="17" applyNumberFormat="1" applyFont="1" applyAlignment="1"/>
    <xf numFmtId="0" fontId="15" fillId="0" borderId="0" xfId="0" quotePrefix="1" applyFont="1" applyAlignment="1">
      <alignment wrapText="1"/>
    </xf>
    <xf numFmtId="0" fontId="64" fillId="0" borderId="0" xfId="20" applyNumberFormat="1" applyFont="1" applyFill="1" applyBorder="1" applyAlignment="1" applyProtection="1">
      <alignment horizontal="left"/>
      <protection locked="0"/>
    </xf>
    <xf numFmtId="0" fontId="15" fillId="0" borderId="0" xfId="0" applyFont="1" applyFill="1" applyAlignment="1">
      <alignment wrapText="1"/>
    </xf>
    <xf numFmtId="0" fontId="0" fillId="0" borderId="0" xfId="0" applyFill="1" applyAlignment="1"/>
    <xf numFmtId="0" fontId="15" fillId="0" borderId="0" xfId="0" applyFont="1" applyAlignment="1"/>
    <xf numFmtId="7" fontId="15" fillId="0" borderId="0" xfId="0" applyNumberFormat="1" applyFont="1" applyFill="1" applyAlignment="1"/>
    <xf numFmtId="0" fontId="65" fillId="0" borderId="0" xfId="12" applyFont="1" applyBorder="1"/>
    <xf numFmtId="0" fontId="65" fillId="0" borderId="0" xfId="12" applyFont="1" applyBorder="1" applyAlignment="1">
      <alignment horizontal="center"/>
    </xf>
    <xf numFmtId="0" fontId="66" fillId="0" borderId="0" xfId="12" applyFont="1" applyBorder="1"/>
    <xf numFmtId="5" fontId="66" fillId="0" borderId="0" xfId="12" applyNumberFormat="1" applyFont="1" applyBorder="1"/>
    <xf numFmtId="0" fontId="66" fillId="0" borderId="27" xfId="12" applyFont="1" applyBorder="1"/>
    <xf numFmtId="5" fontId="65" fillId="0" borderId="0" xfId="12" applyNumberFormat="1" applyFont="1" applyBorder="1"/>
    <xf numFmtId="0" fontId="1" fillId="0" borderId="0" xfId="14"/>
    <xf numFmtId="0" fontId="67" fillId="0" borderId="0" xfId="12" applyFont="1" applyBorder="1"/>
    <xf numFmtId="0" fontId="13" fillId="0" borderId="0" xfId="14" applyFont="1"/>
    <xf numFmtId="0" fontId="53" fillId="0" borderId="0" xfId="14" applyFont="1"/>
    <xf numFmtId="0" fontId="1" fillId="0" borderId="0" xfId="14" applyFont="1" applyAlignment="1">
      <alignment horizontal="left" indent="2"/>
    </xf>
    <xf numFmtId="0" fontId="1" fillId="0" borderId="0" xfId="14" applyFont="1" applyAlignment="1">
      <alignment horizontal="left" indent="1"/>
    </xf>
    <xf numFmtId="0" fontId="68" fillId="0" borderId="0" xfId="14" applyFont="1" applyAlignment="1">
      <alignment horizontal="left" indent="2"/>
    </xf>
    <xf numFmtId="166" fontId="53" fillId="0" borderId="0" xfId="14" applyNumberFormat="1" applyFont="1"/>
    <xf numFmtId="0" fontId="69" fillId="0" borderId="0" xfId="14" applyFont="1"/>
    <xf numFmtId="166" fontId="53" fillId="0" borderId="19" xfId="14" applyNumberFormat="1" applyFont="1" applyBorder="1"/>
    <xf numFmtId="0" fontId="1" fillId="0" borderId="0" xfId="14" applyFont="1"/>
    <xf numFmtId="0" fontId="43" fillId="0" borderId="0" xfId="14" applyFont="1" applyAlignment="1">
      <alignment horizontal="left" indent="2"/>
    </xf>
    <xf numFmtId="0" fontId="12" fillId="0" borderId="0" xfId="14" applyFont="1"/>
    <xf numFmtId="0" fontId="1" fillId="0" borderId="0" xfId="14" applyFont="1" applyFill="1"/>
    <xf numFmtId="0" fontId="1" fillId="0" borderId="0" xfId="14" applyAlignment="1">
      <alignment horizontal="left" indent="2"/>
    </xf>
    <xf numFmtId="0" fontId="70" fillId="0" borderId="0" xfId="14" applyFont="1" applyAlignment="1">
      <alignment horizontal="center"/>
    </xf>
    <xf numFmtId="164" fontId="53" fillId="0" borderId="0" xfId="15" applyNumberFormat="1" applyFont="1" applyFill="1" applyBorder="1"/>
    <xf numFmtId="164" fontId="1" fillId="0" borderId="0" xfId="14" applyNumberFormat="1"/>
    <xf numFmtId="164" fontId="53" fillId="0" borderId="19" xfId="14" applyNumberFormat="1" applyFont="1" applyBorder="1"/>
    <xf numFmtId="0" fontId="15" fillId="0" borderId="0" xfId="0" applyFont="1" applyAlignment="1"/>
    <xf numFmtId="14" fontId="0" fillId="0" borderId="0" xfId="0" applyNumberFormat="1" applyFont="1" applyFill="1" applyBorder="1" applyAlignment="1" applyProtection="1"/>
    <xf numFmtId="0" fontId="0" fillId="0" borderId="0" xfId="0" applyNumberFormat="1" applyFont="1" applyFill="1" applyBorder="1" applyAlignment="1" applyProtection="1"/>
    <xf numFmtId="0" fontId="0" fillId="0" borderId="0" xfId="0" applyFont="1" applyFill="1" applyAlignment="1"/>
    <xf numFmtId="0" fontId="15" fillId="0" borderId="0" xfId="3" applyNumberFormat="1" applyFont="1" applyFill="1" applyAlignment="1">
      <alignment vertical="top" wrapText="1"/>
    </xf>
    <xf numFmtId="0" fontId="15" fillId="0" borderId="0" xfId="3" applyNumberFormat="1" applyFont="1" applyFill="1" applyAlignment="1" applyProtection="1">
      <alignment vertical="top" wrapText="1"/>
      <protection locked="0"/>
    </xf>
    <xf numFmtId="0" fontId="15" fillId="0" borderId="0" xfId="3" applyNumberFormat="1" applyFont="1" applyAlignment="1" applyProtection="1">
      <alignment vertical="top" wrapText="1"/>
      <protection locked="0"/>
    </xf>
    <xf numFmtId="0" fontId="15" fillId="0" borderId="26" xfId="3" applyNumberFormat="1" applyFont="1" applyBorder="1" applyAlignment="1">
      <alignment horizontal="center"/>
    </xf>
    <xf numFmtId="0" fontId="15" fillId="0" borderId="19" xfId="3" applyNumberFormat="1" applyFont="1" applyBorder="1" applyAlignment="1">
      <alignment horizontal="center"/>
    </xf>
    <xf numFmtId="0" fontId="15" fillId="0" borderId="10" xfId="3" applyNumberFormat="1" applyFont="1" applyBorder="1" applyAlignment="1">
      <alignment horizontal="center"/>
    </xf>
    <xf numFmtId="3" fontId="15" fillId="0" borderId="0" xfId="3" applyNumberFormat="1" applyFont="1" applyAlignment="1">
      <alignment horizontal="right"/>
    </xf>
    <xf numFmtId="0" fontId="15" fillId="0" borderId="0" xfId="0" quotePrefix="1" applyFont="1" applyAlignment="1">
      <alignment horizontal="left" wrapText="1"/>
    </xf>
    <xf numFmtId="0" fontId="15" fillId="0" borderId="0" xfId="0" applyFont="1" applyAlignment="1"/>
    <xf numFmtId="0" fontId="15" fillId="0" borderId="0" xfId="0" applyFont="1" applyAlignment="1">
      <alignment horizontal="center"/>
    </xf>
    <xf numFmtId="0" fontId="43" fillId="0" borderId="0" xfId="19" applyFont="1" applyAlignment="1">
      <alignment horizontal="center"/>
    </xf>
    <xf numFmtId="166" fontId="62" fillId="0" borderId="0" xfId="20" quotePrefix="1" applyNumberFormat="1" applyFont="1" applyAlignment="1" applyProtection="1"/>
    <xf numFmtId="0" fontId="15" fillId="0" borderId="0" xfId="0" applyFont="1" applyFill="1" applyAlignment="1">
      <alignment horizontal="left" wrapText="1"/>
    </xf>
    <xf numFmtId="0" fontId="15" fillId="0" borderId="0" xfId="5" applyNumberFormat="1" applyFont="1" applyFill="1" applyAlignment="1"/>
    <xf numFmtId="0" fontId="15" fillId="0" borderId="29" xfId="0" applyFont="1" applyBorder="1" applyAlignment="1">
      <alignment horizontal="center"/>
    </xf>
    <xf numFmtId="0" fontId="15" fillId="0" borderId="0" xfId="0" applyFont="1" applyAlignment="1">
      <alignment wrapText="1"/>
    </xf>
    <xf numFmtId="0" fontId="17" fillId="0" borderId="1" xfId="0" applyFont="1" applyBorder="1" applyAlignment="1">
      <alignment horizontal="center"/>
    </xf>
    <xf numFmtId="0" fontId="8" fillId="0" borderId="0" xfId="0" applyFont="1" applyAlignment="1">
      <alignment horizontal="center"/>
    </xf>
    <xf numFmtId="0" fontId="6" fillId="0" borderId="0" xfId="0" applyFont="1" applyAlignment="1">
      <alignment horizontal="center"/>
    </xf>
    <xf numFmtId="14" fontId="8" fillId="0" borderId="0" xfId="0" applyNumberFormat="1" applyFont="1" applyAlignment="1">
      <alignment horizontal="center"/>
    </xf>
    <xf numFmtId="0" fontId="7" fillId="0" borderId="1" xfId="0" applyFont="1" applyBorder="1" applyAlignment="1">
      <alignment horizontal="center"/>
    </xf>
    <xf numFmtId="0" fontId="4" fillId="0" borderId="0" xfId="0" applyFont="1" applyAlignment="1">
      <alignment horizontal="center"/>
    </xf>
    <xf numFmtId="0" fontId="5" fillId="0" borderId="1" xfId="0" applyFont="1" applyBorder="1" applyAlignment="1">
      <alignment horizontal="center"/>
    </xf>
    <xf numFmtId="0" fontId="0" fillId="0" borderId="26" xfId="0" applyBorder="1" applyAlignment="1">
      <alignment horizontal="left"/>
    </xf>
    <xf numFmtId="0" fontId="0" fillId="0" borderId="19" xfId="0" applyBorder="1" applyAlignment="1">
      <alignment horizontal="left"/>
    </xf>
    <xf numFmtId="175" fontId="24" fillId="0" borderId="0" xfId="4" applyFont="1" applyFill="1" applyAlignment="1">
      <alignment horizontal="center"/>
    </xf>
    <xf numFmtId="175" fontId="25" fillId="0" borderId="0" xfId="4" applyFont="1" applyFill="1" applyAlignment="1">
      <alignment horizontal="center"/>
    </xf>
    <xf numFmtId="175" fontId="25" fillId="0" borderId="0" xfId="4" applyFont="1" applyAlignment="1">
      <alignment horizontal="center"/>
    </xf>
    <xf numFmtId="0" fontId="3" fillId="0" borderId="0" xfId="5" applyAlignment="1">
      <alignment horizontal="center"/>
    </xf>
    <xf numFmtId="0" fontId="41" fillId="0" borderId="0" xfId="5" applyFont="1" applyAlignment="1">
      <alignment horizontal="center"/>
    </xf>
  </cellXfs>
  <cellStyles count="22">
    <cellStyle name="Comma" xfId="1" builtinId="3"/>
    <cellStyle name="Comma 2" xfId="6"/>
    <cellStyle name="Comma 2 2" xfId="13"/>
    <cellStyle name="Comma 2 3" xfId="15"/>
    <cellStyle name="Currency" xfId="2" builtinId="4"/>
    <cellStyle name="Currency 2" xfId="8"/>
    <cellStyle name="Currency 3" xfId="9"/>
    <cellStyle name="Currency 3 2" xfId="11"/>
    <cellStyle name="Currency 3 3" xfId="16"/>
    <cellStyle name="Hyperlink" xfId="20" builtinId="8"/>
    <cellStyle name="Normal" xfId="0" builtinId="0"/>
    <cellStyle name="Normal 10 2" xfId="18"/>
    <cellStyle name="Normal 2" xfId="3"/>
    <cellStyle name="Normal 2 2" xfId="7"/>
    <cellStyle name="Normal 3" xfId="5"/>
    <cellStyle name="Normal 3 2" xfId="12"/>
    <cellStyle name="Normal 3 3" xfId="14"/>
    <cellStyle name="Normal 8" xfId="19"/>
    <cellStyle name="Normal_Debt Service" xfId="4"/>
    <cellStyle name="Normal_Elk River 2006 work papers 2" xfId="10"/>
    <cellStyle name="Percent" xfId="17" builtinId="5"/>
    <cellStyle name="Percent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37"/>
  <sheetViews>
    <sheetView tabSelected="1" zoomScale="80" zoomScaleNormal="80" zoomScaleSheetLayoutView="85" workbookViewId="0"/>
  </sheetViews>
  <sheetFormatPr defaultColWidth="9.140625" defaultRowHeight="15.75"/>
  <cols>
    <col min="1" max="1" width="7.7109375" style="138" customWidth="1"/>
    <col min="2" max="2" width="36.5703125" style="138" customWidth="1"/>
    <col min="3" max="3" width="41.85546875" style="138" customWidth="1"/>
    <col min="4" max="4" width="15.28515625" style="138" customWidth="1"/>
    <col min="5" max="5" width="6.28515625" style="138" customWidth="1"/>
    <col min="6" max="6" width="6" style="138" customWidth="1"/>
    <col min="7" max="7" width="10.28515625" style="138" customWidth="1"/>
    <col min="8" max="8" width="5" style="138" customWidth="1"/>
    <col min="9" max="9" width="14" style="138" customWidth="1"/>
    <col min="10" max="10" width="2.7109375" style="138" customWidth="1"/>
    <col min="11" max="11" width="11.85546875" style="138" customWidth="1"/>
    <col min="12" max="13" width="9.140625" style="138"/>
    <col min="14" max="14" width="21.5703125" style="138" customWidth="1"/>
    <col min="15" max="16384" width="9.140625" style="138"/>
  </cols>
  <sheetData>
    <row r="1" spans="1:16">
      <c r="K1" s="139" t="s">
        <v>186</v>
      </c>
    </row>
    <row r="2" spans="1:16">
      <c r="B2" s="140"/>
      <c r="C2" s="140"/>
      <c r="D2" s="141"/>
      <c r="E2" s="140"/>
      <c r="F2" s="140"/>
      <c r="G2" s="140"/>
      <c r="H2" s="142"/>
      <c r="I2" s="143"/>
      <c r="K2" s="144" t="s">
        <v>187</v>
      </c>
      <c r="L2" s="143"/>
      <c r="N2" s="143"/>
      <c r="O2" s="143"/>
      <c r="P2" s="143"/>
    </row>
    <row r="3" spans="1:16">
      <c r="B3" s="140"/>
      <c r="C3" s="140"/>
      <c r="D3" s="141"/>
      <c r="E3" s="140"/>
      <c r="F3" s="140"/>
      <c r="G3" s="140"/>
      <c r="H3" s="142"/>
      <c r="I3" s="142"/>
      <c r="J3" s="143"/>
      <c r="K3" s="145"/>
      <c r="L3" s="143"/>
      <c r="N3" s="143"/>
      <c r="O3" s="143"/>
      <c r="P3" s="143"/>
    </row>
    <row r="4" spans="1:16">
      <c r="B4" s="140" t="s">
        <v>188</v>
      </c>
      <c r="C4" s="140"/>
      <c r="D4" s="141" t="s">
        <v>189</v>
      </c>
      <c r="E4" s="140"/>
      <c r="F4" s="140"/>
      <c r="G4" s="140"/>
      <c r="H4" s="146"/>
      <c r="I4" s="147"/>
      <c r="J4" s="148"/>
      <c r="K4" s="149" t="s">
        <v>773</v>
      </c>
      <c r="L4" s="143"/>
      <c r="N4" s="143"/>
      <c r="O4" s="143"/>
      <c r="P4" s="143"/>
    </row>
    <row r="5" spans="1:16">
      <c r="B5" s="140"/>
      <c r="C5" s="150" t="s">
        <v>168</v>
      </c>
      <c r="D5" s="150" t="s">
        <v>190</v>
      </c>
      <c r="E5" s="150"/>
      <c r="F5" s="150"/>
      <c r="G5" s="150"/>
      <c r="H5" s="142"/>
      <c r="I5" s="142"/>
      <c r="J5" s="143"/>
      <c r="K5" s="143"/>
      <c r="L5" s="143"/>
      <c r="N5" s="143"/>
      <c r="O5" s="143"/>
      <c r="P5" s="143"/>
    </row>
    <row r="6" spans="1:16">
      <c r="B6" s="143"/>
      <c r="C6" s="143"/>
      <c r="D6" s="143"/>
      <c r="E6" s="143"/>
      <c r="F6" s="143"/>
      <c r="G6" s="143"/>
      <c r="H6" s="143"/>
      <c r="I6" s="143"/>
      <c r="J6" s="143"/>
      <c r="K6" s="143"/>
      <c r="L6" s="143"/>
      <c r="N6" s="143"/>
      <c r="O6" s="143"/>
      <c r="P6" s="143"/>
    </row>
    <row r="7" spans="1:16">
      <c r="A7" s="151"/>
      <c r="B7" s="143"/>
      <c r="C7" s="143"/>
      <c r="D7" s="152" t="s">
        <v>180</v>
      </c>
      <c r="E7" s="148"/>
      <c r="F7" s="143"/>
      <c r="G7" s="143"/>
      <c r="H7" s="143"/>
      <c r="I7" s="143"/>
      <c r="J7" s="143"/>
      <c r="K7" s="143"/>
      <c r="L7" s="143"/>
      <c r="N7" s="143"/>
      <c r="O7" s="143"/>
      <c r="P7" s="143"/>
    </row>
    <row r="8" spans="1:16">
      <c r="A8" s="151"/>
      <c r="B8" s="143"/>
      <c r="C8" s="143"/>
      <c r="D8" s="153"/>
      <c r="E8" s="143"/>
      <c r="F8" s="143"/>
      <c r="G8" s="143"/>
      <c r="H8" s="143"/>
      <c r="I8" s="143"/>
      <c r="J8" s="143"/>
      <c r="K8" s="143"/>
      <c r="L8" s="143"/>
      <c r="N8" s="143"/>
      <c r="O8" s="143"/>
      <c r="P8" s="143"/>
    </row>
    <row r="9" spans="1:16">
      <c r="A9" s="151" t="s">
        <v>1</v>
      </c>
      <c r="B9" s="143"/>
      <c r="C9" s="143"/>
      <c r="D9" s="153"/>
      <c r="E9" s="143"/>
      <c r="F9" s="143"/>
      <c r="G9" s="143"/>
      <c r="H9" s="143"/>
      <c r="I9" s="151" t="s">
        <v>191</v>
      </c>
      <c r="J9" s="143"/>
      <c r="K9" s="143"/>
      <c r="L9" s="143"/>
      <c r="N9" s="143"/>
      <c r="O9" s="143"/>
      <c r="P9" s="143"/>
    </row>
    <row r="10" spans="1:16" ht="16.5" thickBot="1">
      <c r="A10" s="154" t="s">
        <v>2</v>
      </c>
      <c r="B10" s="143"/>
      <c r="C10" s="143"/>
      <c r="D10" s="143"/>
      <c r="E10" s="143"/>
      <c r="F10" s="143"/>
      <c r="G10" s="143"/>
      <c r="H10" s="143"/>
      <c r="I10" s="154" t="s">
        <v>91</v>
      </c>
      <c r="J10" s="143"/>
      <c r="K10" s="143"/>
      <c r="L10" s="143"/>
      <c r="N10" s="143"/>
      <c r="O10" s="143"/>
      <c r="P10" s="143"/>
    </row>
    <row r="11" spans="1:16">
      <c r="A11" s="151">
        <v>1</v>
      </c>
      <c r="B11" s="143" t="s">
        <v>192</v>
      </c>
      <c r="C11" s="143"/>
      <c r="D11" s="155"/>
      <c r="E11" s="143"/>
      <c r="F11" s="143"/>
      <c r="G11" s="143"/>
      <c r="H11" s="143"/>
      <c r="I11" s="156">
        <f>+I197</f>
        <v>3700940.6931413449</v>
      </c>
      <c r="J11" s="143"/>
      <c r="K11" s="143"/>
      <c r="L11" s="143"/>
      <c r="N11" s="143"/>
      <c r="O11" s="143"/>
      <c r="P11" s="143"/>
    </row>
    <row r="12" spans="1:16">
      <c r="A12" s="151"/>
      <c r="B12" s="143"/>
      <c r="C12" s="143"/>
      <c r="D12" s="143"/>
      <c r="E12" s="143"/>
      <c r="F12" s="143"/>
      <c r="G12" s="143"/>
      <c r="H12" s="143"/>
      <c r="I12" s="155"/>
      <c r="J12" s="143"/>
      <c r="K12" s="143"/>
      <c r="L12" s="143"/>
      <c r="N12" s="143"/>
      <c r="O12" s="143"/>
      <c r="P12" s="143"/>
    </row>
    <row r="13" spans="1:16" ht="16.5" thickBot="1">
      <c r="A13" s="151" t="s">
        <v>168</v>
      </c>
      <c r="B13" s="157" t="s">
        <v>193</v>
      </c>
      <c r="C13" s="150" t="s">
        <v>194</v>
      </c>
      <c r="D13" s="154" t="s">
        <v>141</v>
      </c>
      <c r="E13" s="150"/>
      <c r="F13" s="158" t="s">
        <v>195</v>
      </c>
      <c r="G13" s="158"/>
      <c r="H13" s="143"/>
      <c r="I13" s="155"/>
      <c r="J13" s="143"/>
      <c r="K13" s="143"/>
      <c r="L13" s="143"/>
      <c r="N13" s="143"/>
      <c r="O13" s="143"/>
      <c r="P13" s="143"/>
    </row>
    <row r="14" spans="1:16">
      <c r="A14" s="151">
        <v>2</v>
      </c>
      <c r="B14" s="157" t="s">
        <v>196</v>
      </c>
      <c r="C14" s="150" t="s">
        <v>197</v>
      </c>
      <c r="D14" s="150">
        <f>I257</f>
        <v>37020</v>
      </c>
      <c r="E14" s="150"/>
      <c r="F14" s="150" t="s">
        <v>198</v>
      </c>
      <c r="G14" s="159">
        <f>I216</f>
        <v>0.88515262425777208</v>
      </c>
      <c r="H14" s="150"/>
      <c r="I14" s="150">
        <f>+G14*D14</f>
        <v>32768.350150022721</v>
      </c>
      <c r="J14" s="143"/>
      <c r="K14" s="143"/>
      <c r="L14" s="143"/>
      <c r="N14" s="143"/>
      <c r="O14" s="143"/>
      <c r="P14" s="143"/>
    </row>
    <row r="15" spans="1:16">
      <c r="A15" s="151">
        <v>3</v>
      </c>
      <c r="B15" s="157" t="s">
        <v>199</v>
      </c>
      <c r="C15" s="150" t="s">
        <v>200</v>
      </c>
      <c r="D15" s="150">
        <f>I264</f>
        <v>0</v>
      </c>
      <c r="E15" s="150"/>
      <c r="F15" s="150" t="str">
        <f>+F14</f>
        <v>TP</v>
      </c>
      <c r="G15" s="159">
        <f>+G14</f>
        <v>0.88515262425777208</v>
      </c>
      <c r="H15" s="150"/>
      <c r="I15" s="150">
        <f>+G15*D15</f>
        <v>0</v>
      </c>
      <c r="J15" s="143"/>
      <c r="K15" s="143"/>
      <c r="N15" s="143"/>
      <c r="O15" s="143"/>
      <c r="P15" s="143"/>
    </row>
    <row r="16" spans="1:16">
      <c r="A16" s="151">
        <v>4</v>
      </c>
      <c r="B16" s="157" t="s">
        <v>201</v>
      </c>
      <c r="C16" s="150"/>
      <c r="D16" s="160">
        <v>0</v>
      </c>
      <c r="E16" s="150"/>
      <c r="F16" s="150" t="s">
        <v>198</v>
      </c>
      <c r="G16" s="159">
        <f>+G14</f>
        <v>0.88515262425777208</v>
      </c>
      <c r="H16" s="150"/>
      <c r="I16" s="150">
        <f>+G16*D16</f>
        <v>0</v>
      </c>
      <c r="J16" s="143"/>
      <c r="K16" s="143"/>
      <c r="L16" s="161" t="s">
        <v>202</v>
      </c>
      <c r="N16" s="143"/>
      <c r="O16" s="143"/>
      <c r="P16" s="143"/>
    </row>
    <row r="17" spans="1:16" ht="16.5" thickBot="1">
      <c r="A17" s="151">
        <v>5</v>
      </c>
      <c r="B17" s="157" t="s">
        <v>203</v>
      </c>
      <c r="C17" s="150"/>
      <c r="D17" s="160">
        <v>0</v>
      </c>
      <c r="E17" s="150"/>
      <c r="F17" s="150" t="s">
        <v>198</v>
      </c>
      <c r="G17" s="159">
        <f>+G14</f>
        <v>0.88515262425777208</v>
      </c>
      <c r="H17" s="150"/>
      <c r="I17" s="162">
        <f>+G17*D17</f>
        <v>0</v>
      </c>
      <c r="J17" s="143"/>
      <c r="K17" s="143"/>
      <c r="L17" s="161" t="s">
        <v>204</v>
      </c>
      <c r="N17" s="143"/>
      <c r="O17" s="143"/>
      <c r="P17" s="143"/>
    </row>
    <row r="18" spans="1:16">
      <c r="A18" s="151">
        <v>6</v>
      </c>
      <c r="B18" s="157" t="s">
        <v>205</v>
      </c>
      <c r="C18" s="143"/>
      <c r="D18" s="163" t="s">
        <v>168</v>
      </c>
      <c r="E18" s="150"/>
      <c r="F18" s="150"/>
      <c r="G18" s="159"/>
      <c r="H18" s="150"/>
      <c r="I18" s="150">
        <f>SUM(I14:I17)</f>
        <v>32768.350150022721</v>
      </c>
      <c r="J18" s="143"/>
      <c r="K18" s="143"/>
      <c r="L18" s="143"/>
      <c r="N18" s="143"/>
      <c r="O18" s="143"/>
      <c r="P18" s="143"/>
    </row>
    <row r="19" spans="1:16">
      <c r="A19" s="151"/>
      <c r="B19" s="157"/>
      <c r="C19" s="143"/>
      <c r="I19" s="150"/>
      <c r="J19" s="143"/>
      <c r="K19" s="143"/>
      <c r="L19" s="143"/>
      <c r="N19" s="143"/>
      <c r="O19" s="143"/>
      <c r="P19" s="143"/>
    </row>
    <row r="20" spans="1:16" ht="16.5" thickBot="1">
      <c r="A20" s="151">
        <v>7</v>
      </c>
      <c r="B20" s="157" t="s">
        <v>206</v>
      </c>
      <c r="C20" s="143" t="s">
        <v>207</v>
      </c>
      <c r="D20" s="163" t="s">
        <v>168</v>
      </c>
      <c r="E20" s="150"/>
      <c r="F20" s="150"/>
      <c r="G20" s="150"/>
      <c r="H20" s="150"/>
      <c r="I20" s="164">
        <f>+I11-I18</f>
        <v>3668172.3429913223</v>
      </c>
      <c r="J20" s="143"/>
      <c r="K20" s="143"/>
      <c r="L20" s="143"/>
      <c r="N20" s="143"/>
      <c r="O20" s="143"/>
      <c r="P20" s="143"/>
    </row>
    <row r="21" spans="1:16" ht="16.5" thickTop="1">
      <c r="A21" s="151"/>
      <c r="B21" s="157"/>
      <c r="C21" s="150"/>
      <c r="I21" s="150"/>
      <c r="J21" s="143"/>
      <c r="K21" s="143"/>
      <c r="L21" s="143"/>
      <c r="N21" s="143"/>
      <c r="O21" s="143"/>
      <c r="P21" s="143"/>
    </row>
    <row r="22" spans="1:16">
      <c r="A22" s="151" t="s">
        <v>168</v>
      </c>
      <c r="B22" s="157" t="s">
        <v>208</v>
      </c>
      <c r="C22" s="143"/>
      <c r="D22" s="155"/>
      <c r="E22" s="143"/>
      <c r="F22" s="143"/>
      <c r="G22" s="143"/>
      <c r="H22" s="143"/>
      <c r="I22" s="155"/>
      <c r="J22" s="143"/>
      <c r="K22" s="143"/>
      <c r="L22" s="143"/>
      <c r="N22" s="143"/>
      <c r="O22" s="143"/>
      <c r="P22" s="143"/>
    </row>
    <row r="23" spans="1:16">
      <c r="A23" s="151">
        <v>8</v>
      </c>
      <c r="B23" s="157" t="s">
        <v>209</v>
      </c>
      <c r="D23" s="155"/>
      <c r="E23" s="143"/>
      <c r="F23" s="143"/>
      <c r="G23" s="142" t="s">
        <v>210</v>
      </c>
      <c r="H23" s="143"/>
      <c r="I23" s="160">
        <f>'Attachment O, page 1'!B23</f>
        <v>13583.333333333334</v>
      </c>
      <c r="J23" s="143"/>
      <c r="K23" s="143"/>
      <c r="L23" s="165"/>
      <c r="O23" s="143"/>
      <c r="P23" s="143"/>
    </row>
    <row r="24" spans="1:16">
      <c r="A24" s="151">
        <v>9</v>
      </c>
      <c r="B24" s="157" t="s">
        <v>211</v>
      </c>
      <c r="C24" s="150"/>
      <c r="D24" s="150"/>
      <c r="E24" s="150"/>
      <c r="F24" s="150"/>
      <c r="G24" s="150" t="s">
        <v>212</v>
      </c>
      <c r="H24" s="150"/>
      <c r="I24" s="160">
        <v>0</v>
      </c>
      <c r="J24" s="143"/>
      <c r="K24" s="143"/>
      <c r="L24" s="143"/>
      <c r="O24" s="143"/>
      <c r="P24" s="143"/>
    </row>
    <row r="25" spans="1:16">
      <c r="A25" s="151">
        <v>10</v>
      </c>
      <c r="B25" s="157" t="s">
        <v>213</v>
      </c>
      <c r="C25" s="143"/>
      <c r="D25" s="143"/>
      <c r="E25" s="143"/>
      <c r="F25" s="143"/>
      <c r="G25" s="142" t="s">
        <v>214</v>
      </c>
      <c r="H25" s="143"/>
      <c r="I25" s="160">
        <v>0</v>
      </c>
      <c r="J25" s="143"/>
      <c r="K25" s="143"/>
      <c r="L25" s="143"/>
      <c r="O25" s="143"/>
      <c r="P25" s="143"/>
    </row>
    <row r="26" spans="1:16">
      <c r="A26" s="151">
        <v>11</v>
      </c>
      <c r="B26" s="166" t="s">
        <v>215</v>
      </c>
      <c r="C26" s="143"/>
      <c r="D26" s="143"/>
      <c r="E26" s="143"/>
      <c r="F26" s="143"/>
      <c r="G26" s="142" t="s">
        <v>216</v>
      </c>
      <c r="H26" s="143"/>
      <c r="I26" s="160">
        <v>0</v>
      </c>
      <c r="J26" s="143"/>
      <c r="K26" s="143"/>
      <c r="L26" s="143"/>
      <c r="O26" s="143"/>
      <c r="P26" s="143"/>
    </row>
    <row r="27" spans="1:16">
      <c r="A27" s="151">
        <v>12</v>
      </c>
      <c r="B27" s="166" t="s">
        <v>217</v>
      </c>
      <c r="C27" s="143"/>
      <c r="D27" s="143"/>
      <c r="E27" s="143"/>
      <c r="F27" s="143"/>
      <c r="G27" s="142"/>
      <c r="H27" s="143"/>
      <c r="I27" s="160">
        <v>0</v>
      </c>
      <c r="J27" s="143"/>
      <c r="K27" s="143"/>
      <c r="L27" s="143"/>
      <c r="O27" s="143"/>
      <c r="P27" s="143"/>
    </row>
    <row r="28" spans="1:16">
      <c r="A28" s="151">
        <v>13</v>
      </c>
      <c r="B28" s="166" t="s">
        <v>218</v>
      </c>
      <c r="C28" s="143"/>
      <c r="D28" s="143"/>
      <c r="E28" s="143"/>
      <c r="F28" s="143"/>
      <c r="G28" s="142"/>
      <c r="H28" s="143"/>
      <c r="I28" s="167">
        <v>0</v>
      </c>
      <c r="J28" s="143"/>
      <c r="K28" s="143"/>
      <c r="L28" s="143"/>
      <c r="O28" s="143"/>
      <c r="P28" s="143"/>
    </row>
    <row r="29" spans="1:16" ht="16.5" thickBot="1">
      <c r="A29" s="151">
        <v>14</v>
      </c>
      <c r="B29" s="140" t="s">
        <v>219</v>
      </c>
      <c r="C29" s="143"/>
      <c r="D29" s="143"/>
      <c r="E29" s="143"/>
      <c r="F29" s="143"/>
      <c r="G29" s="143"/>
      <c r="H29" s="143"/>
      <c r="I29" s="168">
        <v>0</v>
      </c>
      <c r="J29" s="143"/>
      <c r="K29" s="143"/>
      <c r="L29" s="143"/>
      <c r="O29" s="143"/>
      <c r="P29" s="143"/>
    </row>
    <row r="30" spans="1:16">
      <c r="A30" s="151">
        <v>15</v>
      </c>
      <c r="B30" s="157" t="s">
        <v>220</v>
      </c>
      <c r="C30" s="143"/>
      <c r="D30" s="143"/>
      <c r="E30" s="143"/>
      <c r="F30" s="143"/>
      <c r="G30" s="143"/>
      <c r="H30" s="143"/>
      <c r="I30" s="155">
        <f>SUM(I23:I29)</f>
        <v>13583.333333333334</v>
      </c>
      <c r="J30" s="143"/>
      <c r="K30" s="143"/>
      <c r="L30" s="143"/>
      <c r="O30" s="143"/>
      <c r="P30" s="143"/>
    </row>
    <row r="31" spans="1:16">
      <c r="A31" s="151"/>
      <c r="B31" s="157"/>
      <c r="C31" s="143"/>
      <c r="D31" s="143"/>
      <c r="E31" s="143"/>
      <c r="F31" s="143"/>
      <c r="G31" s="143"/>
      <c r="H31" s="143"/>
      <c r="I31" s="155"/>
      <c r="J31" s="143"/>
      <c r="K31" s="143"/>
      <c r="L31" s="143"/>
      <c r="N31" s="143"/>
      <c r="O31" s="143"/>
      <c r="P31" s="143"/>
    </row>
    <row r="32" spans="1:16">
      <c r="A32" s="151">
        <v>16</v>
      </c>
      <c r="B32" s="157" t="s">
        <v>221</v>
      </c>
      <c r="C32" s="143" t="s">
        <v>222</v>
      </c>
      <c r="D32" s="169">
        <f>IF(I30&gt;0,I20/I30,0)</f>
        <v>270.0494976435329</v>
      </c>
      <c r="E32" s="143"/>
      <c r="F32" s="143"/>
      <c r="G32" s="143"/>
      <c r="H32" s="143"/>
      <c r="J32" s="143"/>
      <c r="K32" s="143"/>
      <c r="L32" s="143"/>
      <c r="N32" s="143"/>
      <c r="O32" s="143"/>
      <c r="P32" s="143"/>
    </row>
    <row r="33" spans="1:16">
      <c r="A33" s="151">
        <v>17</v>
      </c>
      <c r="B33" s="157" t="s">
        <v>223</v>
      </c>
      <c r="C33" s="143"/>
      <c r="D33" s="169">
        <f>+D32/12</f>
        <v>22.504124803627743</v>
      </c>
      <c r="E33" s="143"/>
      <c r="F33" s="143"/>
      <c r="G33" s="143"/>
      <c r="H33" s="143"/>
      <c r="J33" s="143"/>
      <c r="K33" s="143"/>
      <c r="L33" s="143"/>
      <c r="N33" s="143"/>
      <c r="O33" s="143"/>
      <c r="P33" s="143"/>
    </row>
    <row r="34" spans="1:16">
      <c r="A34" s="151"/>
      <c r="B34" s="157"/>
      <c r="C34" s="143"/>
      <c r="D34" s="169"/>
      <c r="E34" s="143"/>
      <c r="F34" s="143"/>
      <c r="G34" s="143"/>
      <c r="H34" s="143"/>
      <c r="J34" s="143"/>
      <c r="K34" s="143"/>
      <c r="L34" s="143"/>
      <c r="N34" s="143"/>
      <c r="O34" s="143"/>
      <c r="P34" s="143"/>
    </row>
    <row r="35" spans="1:16">
      <c r="A35" s="151"/>
      <c r="B35" s="157"/>
      <c r="C35" s="143"/>
      <c r="D35" s="170" t="s">
        <v>224</v>
      </c>
      <c r="E35" s="143"/>
      <c r="F35" s="143"/>
      <c r="G35" s="143"/>
      <c r="H35" s="143"/>
      <c r="I35" s="171" t="s">
        <v>225</v>
      </c>
      <c r="J35" s="143"/>
      <c r="K35" s="143"/>
      <c r="L35" s="143"/>
      <c r="N35" s="143"/>
      <c r="O35" s="143"/>
      <c r="P35" s="143"/>
    </row>
    <row r="36" spans="1:16">
      <c r="A36" s="151">
        <v>18</v>
      </c>
      <c r="B36" s="157" t="s">
        <v>226</v>
      </c>
      <c r="C36" s="143" t="s">
        <v>227</v>
      </c>
      <c r="D36" s="169">
        <f>+D32/52</f>
        <v>5.1932595700679407</v>
      </c>
      <c r="E36" s="143"/>
      <c r="F36" s="143"/>
      <c r="G36" s="143"/>
      <c r="H36" s="143"/>
      <c r="I36" s="172">
        <f>+D32/52</f>
        <v>5.1932595700679407</v>
      </c>
      <c r="J36" s="143"/>
      <c r="K36" s="143"/>
      <c r="L36" s="143"/>
      <c r="N36" s="143"/>
      <c r="O36" s="143"/>
      <c r="P36" s="143"/>
    </row>
    <row r="37" spans="1:16">
      <c r="A37" s="151">
        <v>19</v>
      </c>
      <c r="B37" s="157" t="s">
        <v>228</v>
      </c>
      <c r="C37" s="143" t="s">
        <v>229</v>
      </c>
      <c r="D37" s="169">
        <f>+D32/260</f>
        <v>1.0386519140135881</v>
      </c>
      <c r="E37" s="143" t="s">
        <v>230</v>
      </c>
      <c r="G37" s="143"/>
      <c r="H37" s="143"/>
      <c r="I37" s="172">
        <f>+D32/365</f>
        <v>0.73986163737954225</v>
      </c>
      <c r="J37" s="143"/>
      <c r="K37" s="143"/>
      <c r="L37" s="143"/>
      <c r="N37" s="143"/>
      <c r="O37" s="143"/>
      <c r="P37" s="143"/>
    </row>
    <row r="38" spans="1:16">
      <c r="A38" s="151">
        <v>20</v>
      </c>
      <c r="B38" s="157" t="s">
        <v>231</v>
      </c>
      <c r="C38" s="143" t="s">
        <v>232</v>
      </c>
      <c r="D38" s="169">
        <f>+D32/4160*1000</f>
        <v>64.915744625849257</v>
      </c>
      <c r="E38" s="143" t="s">
        <v>233</v>
      </c>
      <c r="G38" s="143"/>
      <c r="H38" s="143"/>
      <c r="I38" s="172">
        <f>+D32/8760*1000</f>
        <v>30.827568224147594</v>
      </c>
      <c r="J38" s="143"/>
      <c r="K38" s="143" t="s">
        <v>168</v>
      </c>
      <c r="L38" s="143"/>
      <c r="N38" s="143"/>
      <c r="O38" s="143"/>
      <c r="P38" s="143"/>
    </row>
    <row r="39" spans="1:16">
      <c r="A39" s="151"/>
      <c r="B39" s="157"/>
      <c r="C39" s="143" t="s">
        <v>234</v>
      </c>
      <c r="D39" s="143"/>
      <c r="E39" s="143" t="s">
        <v>235</v>
      </c>
      <c r="G39" s="143"/>
      <c r="H39" s="143"/>
      <c r="J39" s="143"/>
      <c r="K39" s="143" t="s">
        <v>168</v>
      </c>
      <c r="L39" s="143"/>
      <c r="N39" s="143"/>
      <c r="O39" s="143"/>
      <c r="P39" s="143"/>
    </row>
    <row r="40" spans="1:16">
      <c r="A40" s="151"/>
      <c r="B40" s="157"/>
      <c r="C40" s="143"/>
      <c r="D40" s="143"/>
      <c r="E40" s="143"/>
      <c r="G40" s="143"/>
      <c r="H40" s="143"/>
      <c r="J40" s="143"/>
      <c r="K40" s="143" t="s">
        <v>168</v>
      </c>
      <c r="L40" s="143"/>
      <c r="N40" s="143"/>
      <c r="O40" s="143"/>
      <c r="P40" s="143"/>
    </row>
    <row r="41" spans="1:16">
      <c r="A41" s="151">
        <v>21</v>
      </c>
      <c r="B41" s="157" t="s">
        <v>236</v>
      </c>
      <c r="C41" s="143" t="s">
        <v>237</v>
      </c>
      <c r="D41" s="173">
        <v>0</v>
      </c>
      <c r="E41" s="174" t="s">
        <v>238</v>
      </c>
      <c r="F41" s="174"/>
      <c r="G41" s="174"/>
      <c r="H41" s="174"/>
      <c r="I41" s="174">
        <f>D41</f>
        <v>0</v>
      </c>
      <c r="J41" s="174" t="s">
        <v>238</v>
      </c>
      <c r="K41" s="143"/>
      <c r="L41" s="143"/>
      <c r="N41" s="143"/>
      <c r="O41" s="143"/>
      <c r="P41" s="143"/>
    </row>
    <row r="42" spans="1:16">
      <c r="A42" s="151">
        <v>22</v>
      </c>
      <c r="B42" s="157"/>
      <c r="C42" s="143"/>
      <c r="D42" s="173">
        <v>0</v>
      </c>
      <c r="E42" s="174" t="s">
        <v>239</v>
      </c>
      <c r="F42" s="174"/>
      <c r="G42" s="174"/>
      <c r="H42" s="174"/>
      <c r="I42" s="174">
        <f>D42</f>
        <v>0</v>
      </c>
      <c r="J42" s="174" t="s">
        <v>239</v>
      </c>
      <c r="K42" s="143"/>
      <c r="L42" s="143"/>
      <c r="N42" s="143"/>
      <c r="O42" s="143"/>
      <c r="P42" s="143"/>
    </row>
    <row r="43" spans="1:16">
      <c r="J43" s="142"/>
      <c r="K43" s="143"/>
      <c r="L43" s="143"/>
      <c r="N43" s="143"/>
      <c r="O43" s="143"/>
      <c r="P43" s="143"/>
    </row>
    <row r="44" spans="1:16">
      <c r="J44" s="142"/>
      <c r="K44" s="143"/>
      <c r="L44" s="143"/>
      <c r="N44" s="143"/>
      <c r="O44" s="143"/>
      <c r="P44" s="143"/>
    </row>
    <row r="45" spans="1:16">
      <c r="J45" s="142"/>
      <c r="K45" s="143"/>
      <c r="L45" s="143"/>
      <c r="N45" s="143"/>
      <c r="O45" s="143"/>
      <c r="P45" s="143"/>
    </row>
    <row r="46" spans="1:16">
      <c r="J46" s="142"/>
      <c r="K46" s="143"/>
      <c r="L46" s="143"/>
      <c r="N46" s="143"/>
      <c r="O46" s="143"/>
      <c r="P46" s="143"/>
    </row>
    <row r="47" spans="1:16">
      <c r="J47" s="142"/>
      <c r="K47" s="143"/>
      <c r="L47" s="143"/>
      <c r="N47" s="143"/>
      <c r="O47" s="143"/>
      <c r="P47" s="143"/>
    </row>
    <row r="48" spans="1:16">
      <c r="J48" s="142"/>
      <c r="K48" s="143"/>
      <c r="L48" s="143"/>
      <c r="N48" s="143"/>
      <c r="O48" s="143"/>
      <c r="P48" s="143"/>
    </row>
    <row r="49" spans="10:16">
      <c r="J49" s="142"/>
      <c r="K49" s="143"/>
      <c r="L49" s="143"/>
      <c r="N49" s="143"/>
      <c r="O49" s="143"/>
      <c r="P49" s="143"/>
    </row>
    <row r="50" spans="10:16">
      <c r="J50" s="142"/>
      <c r="K50" s="143"/>
      <c r="L50" s="143"/>
      <c r="N50" s="143"/>
      <c r="O50" s="143"/>
      <c r="P50" s="143"/>
    </row>
    <row r="51" spans="10:16">
      <c r="J51" s="142"/>
      <c r="K51" s="143"/>
      <c r="L51" s="143"/>
      <c r="N51" s="143"/>
      <c r="O51" s="143"/>
      <c r="P51" s="143"/>
    </row>
    <row r="52" spans="10:16">
      <c r="J52" s="142"/>
      <c r="K52" s="143"/>
      <c r="L52" s="143"/>
      <c r="N52" s="143"/>
      <c r="O52" s="143"/>
      <c r="P52" s="143"/>
    </row>
    <row r="53" spans="10:16">
      <c r="J53" s="142"/>
      <c r="K53" s="143"/>
      <c r="L53" s="143"/>
      <c r="N53" s="143"/>
      <c r="O53" s="143"/>
      <c r="P53" s="143"/>
    </row>
    <row r="54" spans="10:16">
      <c r="J54" s="142"/>
      <c r="K54" s="143"/>
      <c r="L54" s="143"/>
      <c r="N54" s="143"/>
      <c r="O54" s="143"/>
      <c r="P54" s="143"/>
    </row>
    <row r="55" spans="10:16">
      <c r="J55" s="142"/>
      <c r="K55" s="143"/>
      <c r="L55" s="143"/>
      <c r="N55" s="143"/>
      <c r="O55" s="143"/>
      <c r="P55" s="143"/>
    </row>
    <row r="56" spans="10:16">
      <c r="J56" s="142"/>
      <c r="K56" s="143"/>
      <c r="L56" s="143"/>
      <c r="N56" s="143"/>
      <c r="O56" s="143"/>
      <c r="P56" s="143"/>
    </row>
    <row r="57" spans="10:16">
      <c r="J57" s="142"/>
      <c r="K57" s="143"/>
      <c r="L57" s="143"/>
      <c r="N57" s="143"/>
      <c r="O57" s="143"/>
      <c r="P57" s="143"/>
    </row>
    <row r="58" spans="10:16">
      <c r="J58" s="142"/>
      <c r="K58" s="143"/>
      <c r="L58" s="143"/>
      <c r="N58" s="143"/>
      <c r="O58" s="143"/>
      <c r="P58" s="143"/>
    </row>
    <row r="59" spans="10:16">
      <c r="J59" s="142"/>
      <c r="K59" s="143"/>
      <c r="L59" s="143"/>
      <c r="N59" s="143"/>
      <c r="O59" s="143"/>
      <c r="P59" s="143"/>
    </row>
    <row r="60" spans="10:16">
      <c r="J60" s="142"/>
      <c r="K60" s="143"/>
      <c r="L60" s="143"/>
      <c r="N60" s="143"/>
      <c r="O60" s="143"/>
      <c r="P60" s="143"/>
    </row>
    <row r="61" spans="10:16">
      <c r="J61" s="142"/>
      <c r="K61" s="143"/>
      <c r="L61" s="143"/>
      <c r="N61" s="143"/>
      <c r="O61" s="143"/>
      <c r="P61" s="143"/>
    </row>
    <row r="62" spans="10:16">
      <c r="J62" s="142"/>
      <c r="K62" s="143"/>
      <c r="L62" s="143"/>
      <c r="N62" s="143"/>
      <c r="O62" s="143"/>
      <c r="P62" s="143"/>
    </row>
    <row r="63" spans="10:16">
      <c r="J63" s="142"/>
      <c r="K63" s="143"/>
      <c r="L63" s="143"/>
      <c r="N63" s="143"/>
      <c r="O63" s="143"/>
      <c r="P63" s="143"/>
    </row>
    <row r="64" spans="10:16">
      <c r="J64" s="142"/>
      <c r="K64" s="143"/>
      <c r="L64" s="143"/>
      <c r="N64" s="143"/>
      <c r="O64" s="143"/>
      <c r="P64" s="143"/>
    </row>
    <row r="65" spans="1:16">
      <c r="J65" s="142"/>
      <c r="K65" s="143"/>
      <c r="L65" s="143"/>
      <c r="N65" s="143"/>
      <c r="O65" s="143"/>
      <c r="P65" s="143"/>
    </row>
    <row r="66" spans="1:16">
      <c r="J66" s="142"/>
      <c r="K66" s="143"/>
      <c r="L66" s="143"/>
      <c r="N66" s="143"/>
      <c r="O66" s="143"/>
      <c r="P66" s="143"/>
    </row>
    <row r="67" spans="1:16">
      <c r="J67" s="142"/>
      <c r="K67" s="143"/>
      <c r="L67" s="143"/>
      <c r="N67" s="143"/>
      <c r="O67" s="143"/>
      <c r="P67" s="143"/>
    </row>
    <row r="68" spans="1:16">
      <c r="J68" s="142"/>
      <c r="K68" s="139" t="s">
        <v>186</v>
      </c>
      <c r="L68" s="143"/>
      <c r="N68" s="143"/>
      <c r="O68" s="143"/>
      <c r="P68" s="143"/>
    </row>
    <row r="69" spans="1:16">
      <c r="B69" s="140"/>
      <c r="C69" s="140"/>
      <c r="D69" s="141"/>
      <c r="E69" s="140"/>
      <c r="F69" s="140"/>
      <c r="G69" s="140"/>
      <c r="H69" s="142"/>
      <c r="I69" s="142"/>
      <c r="K69" s="144" t="s">
        <v>240</v>
      </c>
      <c r="L69" s="144"/>
      <c r="N69" s="143"/>
      <c r="O69" s="143"/>
      <c r="P69" s="143"/>
    </row>
    <row r="70" spans="1:16">
      <c r="B70" s="143"/>
      <c r="C70" s="143"/>
      <c r="D70" s="143"/>
      <c r="E70" s="143"/>
      <c r="F70" s="143"/>
      <c r="G70" s="143"/>
      <c r="H70" s="143"/>
      <c r="I70" s="143"/>
      <c r="J70" s="143"/>
      <c r="K70" s="143"/>
      <c r="L70" s="143"/>
      <c r="N70" s="143"/>
      <c r="O70" s="143"/>
      <c r="P70" s="143"/>
    </row>
    <row r="71" spans="1:16">
      <c r="B71" s="157" t="str">
        <f>B4</f>
        <v xml:space="preserve">Formula Rate - Non-Levelized </v>
      </c>
      <c r="C71" s="157"/>
      <c r="D71" s="175" t="str">
        <f>D4</f>
        <v xml:space="preserve">   Rate Formula Template</v>
      </c>
      <c r="E71" s="157"/>
      <c r="F71" s="157"/>
      <c r="G71" s="157"/>
      <c r="H71" s="157"/>
      <c r="J71" s="157"/>
      <c r="K71" s="144" t="str">
        <f>K4</f>
        <v>For the 12 months ended 12/31/2013</v>
      </c>
      <c r="L71" s="143"/>
      <c r="N71" s="157"/>
      <c r="O71" s="157"/>
      <c r="P71" s="157"/>
    </row>
    <row r="72" spans="1:16">
      <c r="B72" s="157"/>
      <c r="C72" s="150" t="s">
        <v>168</v>
      </c>
      <c r="D72" s="150" t="str">
        <f>D5</f>
        <v>Utilizing EIA Form 412 Data</v>
      </c>
      <c r="E72" s="150"/>
      <c r="F72" s="150"/>
      <c r="G72" s="150"/>
      <c r="H72" s="150"/>
      <c r="I72" s="150"/>
      <c r="J72" s="150"/>
      <c r="K72" s="150"/>
      <c r="L72" s="143"/>
      <c r="N72" s="143"/>
      <c r="O72" s="150"/>
      <c r="P72" s="157"/>
    </row>
    <row r="73" spans="1:16">
      <c r="B73" s="157"/>
      <c r="C73" s="150" t="s">
        <v>168</v>
      </c>
      <c r="D73" s="150" t="s">
        <v>168</v>
      </c>
      <c r="E73" s="150"/>
      <c r="F73" s="150"/>
      <c r="G73" s="150" t="s">
        <v>168</v>
      </c>
      <c r="H73" s="150"/>
      <c r="I73" s="150"/>
      <c r="J73" s="150"/>
      <c r="K73" s="150"/>
      <c r="L73" s="157"/>
      <c r="N73" s="150"/>
      <c r="O73" s="150"/>
      <c r="P73" s="157"/>
    </row>
    <row r="74" spans="1:16">
      <c r="B74" s="157"/>
      <c r="C74" s="143"/>
      <c r="D74" s="150" t="str">
        <f>D7</f>
        <v>Rochester Public Utilities</v>
      </c>
      <c r="E74" s="150"/>
      <c r="F74" s="150"/>
      <c r="G74" s="150"/>
      <c r="H74" s="150"/>
      <c r="I74" s="150"/>
      <c r="J74" s="150"/>
      <c r="K74" s="150"/>
      <c r="L74" s="157"/>
      <c r="N74" s="150"/>
      <c r="O74" s="150"/>
      <c r="P74" s="157"/>
    </row>
    <row r="75" spans="1:16">
      <c r="B75" s="145" t="s">
        <v>241</v>
      </c>
      <c r="C75" s="145" t="s">
        <v>242</v>
      </c>
      <c r="D75" s="145" t="s">
        <v>243</v>
      </c>
      <c r="E75" s="150" t="s">
        <v>168</v>
      </c>
      <c r="F75" s="150"/>
      <c r="G75" s="176" t="s">
        <v>244</v>
      </c>
      <c r="H75" s="150"/>
      <c r="I75" s="177" t="s">
        <v>245</v>
      </c>
      <c r="J75" s="150"/>
      <c r="K75" s="145"/>
      <c r="L75" s="157"/>
      <c r="N75" s="145"/>
      <c r="O75" s="150"/>
      <c r="P75" s="157"/>
    </row>
    <row r="76" spans="1:16">
      <c r="A76" s="151" t="s">
        <v>1</v>
      </c>
      <c r="B76" s="157"/>
      <c r="C76" s="178" t="s">
        <v>246</v>
      </c>
      <c r="D76" s="150"/>
      <c r="E76" s="150"/>
      <c r="F76" s="150"/>
      <c r="G76" s="151"/>
      <c r="H76" s="150"/>
      <c r="I76" s="179" t="s">
        <v>247</v>
      </c>
      <c r="J76" s="150"/>
      <c r="K76" s="145"/>
      <c r="L76" s="157"/>
      <c r="N76" s="145"/>
      <c r="O76" s="145"/>
      <c r="P76" s="157"/>
    </row>
    <row r="77" spans="1:16" ht="16.5" thickBot="1">
      <c r="A77" s="154" t="s">
        <v>2</v>
      </c>
      <c r="B77" s="180" t="s">
        <v>248</v>
      </c>
      <c r="C77" s="181" t="s">
        <v>249</v>
      </c>
      <c r="D77" s="179" t="s">
        <v>250</v>
      </c>
      <c r="E77" s="182"/>
      <c r="F77" s="179" t="s">
        <v>251</v>
      </c>
      <c r="H77" s="182"/>
      <c r="I77" s="151" t="s">
        <v>252</v>
      </c>
      <c r="J77" s="150"/>
      <c r="K77" s="145"/>
      <c r="L77" s="157"/>
      <c r="N77" s="145"/>
      <c r="O77" s="145"/>
      <c r="P77" s="157"/>
    </row>
    <row r="78" spans="1:16">
      <c r="A78" s="151"/>
      <c r="B78" s="157" t="s">
        <v>253</v>
      </c>
      <c r="C78" s="150"/>
      <c r="D78" s="150"/>
      <c r="E78" s="150"/>
      <c r="F78" s="150"/>
      <c r="G78" s="150"/>
      <c r="H78" s="150"/>
      <c r="I78" s="150"/>
      <c r="J78" s="150"/>
      <c r="K78" s="150"/>
      <c r="L78" s="157"/>
      <c r="N78" s="150"/>
      <c r="O78" s="150"/>
      <c r="P78" s="157"/>
    </row>
    <row r="79" spans="1:16">
      <c r="A79" s="151">
        <v>1</v>
      </c>
      <c r="B79" s="157" t="s">
        <v>254</v>
      </c>
      <c r="C79" s="150" t="s">
        <v>255</v>
      </c>
      <c r="D79" s="183">
        <f>'Electric Plant'!G15</f>
        <v>110863760</v>
      </c>
      <c r="E79" s="150"/>
      <c r="F79" s="150" t="s">
        <v>256</v>
      </c>
      <c r="G79" s="184" t="s">
        <v>168</v>
      </c>
      <c r="H79" s="150"/>
      <c r="I79" s="150" t="s">
        <v>168</v>
      </c>
      <c r="J79" s="150"/>
      <c r="K79" s="150"/>
      <c r="L79" s="157"/>
      <c r="O79" s="150"/>
      <c r="P79" s="157"/>
    </row>
    <row r="80" spans="1:16">
      <c r="A80" s="151">
        <v>2</v>
      </c>
      <c r="B80" s="157" t="s">
        <v>257</v>
      </c>
      <c r="C80" s="150" t="s">
        <v>258</v>
      </c>
      <c r="D80" s="183">
        <f>'Plant and Depre'!B74</f>
        <v>22860896.760000002</v>
      </c>
      <c r="E80" s="150"/>
      <c r="F80" s="150" t="s">
        <v>198</v>
      </c>
      <c r="G80" s="184">
        <f>I216</f>
        <v>0.88515262425777208</v>
      </c>
      <c r="H80" s="150"/>
      <c r="I80" s="150">
        <f>+G80*D80</f>
        <v>20235382.760000002</v>
      </c>
      <c r="J80" s="150"/>
      <c r="K80" s="150"/>
      <c r="L80" s="157"/>
      <c r="O80" s="150"/>
      <c r="P80" s="157"/>
    </row>
    <row r="81" spans="1:16">
      <c r="A81" s="151">
        <v>3</v>
      </c>
      <c r="B81" s="157" t="s">
        <v>259</v>
      </c>
      <c r="C81" s="150" t="s">
        <v>260</v>
      </c>
      <c r="D81" s="183">
        <f>'Electric Plant'!G18</f>
        <v>127458129</v>
      </c>
      <c r="E81" s="150"/>
      <c r="F81" s="150" t="s">
        <v>256</v>
      </c>
      <c r="G81" s="184" t="s">
        <v>168</v>
      </c>
      <c r="H81" s="150"/>
      <c r="I81" s="150" t="s">
        <v>168</v>
      </c>
      <c r="J81" s="150"/>
      <c r="K81" s="150"/>
      <c r="L81" s="157"/>
      <c r="O81" s="150"/>
      <c r="P81" s="157"/>
    </row>
    <row r="82" spans="1:16">
      <c r="A82" s="151">
        <v>4</v>
      </c>
      <c r="B82" s="157" t="s">
        <v>261</v>
      </c>
      <c r="C82" s="150" t="s">
        <v>262</v>
      </c>
      <c r="D82" s="183">
        <f>'Electric Plant'!G9+'Electric Plant'!G19</f>
        <v>39112873</v>
      </c>
      <c r="E82" s="150"/>
      <c r="F82" s="150" t="s">
        <v>263</v>
      </c>
      <c r="G82" s="184">
        <f>I232</f>
        <v>5.8308692904817667E-2</v>
      </c>
      <c r="H82" s="150"/>
      <c r="I82" s="150">
        <f>+G82*D82</f>
        <v>2280620.5003821347</v>
      </c>
      <c r="J82" s="150"/>
      <c r="K82" s="150"/>
      <c r="L82" s="157"/>
      <c r="O82" s="145"/>
      <c r="P82" s="157"/>
    </row>
    <row r="83" spans="1:16" ht="16.5" thickBot="1">
      <c r="A83" s="151">
        <v>5</v>
      </c>
      <c r="B83" s="157" t="s">
        <v>264</v>
      </c>
      <c r="C83" s="150"/>
      <c r="D83" s="185">
        <v>0</v>
      </c>
      <c r="E83" s="150"/>
      <c r="F83" s="150" t="s">
        <v>265</v>
      </c>
      <c r="G83" s="184">
        <f>K236</f>
        <v>5.8308692904817667E-2</v>
      </c>
      <c r="H83" s="150"/>
      <c r="I83" s="162">
        <f>+G83*D83</f>
        <v>0</v>
      </c>
      <c r="J83" s="150"/>
      <c r="K83" s="150"/>
      <c r="L83" s="157"/>
      <c r="O83" s="145"/>
      <c r="P83" s="157"/>
    </row>
    <row r="84" spans="1:16">
      <c r="A84" s="151">
        <v>6</v>
      </c>
      <c r="B84" s="140" t="s">
        <v>266</v>
      </c>
      <c r="C84" s="150"/>
      <c r="D84" s="150">
        <f>SUM(D79:D83)</f>
        <v>300295658.75999999</v>
      </c>
      <c r="E84" s="150"/>
      <c r="F84" s="150" t="s">
        <v>267</v>
      </c>
      <c r="G84" s="186">
        <f>IF(I84&gt;0,I84/D84,0)</f>
        <v>7.4979449764131317E-2</v>
      </c>
      <c r="H84" s="150"/>
      <c r="I84" s="150">
        <f>SUM(I79:I83)</f>
        <v>22516003.260382138</v>
      </c>
      <c r="J84" s="150"/>
      <c r="K84" s="186"/>
      <c r="L84" s="157"/>
      <c r="N84" s="150"/>
      <c r="O84" s="150"/>
      <c r="P84" s="157"/>
    </row>
    <row r="85" spans="1:16">
      <c r="B85" s="157"/>
      <c r="C85" s="150"/>
      <c r="D85" s="150"/>
      <c r="E85" s="150"/>
      <c r="F85" s="150"/>
      <c r="G85" s="186"/>
      <c r="H85" s="150"/>
      <c r="I85" s="150"/>
      <c r="J85" s="150"/>
      <c r="K85" s="186"/>
      <c r="L85" s="157"/>
      <c r="N85" s="150"/>
      <c r="O85" s="150"/>
      <c r="P85" s="157"/>
    </row>
    <row r="86" spans="1:16">
      <c r="B86" s="157" t="s">
        <v>268</v>
      </c>
      <c r="C86" s="150"/>
      <c r="D86" s="150"/>
      <c r="E86" s="150"/>
      <c r="F86" s="150"/>
      <c r="G86" s="150"/>
      <c r="H86" s="150"/>
      <c r="I86" s="150"/>
      <c r="J86" s="150"/>
      <c r="K86" s="150"/>
      <c r="L86" s="157"/>
      <c r="N86" s="150"/>
      <c r="O86" s="150"/>
      <c r="P86" s="157"/>
    </row>
    <row r="87" spans="1:16">
      <c r="A87" s="151">
        <v>7</v>
      </c>
      <c r="B87" s="157" t="str">
        <f>+B79</f>
        <v xml:space="preserve">  Production</v>
      </c>
      <c r="D87" s="187">
        <f>'Plant and Depre'!E53</f>
        <v>82670901.230000004</v>
      </c>
      <c r="E87" s="150"/>
      <c r="F87" s="150" t="str">
        <f t="shared" ref="F87:G91" si="0">+F79</f>
        <v>NA</v>
      </c>
      <c r="G87" s="184" t="str">
        <f t="shared" si="0"/>
        <v xml:space="preserve"> </v>
      </c>
      <c r="H87" s="150"/>
      <c r="I87" s="150" t="s">
        <v>168</v>
      </c>
      <c r="J87" s="150"/>
      <c r="K87" s="150"/>
      <c r="L87" s="157"/>
      <c r="N87" s="150"/>
      <c r="O87" s="150"/>
      <c r="P87" s="157"/>
    </row>
    <row r="88" spans="1:16">
      <c r="A88" s="151">
        <v>8</v>
      </c>
      <c r="B88" s="157" t="str">
        <f>+B80</f>
        <v xml:space="preserve">  Transmission</v>
      </c>
      <c r="D88" s="187">
        <f>'Plant and Depre'!E74</f>
        <v>10315333.639999999</v>
      </c>
      <c r="E88" s="150"/>
      <c r="F88" s="150" t="str">
        <f t="shared" si="0"/>
        <v>TP</v>
      </c>
      <c r="G88" s="184">
        <f t="shared" si="0"/>
        <v>0.88515262425777208</v>
      </c>
      <c r="H88" s="150"/>
      <c r="I88" s="150">
        <f>+G88*D88</f>
        <v>9130644.6415404752</v>
      </c>
      <c r="J88" s="150"/>
      <c r="K88" s="150"/>
      <c r="L88" s="157"/>
      <c r="N88" s="150"/>
      <c r="O88" s="150"/>
      <c r="P88" s="157"/>
    </row>
    <row r="89" spans="1:16">
      <c r="A89" s="151">
        <v>9</v>
      </c>
      <c r="B89" s="157" t="str">
        <f>+B81</f>
        <v xml:space="preserve">  Distribution</v>
      </c>
      <c r="D89" s="187">
        <f>'Plant and Depre'!E95</f>
        <v>57217429.140000001</v>
      </c>
      <c r="E89" s="150"/>
      <c r="F89" s="150" t="str">
        <f t="shared" si="0"/>
        <v>NA</v>
      </c>
      <c r="G89" s="184" t="str">
        <f t="shared" si="0"/>
        <v xml:space="preserve"> </v>
      </c>
      <c r="H89" s="150"/>
      <c r="I89" s="150" t="s">
        <v>168</v>
      </c>
      <c r="J89" s="150"/>
      <c r="K89" s="150"/>
      <c r="L89" s="157"/>
      <c r="N89" s="150"/>
      <c r="O89" s="150"/>
      <c r="P89" s="157"/>
    </row>
    <row r="90" spans="1:16">
      <c r="A90" s="151">
        <v>10</v>
      </c>
      <c r="B90" s="157" t="str">
        <f>+B82</f>
        <v xml:space="preserve">  General &amp; Intangible</v>
      </c>
      <c r="D90" s="187">
        <f>'Plant and Depre'!E103+'Plant and Depre'!E120</f>
        <v>23044640.670000002</v>
      </c>
      <c r="E90" s="150"/>
      <c r="F90" s="150" t="str">
        <f t="shared" si="0"/>
        <v>W/S</v>
      </c>
      <c r="G90" s="184">
        <f t="shared" si="0"/>
        <v>5.8308692904817667E-2</v>
      </c>
      <c r="H90" s="150"/>
      <c r="I90" s="150">
        <f>+G90*D90</f>
        <v>1343702.8759289018</v>
      </c>
      <c r="J90" s="150"/>
      <c r="K90" s="150"/>
      <c r="L90" s="157"/>
      <c r="N90" s="150"/>
      <c r="O90" s="145"/>
      <c r="P90" s="157"/>
    </row>
    <row r="91" spans="1:16" ht="16.5" thickBot="1">
      <c r="A91" s="151">
        <v>11</v>
      </c>
      <c r="B91" s="157" t="str">
        <f>+B83</f>
        <v xml:space="preserve">  Common</v>
      </c>
      <c r="C91" s="150"/>
      <c r="D91" s="185">
        <v>0</v>
      </c>
      <c r="E91" s="150"/>
      <c r="F91" s="150" t="str">
        <f t="shared" si="0"/>
        <v>CE</v>
      </c>
      <c r="G91" s="184">
        <f t="shared" si="0"/>
        <v>5.8308692904817667E-2</v>
      </c>
      <c r="H91" s="150"/>
      <c r="I91" s="162">
        <f>+G91*D91</f>
        <v>0</v>
      </c>
      <c r="J91" s="150"/>
      <c r="K91" s="150"/>
      <c r="L91" s="157"/>
      <c r="N91" s="150"/>
      <c r="O91" s="145"/>
      <c r="P91" s="157"/>
    </row>
    <row r="92" spans="1:16">
      <c r="A92" s="151">
        <v>12</v>
      </c>
      <c r="B92" s="157" t="s">
        <v>269</v>
      </c>
      <c r="C92" s="150"/>
      <c r="D92" s="150">
        <f>SUM(D87:D91)</f>
        <v>173248304.68000001</v>
      </c>
      <c r="E92" s="150"/>
      <c r="F92" s="150"/>
      <c r="G92" s="150"/>
      <c r="H92" s="150"/>
      <c r="I92" s="150">
        <f>SUM(I87:I91)</f>
        <v>10474347.517469376</v>
      </c>
      <c r="J92" s="150"/>
      <c r="K92" s="150"/>
      <c r="L92" s="157"/>
      <c r="N92" s="188"/>
      <c r="O92" s="150"/>
      <c r="P92" s="157"/>
    </row>
    <row r="93" spans="1:16">
      <c r="A93" s="151"/>
      <c r="C93" s="150" t="s">
        <v>168</v>
      </c>
      <c r="E93" s="150"/>
      <c r="F93" s="150"/>
      <c r="G93" s="186"/>
      <c r="H93" s="150"/>
      <c r="J93" s="150"/>
      <c r="K93" s="186"/>
      <c r="L93" s="157"/>
      <c r="N93" s="150"/>
      <c r="O93" s="150"/>
      <c r="P93" s="157"/>
    </row>
    <row r="94" spans="1:16">
      <c r="A94" s="151"/>
      <c r="B94" s="157" t="s">
        <v>270</v>
      </c>
      <c r="C94" s="150"/>
      <c r="D94" s="150"/>
      <c r="E94" s="150"/>
      <c r="F94" s="150"/>
      <c r="G94" s="150"/>
      <c r="H94" s="150"/>
      <c r="I94" s="150"/>
      <c r="J94" s="150"/>
      <c r="K94" s="150"/>
      <c r="L94" s="157"/>
      <c r="N94" s="150"/>
      <c r="O94" s="150"/>
      <c r="P94" s="157"/>
    </row>
    <row r="95" spans="1:16">
      <c r="A95" s="151">
        <v>13</v>
      </c>
      <c r="B95" s="157" t="str">
        <f>+B87</f>
        <v xml:space="preserve">  Production</v>
      </c>
      <c r="C95" s="150" t="s">
        <v>271</v>
      </c>
      <c r="D95" s="150">
        <f>D79-D87</f>
        <v>28192858.769999996</v>
      </c>
      <c r="E95" s="150"/>
      <c r="F95" s="150"/>
      <c r="G95" s="186"/>
      <c r="H95" s="150"/>
      <c r="I95" s="150" t="s">
        <v>168</v>
      </c>
      <c r="J95" s="150"/>
      <c r="K95" s="186"/>
      <c r="L95" s="157"/>
      <c r="N95" s="150"/>
      <c r="O95" s="150"/>
      <c r="P95" s="157"/>
    </row>
    <row r="96" spans="1:16">
      <c r="A96" s="151">
        <v>14</v>
      </c>
      <c r="B96" s="157" t="str">
        <f>+B88</f>
        <v xml:space="preserve">  Transmission</v>
      </c>
      <c r="C96" s="150" t="s">
        <v>272</v>
      </c>
      <c r="D96" s="150">
        <f>D80-D88</f>
        <v>12545563.120000003</v>
      </c>
      <c r="E96" s="150"/>
      <c r="F96" s="150"/>
      <c r="G96" s="184"/>
      <c r="H96" s="150"/>
      <c r="I96" s="150">
        <f>I80-I88</f>
        <v>11104738.118459526</v>
      </c>
      <c r="J96" s="150"/>
      <c r="K96" s="186"/>
      <c r="L96" s="157"/>
      <c r="N96" s="150"/>
      <c r="O96" s="150"/>
      <c r="P96" s="157"/>
    </row>
    <row r="97" spans="1:16">
      <c r="A97" s="151">
        <v>15</v>
      </c>
      <c r="B97" s="157" t="str">
        <f>+B89</f>
        <v xml:space="preserve">  Distribution</v>
      </c>
      <c r="C97" s="150" t="s">
        <v>273</v>
      </c>
      <c r="D97" s="150">
        <f>D81-D89</f>
        <v>70240699.859999999</v>
      </c>
      <c r="E97" s="150"/>
      <c r="F97" s="150"/>
      <c r="G97" s="186"/>
      <c r="H97" s="150"/>
      <c r="I97" s="150" t="s">
        <v>168</v>
      </c>
      <c r="J97" s="150"/>
      <c r="K97" s="186"/>
      <c r="L97" s="157"/>
      <c r="N97" s="150"/>
      <c r="O97" s="150"/>
      <c r="P97" s="157"/>
    </row>
    <row r="98" spans="1:16">
      <c r="A98" s="151">
        <v>16</v>
      </c>
      <c r="B98" s="157" t="str">
        <f>+B90</f>
        <v xml:space="preserve">  General &amp; Intangible</v>
      </c>
      <c r="C98" s="150" t="s">
        <v>274</v>
      </c>
      <c r="D98" s="150">
        <f>D82-D90</f>
        <v>16068232.329999998</v>
      </c>
      <c r="E98" s="150"/>
      <c r="F98" s="150"/>
      <c r="G98" s="186"/>
      <c r="H98" s="150"/>
      <c r="I98" s="150">
        <f>I82-I90</f>
        <v>936917.62445323286</v>
      </c>
      <c r="J98" s="150"/>
      <c r="K98" s="186"/>
      <c r="L98" s="157"/>
      <c r="N98" s="150"/>
      <c r="O98" s="145"/>
      <c r="P98" s="157"/>
    </row>
    <row r="99" spans="1:16" ht="16.5" thickBot="1">
      <c r="A99" s="151">
        <v>17</v>
      </c>
      <c r="B99" s="157" t="str">
        <f>+B91</f>
        <v xml:space="preserve">  Common</v>
      </c>
      <c r="C99" s="150" t="s">
        <v>275</v>
      </c>
      <c r="D99" s="162">
        <f>D83-D91</f>
        <v>0</v>
      </c>
      <c r="E99" s="150"/>
      <c r="F99" s="150"/>
      <c r="G99" s="186"/>
      <c r="H99" s="150"/>
      <c r="I99" s="162">
        <f>I83-I91</f>
        <v>0</v>
      </c>
      <c r="J99" s="150"/>
      <c r="K99" s="186"/>
      <c r="L99" s="157"/>
      <c r="N99" s="150"/>
      <c r="O99" s="145"/>
      <c r="P99" s="157"/>
    </row>
    <row r="100" spans="1:16">
      <c r="A100" s="151">
        <v>18</v>
      </c>
      <c r="B100" s="157" t="s">
        <v>276</v>
      </c>
      <c r="C100" s="150"/>
      <c r="D100" s="150">
        <f>SUM(D95:D99)</f>
        <v>127047354.08</v>
      </c>
      <c r="E100" s="150"/>
      <c r="F100" s="150" t="s">
        <v>277</v>
      </c>
      <c r="G100" s="186">
        <f>IF(I100&gt;0,I100/D100,0)</f>
        <v>9.4780846323885601E-2</v>
      </c>
      <c r="H100" s="150"/>
      <c r="I100" s="150">
        <f>SUM(I95:I99)</f>
        <v>12041655.74291276</v>
      </c>
      <c r="J100" s="150"/>
      <c r="K100" s="150"/>
      <c r="L100" s="157"/>
      <c r="N100" s="163"/>
      <c r="O100" s="150"/>
      <c r="P100" s="157"/>
    </row>
    <row r="101" spans="1:16">
      <c r="A101" s="151"/>
      <c r="C101" s="150"/>
      <c r="E101" s="150"/>
      <c r="H101" s="150"/>
      <c r="J101" s="150"/>
      <c r="K101" s="186"/>
      <c r="L101" s="157"/>
      <c r="N101" s="150"/>
      <c r="O101" s="150"/>
      <c r="P101" s="157"/>
    </row>
    <row r="102" spans="1:16">
      <c r="A102" s="151"/>
      <c r="B102" s="140" t="s">
        <v>278</v>
      </c>
      <c r="C102" s="150"/>
      <c r="D102" s="150"/>
      <c r="E102" s="150"/>
      <c r="F102" s="150"/>
      <c r="G102" s="150"/>
      <c r="H102" s="150"/>
      <c r="I102" s="150"/>
      <c r="J102" s="150"/>
      <c r="K102" s="150"/>
      <c r="L102" s="157"/>
      <c r="N102" s="150" t="s">
        <v>168</v>
      </c>
      <c r="O102" s="150"/>
      <c r="P102" s="157"/>
    </row>
    <row r="103" spans="1:16">
      <c r="A103" s="151">
        <v>19</v>
      </c>
      <c r="B103" s="157" t="s">
        <v>279</v>
      </c>
      <c r="C103" s="150"/>
      <c r="D103" s="187">
        <v>0</v>
      </c>
      <c r="E103" s="150"/>
      <c r="F103" s="150"/>
      <c r="G103" s="189" t="s">
        <v>280</v>
      </c>
      <c r="H103" s="150"/>
      <c r="I103" s="150">
        <v>0</v>
      </c>
      <c r="J103" s="150"/>
      <c r="K103" s="186"/>
      <c r="L103" s="157"/>
      <c r="N103" s="186"/>
      <c r="O103" s="145"/>
      <c r="P103" s="157"/>
    </row>
    <row r="104" spans="1:16">
      <c r="A104" s="151">
        <v>20</v>
      </c>
      <c r="B104" s="157" t="s">
        <v>281</v>
      </c>
      <c r="C104" s="150"/>
      <c r="D104" s="187">
        <v>0</v>
      </c>
      <c r="E104" s="150"/>
      <c r="F104" s="150" t="s">
        <v>282</v>
      </c>
      <c r="G104" s="184">
        <f>+G100</f>
        <v>9.4780846323885601E-2</v>
      </c>
      <c r="H104" s="150"/>
      <c r="I104" s="150">
        <f>D104*G104</f>
        <v>0</v>
      </c>
      <c r="J104" s="150"/>
      <c r="K104" s="186"/>
      <c r="L104" s="157"/>
      <c r="N104" s="186"/>
      <c r="O104" s="145"/>
      <c r="P104" s="157"/>
    </row>
    <row r="105" spans="1:16">
      <c r="A105" s="151">
        <v>21</v>
      </c>
      <c r="B105" s="157" t="s">
        <v>283</v>
      </c>
      <c r="C105" s="150"/>
      <c r="D105" s="183">
        <v>0</v>
      </c>
      <c r="E105" s="150"/>
      <c r="F105" s="150" t="s">
        <v>282</v>
      </c>
      <c r="G105" s="184">
        <f>+G104</f>
        <v>9.4780846323885601E-2</v>
      </c>
      <c r="H105" s="150"/>
      <c r="I105" s="150">
        <f>D105*G105</f>
        <v>0</v>
      </c>
      <c r="J105" s="150"/>
      <c r="K105" s="186"/>
      <c r="L105" s="157"/>
      <c r="N105" s="186"/>
      <c r="O105" s="145"/>
      <c r="P105" s="157"/>
    </row>
    <row r="106" spans="1:16">
      <c r="A106" s="151">
        <v>22</v>
      </c>
      <c r="B106" s="157" t="s">
        <v>284</v>
      </c>
      <c r="C106" s="150"/>
      <c r="D106" s="183">
        <v>0</v>
      </c>
      <c r="E106" s="150"/>
      <c r="F106" s="150" t="str">
        <f>+F105</f>
        <v>NP</v>
      </c>
      <c r="G106" s="184">
        <f>+G105</f>
        <v>9.4780846323885601E-2</v>
      </c>
      <c r="H106" s="150"/>
      <c r="I106" s="150">
        <f>D106*G106</f>
        <v>0</v>
      </c>
      <c r="J106" s="150"/>
      <c r="K106" s="186"/>
      <c r="L106" s="157"/>
      <c r="N106" s="186"/>
      <c r="O106" s="145"/>
      <c r="P106" s="157"/>
    </row>
    <row r="107" spans="1:16" ht="16.5" thickBot="1">
      <c r="A107" s="151">
        <v>23</v>
      </c>
      <c r="B107" s="138" t="s">
        <v>285</v>
      </c>
      <c r="D107" s="185">
        <v>0</v>
      </c>
      <c r="E107" s="150"/>
      <c r="F107" s="150" t="s">
        <v>282</v>
      </c>
      <c r="G107" s="184">
        <f>+G105</f>
        <v>9.4780846323885601E-2</v>
      </c>
      <c r="H107" s="150"/>
      <c r="I107" s="162">
        <f>D107*G107</f>
        <v>0</v>
      </c>
      <c r="J107" s="150"/>
      <c r="K107" s="150"/>
      <c r="L107" s="157"/>
      <c r="N107" s="188"/>
      <c r="O107" s="150"/>
      <c r="P107" s="157"/>
    </row>
    <row r="108" spans="1:16">
      <c r="A108" s="151">
        <v>24</v>
      </c>
      <c r="B108" s="157" t="s">
        <v>286</v>
      </c>
      <c r="C108" s="150"/>
      <c r="D108" s="150">
        <f>SUM(D103:D107)</f>
        <v>0</v>
      </c>
      <c r="E108" s="150"/>
      <c r="F108" s="150"/>
      <c r="G108" s="150"/>
      <c r="H108" s="150"/>
      <c r="I108" s="150">
        <f>SUM(I103:I107)</f>
        <v>0</v>
      </c>
      <c r="J108" s="150"/>
      <c r="K108" s="186"/>
      <c r="L108" s="157"/>
      <c r="N108" s="150"/>
      <c r="O108" s="150"/>
      <c r="P108" s="157"/>
    </row>
    <row r="109" spans="1:16">
      <c r="A109" s="151"/>
      <c r="B109" s="157"/>
      <c r="C109" s="150"/>
      <c r="D109" s="150"/>
      <c r="E109" s="150"/>
      <c r="F109" s="150"/>
      <c r="G109" s="150"/>
      <c r="H109" s="150"/>
      <c r="I109" s="150"/>
      <c r="J109" s="150"/>
      <c r="K109" s="186"/>
      <c r="L109" s="157"/>
      <c r="N109" s="150"/>
      <c r="O109" s="150"/>
      <c r="P109" s="157"/>
    </row>
    <row r="110" spans="1:16">
      <c r="A110" s="151">
        <v>25</v>
      </c>
      <c r="B110" s="140" t="s">
        <v>287</v>
      </c>
      <c r="C110" s="150" t="s">
        <v>288</v>
      </c>
      <c r="D110" s="187">
        <f>'Electric Plant'!G23</f>
        <v>0</v>
      </c>
      <c r="E110" s="150"/>
      <c r="F110" s="150" t="str">
        <f>+F88</f>
        <v>TP</v>
      </c>
      <c r="G110" s="184">
        <f>+G88</f>
        <v>0.88515262425777208</v>
      </c>
      <c r="H110" s="150"/>
      <c r="I110" s="150">
        <f>+G110*D110</f>
        <v>0</v>
      </c>
      <c r="J110" s="150"/>
      <c r="K110" s="150"/>
      <c r="L110" s="157"/>
      <c r="N110" s="150"/>
      <c r="O110" s="150"/>
      <c r="P110" s="157"/>
    </row>
    <row r="111" spans="1:16">
      <c r="A111" s="151"/>
      <c r="B111" s="157"/>
      <c r="C111" s="150"/>
      <c r="D111" s="150"/>
      <c r="E111" s="150"/>
      <c r="F111" s="150"/>
      <c r="G111" s="150"/>
      <c r="H111" s="150"/>
      <c r="I111" s="150"/>
      <c r="J111" s="150"/>
      <c r="K111" s="150"/>
      <c r="L111" s="157"/>
      <c r="N111" s="150"/>
      <c r="O111" s="150"/>
      <c r="P111" s="157"/>
    </row>
    <row r="112" spans="1:16">
      <c r="A112" s="151"/>
      <c r="B112" s="157" t="s">
        <v>289</v>
      </c>
      <c r="C112" s="150" t="s">
        <v>290</v>
      </c>
      <c r="D112" s="150"/>
      <c r="E112" s="150"/>
      <c r="F112" s="150"/>
      <c r="G112" s="150"/>
      <c r="H112" s="150"/>
      <c r="I112" s="150"/>
      <c r="J112" s="150"/>
      <c r="K112" s="150"/>
      <c r="L112" s="157"/>
      <c r="N112" s="150"/>
      <c r="O112" s="150"/>
      <c r="P112" s="157"/>
    </row>
    <row r="113" spans="1:16">
      <c r="A113" s="151">
        <v>26</v>
      </c>
      <c r="B113" s="157" t="s">
        <v>291</v>
      </c>
      <c r="D113" s="150">
        <f>D154/8</f>
        <v>1455348.5775000001</v>
      </c>
      <c r="E113" s="150"/>
      <c r="F113" s="150"/>
      <c r="G113" s="186"/>
      <c r="H113" s="150"/>
      <c r="I113" s="150">
        <f>I154/8</f>
        <v>169556.88155253007</v>
      </c>
      <c r="J113" s="143"/>
      <c r="K113" s="186"/>
      <c r="L113" s="157"/>
      <c r="N113" s="190"/>
      <c r="O113" s="175"/>
      <c r="P113" s="157"/>
    </row>
    <row r="114" spans="1:16">
      <c r="A114" s="151">
        <v>27</v>
      </c>
      <c r="B114" s="157" t="s">
        <v>292</v>
      </c>
      <c r="C114" s="138" t="s">
        <v>293</v>
      </c>
      <c r="D114" s="187">
        <f>'Mat &amp; Supplies'!B10</f>
        <v>295359.33999999997</v>
      </c>
      <c r="E114" s="150"/>
      <c r="F114" s="150" t="s">
        <v>294</v>
      </c>
      <c r="G114" s="184">
        <f>I225</f>
        <v>0.85162242248097741</v>
      </c>
      <c r="H114" s="150"/>
      <c r="I114" s="150">
        <f>G114*D114</f>
        <v>251534.63663318261</v>
      </c>
      <c r="J114" s="150" t="s">
        <v>168</v>
      </c>
      <c r="K114" s="186"/>
      <c r="L114" s="157"/>
      <c r="N114" s="190"/>
      <c r="O114" s="145"/>
      <c r="P114" s="157"/>
    </row>
    <row r="115" spans="1:16" ht="16.5" thickBot="1">
      <c r="A115" s="151">
        <v>28</v>
      </c>
      <c r="B115" s="157" t="s">
        <v>295</v>
      </c>
      <c r="C115" s="138" t="s">
        <v>296</v>
      </c>
      <c r="D115" s="185">
        <f>'Balance sheet'!C43</f>
        <v>76640</v>
      </c>
      <c r="E115" s="150"/>
      <c r="F115" s="150" t="s">
        <v>297</v>
      </c>
      <c r="G115" s="184">
        <f>+G84</f>
        <v>7.4979449764131317E-2</v>
      </c>
      <c r="H115" s="150"/>
      <c r="I115" s="162">
        <f>+G115*D115</f>
        <v>5746.4250299230243</v>
      </c>
      <c r="J115" s="150"/>
      <c r="K115" s="186"/>
      <c r="L115" s="157"/>
      <c r="N115" s="190"/>
      <c r="O115" s="145"/>
      <c r="P115" s="157"/>
    </row>
    <row r="116" spans="1:16">
      <c r="A116" s="151">
        <v>29</v>
      </c>
      <c r="B116" s="157" t="s">
        <v>298</v>
      </c>
      <c r="C116" s="143"/>
      <c r="D116" s="150">
        <f>D113+D114+D115</f>
        <v>1827347.9175</v>
      </c>
      <c r="E116" s="143"/>
      <c r="F116" s="143"/>
      <c r="G116" s="143"/>
      <c r="H116" s="143"/>
      <c r="I116" s="150">
        <f>I113+I114+I115</f>
        <v>426837.94321563572</v>
      </c>
      <c r="J116" s="143"/>
      <c r="K116" s="143"/>
      <c r="L116" s="157"/>
      <c r="N116" s="188"/>
      <c r="O116" s="150"/>
      <c r="P116" s="157"/>
    </row>
    <row r="117" spans="1:16" ht="16.5" thickBot="1">
      <c r="C117" s="150"/>
      <c r="D117" s="191"/>
      <c r="E117" s="150"/>
      <c r="F117" s="150"/>
      <c r="G117" s="150"/>
      <c r="H117" s="150"/>
      <c r="I117" s="191"/>
      <c r="J117" s="150"/>
      <c r="K117" s="150"/>
      <c r="L117" s="157"/>
      <c r="N117" s="150"/>
      <c r="O117" s="150"/>
      <c r="P117" s="157"/>
    </row>
    <row r="118" spans="1:16" ht="16.5" thickBot="1">
      <c r="A118" s="151">
        <v>30</v>
      </c>
      <c r="B118" s="157" t="s">
        <v>299</v>
      </c>
      <c r="C118" s="150"/>
      <c r="D118" s="192">
        <f>+D116+D110+D108+D100</f>
        <v>128874701.9975</v>
      </c>
      <c r="E118" s="150"/>
      <c r="F118" s="150"/>
      <c r="G118" s="186"/>
      <c r="H118" s="150"/>
      <c r="I118" s="192">
        <f>+I116+I110+I108+I100</f>
        <v>12468493.686128397</v>
      </c>
      <c r="J118" s="150"/>
      <c r="K118" s="186"/>
      <c r="L118" s="157"/>
      <c r="N118" s="150"/>
      <c r="O118" s="150"/>
      <c r="P118" s="157"/>
    </row>
    <row r="119" spans="1:16" ht="16.5" thickTop="1">
      <c r="A119" s="151"/>
      <c r="B119" s="157"/>
      <c r="C119" s="150"/>
      <c r="D119" s="150"/>
      <c r="E119" s="150"/>
      <c r="F119" s="150"/>
      <c r="G119" s="150"/>
      <c r="H119" s="150"/>
      <c r="I119" s="150"/>
      <c r="J119" s="150"/>
      <c r="K119" s="150"/>
      <c r="L119" s="143"/>
      <c r="N119" s="150"/>
      <c r="O119" s="150"/>
      <c r="P119" s="157"/>
    </row>
    <row r="120" spans="1:16">
      <c r="A120" s="151"/>
      <c r="B120" s="157"/>
      <c r="C120" s="150"/>
      <c r="D120" s="150"/>
      <c r="E120" s="150"/>
      <c r="F120" s="150"/>
      <c r="G120" s="150"/>
      <c r="H120" s="150"/>
      <c r="I120" s="150"/>
      <c r="J120" s="150"/>
      <c r="K120" s="150"/>
      <c r="L120" s="143"/>
      <c r="N120" s="150"/>
      <c r="O120" s="150"/>
      <c r="P120" s="157"/>
    </row>
    <row r="121" spans="1:16">
      <c r="A121" s="151"/>
      <c r="B121" s="157"/>
      <c r="C121" s="150"/>
      <c r="D121" s="150"/>
      <c r="E121" s="150"/>
      <c r="F121" s="150"/>
      <c r="G121" s="150"/>
      <c r="H121" s="150"/>
      <c r="I121" s="150"/>
      <c r="J121" s="150"/>
      <c r="K121" s="150"/>
      <c r="L121" s="143"/>
      <c r="N121" s="150"/>
      <c r="O121" s="150"/>
      <c r="P121" s="157"/>
    </row>
    <row r="122" spans="1:16">
      <c r="A122" s="151"/>
      <c r="B122" s="157"/>
      <c r="C122" s="150"/>
      <c r="D122" s="150"/>
      <c r="E122" s="150"/>
      <c r="F122" s="150"/>
      <c r="G122" s="150"/>
      <c r="H122" s="150"/>
      <c r="I122" s="150"/>
      <c r="J122" s="150"/>
      <c r="K122" s="150"/>
      <c r="L122" s="143"/>
      <c r="N122" s="150"/>
      <c r="O122" s="150"/>
      <c r="P122" s="157"/>
    </row>
    <row r="123" spans="1:16">
      <c r="A123" s="151"/>
      <c r="B123" s="157"/>
      <c r="C123" s="150"/>
      <c r="D123" s="150"/>
      <c r="E123" s="150"/>
      <c r="F123" s="150"/>
      <c r="G123" s="150"/>
      <c r="H123" s="150"/>
      <c r="I123" s="150"/>
      <c r="J123" s="150"/>
      <c r="K123" s="150"/>
      <c r="L123" s="143"/>
      <c r="N123" s="150"/>
      <c r="O123" s="150"/>
      <c r="P123" s="157"/>
    </row>
    <row r="124" spans="1:16">
      <c r="A124" s="151"/>
      <c r="B124" s="157"/>
      <c r="C124" s="150"/>
      <c r="D124" s="150"/>
      <c r="E124" s="150"/>
      <c r="F124" s="150"/>
      <c r="G124" s="150"/>
      <c r="H124" s="150"/>
      <c r="I124" s="150"/>
      <c r="J124" s="150"/>
      <c r="K124" s="150"/>
      <c r="L124" s="143"/>
      <c r="N124" s="150"/>
      <c r="O124" s="150"/>
      <c r="P124" s="157"/>
    </row>
    <row r="125" spans="1:16">
      <c r="A125" s="151"/>
      <c r="B125" s="157"/>
      <c r="C125" s="150"/>
      <c r="D125" s="150"/>
      <c r="E125" s="150"/>
      <c r="F125" s="150"/>
      <c r="G125" s="150"/>
      <c r="H125" s="150"/>
      <c r="I125" s="150"/>
      <c r="J125" s="150"/>
      <c r="K125" s="150"/>
      <c r="L125" s="143"/>
      <c r="N125" s="150"/>
      <c r="O125" s="150"/>
      <c r="P125" s="157"/>
    </row>
    <row r="126" spans="1:16">
      <c r="A126" s="151"/>
      <c r="B126" s="157"/>
      <c r="C126" s="150"/>
      <c r="D126" s="150"/>
      <c r="E126" s="150"/>
      <c r="F126" s="150"/>
      <c r="G126" s="150"/>
      <c r="H126" s="150"/>
      <c r="I126" s="150"/>
      <c r="J126" s="150"/>
      <c r="K126" s="150"/>
      <c r="L126" s="143"/>
      <c r="N126" s="150"/>
      <c r="O126" s="150"/>
      <c r="P126" s="157"/>
    </row>
    <row r="127" spans="1:16">
      <c r="A127" s="151"/>
      <c r="B127" s="157"/>
      <c r="C127" s="150"/>
      <c r="D127" s="150"/>
      <c r="E127" s="150"/>
      <c r="F127" s="150"/>
      <c r="G127" s="150"/>
      <c r="H127" s="150"/>
      <c r="I127" s="150"/>
      <c r="J127" s="150"/>
      <c r="K127" s="150"/>
      <c r="L127" s="143"/>
      <c r="N127" s="150"/>
      <c r="O127" s="150"/>
      <c r="P127" s="157"/>
    </row>
    <row r="128" spans="1:16">
      <c r="A128" s="151"/>
      <c r="B128" s="157"/>
      <c r="C128" s="150"/>
      <c r="D128" s="150"/>
      <c r="E128" s="150"/>
      <c r="F128" s="150"/>
      <c r="G128" s="150"/>
      <c r="H128" s="150"/>
      <c r="I128" s="150"/>
      <c r="J128" s="150"/>
      <c r="K128" s="150"/>
      <c r="L128" s="143"/>
      <c r="N128" s="150"/>
      <c r="O128" s="150"/>
      <c r="P128" s="157"/>
    </row>
    <row r="129" spans="1:16">
      <c r="A129" s="151"/>
      <c r="B129" s="157"/>
      <c r="C129" s="150"/>
      <c r="D129" s="150"/>
      <c r="E129" s="150"/>
      <c r="F129" s="150"/>
      <c r="G129" s="150"/>
      <c r="H129" s="150"/>
      <c r="I129" s="150"/>
      <c r="J129" s="150"/>
      <c r="K129" s="150"/>
      <c r="L129" s="143"/>
      <c r="N129" s="150"/>
      <c r="O129" s="150"/>
      <c r="P129" s="157"/>
    </row>
    <row r="130" spans="1:16">
      <c r="A130" s="151"/>
      <c r="B130" s="157"/>
      <c r="C130" s="150"/>
      <c r="D130" s="150"/>
      <c r="E130" s="150"/>
      <c r="F130" s="150"/>
      <c r="G130" s="150"/>
      <c r="H130" s="150"/>
      <c r="I130" s="150"/>
      <c r="J130" s="150"/>
      <c r="K130" s="150"/>
      <c r="L130" s="143"/>
      <c r="N130" s="150"/>
      <c r="O130" s="150"/>
      <c r="P130" s="157"/>
    </row>
    <row r="131" spans="1:16">
      <c r="A131" s="151"/>
      <c r="B131" s="157"/>
      <c r="C131" s="150"/>
      <c r="D131" s="150"/>
      <c r="E131" s="150"/>
      <c r="F131" s="150"/>
      <c r="G131" s="150"/>
      <c r="H131" s="150"/>
      <c r="I131" s="150"/>
      <c r="J131" s="150"/>
      <c r="K131" s="150"/>
      <c r="L131" s="143"/>
      <c r="N131" s="150"/>
      <c r="O131" s="150"/>
      <c r="P131" s="157"/>
    </row>
    <row r="132" spans="1:16">
      <c r="A132" s="151"/>
      <c r="B132" s="157"/>
      <c r="C132" s="150"/>
      <c r="D132" s="150"/>
      <c r="E132" s="150"/>
      <c r="F132" s="150"/>
      <c r="G132" s="150"/>
      <c r="H132" s="150"/>
      <c r="I132" s="150"/>
      <c r="J132" s="150"/>
      <c r="K132" s="150"/>
      <c r="L132" s="143"/>
      <c r="N132" s="150"/>
      <c r="O132" s="150"/>
      <c r="P132" s="157"/>
    </row>
    <row r="133" spans="1:16">
      <c r="A133" s="151"/>
      <c r="B133" s="157"/>
      <c r="C133" s="150"/>
      <c r="D133" s="150"/>
      <c r="E133" s="150"/>
      <c r="F133" s="150"/>
      <c r="G133" s="150"/>
      <c r="H133" s="150"/>
      <c r="I133" s="150"/>
      <c r="J133" s="150"/>
      <c r="K133" s="150"/>
      <c r="L133" s="143"/>
      <c r="N133" s="150"/>
      <c r="O133" s="150"/>
      <c r="P133" s="157"/>
    </row>
    <row r="134" spans="1:16">
      <c r="A134" s="151"/>
      <c r="B134" s="157"/>
      <c r="C134" s="150"/>
      <c r="D134" s="150"/>
      <c r="E134" s="150"/>
      <c r="F134" s="150"/>
      <c r="G134" s="150"/>
      <c r="H134" s="150"/>
      <c r="I134" s="150"/>
      <c r="J134" s="150"/>
      <c r="K134" s="139" t="s">
        <v>186</v>
      </c>
      <c r="L134" s="143"/>
      <c r="N134" s="150"/>
      <c r="O134" s="150"/>
      <c r="P134" s="157"/>
    </row>
    <row r="135" spans="1:16">
      <c r="B135" s="140"/>
      <c r="C135" s="140"/>
      <c r="D135" s="141"/>
      <c r="E135" s="140"/>
      <c r="F135" s="140"/>
      <c r="G135" s="140"/>
      <c r="H135" s="142"/>
      <c r="I135" s="143"/>
      <c r="K135" s="144" t="s">
        <v>300</v>
      </c>
      <c r="L135" s="143"/>
      <c r="N135" s="143"/>
      <c r="O135" s="143"/>
      <c r="P135" s="143"/>
    </row>
    <row r="136" spans="1:16">
      <c r="A136" s="151"/>
      <c r="B136" s="157"/>
      <c r="C136" s="150"/>
      <c r="D136" s="150"/>
      <c r="E136" s="150"/>
      <c r="F136" s="150"/>
      <c r="G136" s="150"/>
      <c r="H136" s="150"/>
      <c r="I136" s="150"/>
      <c r="J136" s="150"/>
      <c r="K136" s="150"/>
      <c r="L136" s="143"/>
      <c r="N136" s="150"/>
      <c r="O136" s="150"/>
      <c r="P136" s="157"/>
    </row>
    <row r="137" spans="1:16">
      <c r="A137" s="151"/>
      <c r="B137" s="157" t="str">
        <f>B4</f>
        <v xml:space="preserve">Formula Rate - Non-Levelized </v>
      </c>
      <c r="C137" s="150"/>
      <c r="D137" s="150" t="str">
        <f>D4</f>
        <v xml:space="preserve">   Rate Formula Template</v>
      </c>
      <c r="E137" s="150"/>
      <c r="F137" s="150"/>
      <c r="G137" s="150"/>
      <c r="H137" s="150"/>
      <c r="J137" s="150"/>
      <c r="K137" s="193" t="str">
        <f>K4</f>
        <v>For the 12 months ended 12/31/2013</v>
      </c>
      <c r="L137" s="157"/>
      <c r="N137" s="150"/>
      <c r="O137" s="150"/>
      <c r="P137" s="157"/>
    </row>
    <row r="138" spans="1:16">
      <c r="A138" s="151"/>
      <c r="B138" s="157"/>
      <c r="C138" s="150"/>
      <c r="D138" s="150" t="str">
        <f>D5</f>
        <v>Utilizing EIA Form 412 Data</v>
      </c>
      <c r="E138" s="150"/>
      <c r="F138" s="150"/>
      <c r="G138" s="150"/>
      <c r="H138" s="150"/>
      <c r="I138" s="150"/>
      <c r="J138" s="150"/>
      <c r="K138" s="150"/>
      <c r="L138" s="157"/>
      <c r="N138" s="150"/>
      <c r="O138" s="150"/>
      <c r="P138" s="157"/>
    </row>
    <row r="139" spans="1:16">
      <c r="A139" s="151"/>
      <c r="C139" s="150"/>
      <c r="D139" s="150"/>
      <c r="E139" s="150"/>
      <c r="F139" s="150"/>
      <c r="G139" s="150"/>
      <c r="H139" s="150"/>
      <c r="I139" s="150"/>
      <c r="J139" s="150"/>
      <c r="K139" s="150"/>
      <c r="L139" s="157"/>
      <c r="N139" s="150"/>
      <c r="O139" s="150"/>
      <c r="P139" s="157"/>
    </row>
    <row r="140" spans="1:16">
      <c r="A140" s="151"/>
      <c r="D140" s="138" t="str">
        <f>D7</f>
        <v>Rochester Public Utilities</v>
      </c>
      <c r="J140" s="150"/>
      <c r="K140" s="150"/>
      <c r="L140" s="157"/>
      <c r="N140" s="150"/>
      <c r="O140" s="150"/>
      <c r="P140" s="157"/>
    </row>
    <row r="141" spans="1:16">
      <c r="A141" s="151"/>
      <c r="B141" s="145" t="s">
        <v>241</v>
      </c>
      <c r="C141" s="145" t="s">
        <v>242</v>
      </c>
      <c r="D141" s="145" t="s">
        <v>243</v>
      </c>
      <c r="E141" s="150" t="s">
        <v>168</v>
      </c>
      <c r="F141" s="150"/>
      <c r="G141" s="176" t="s">
        <v>244</v>
      </c>
      <c r="H141" s="150"/>
      <c r="I141" s="177" t="s">
        <v>245</v>
      </c>
      <c r="J141" s="150"/>
      <c r="K141" s="150"/>
      <c r="L141" s="157"/>
      <c r="N141" s="143"/>
      <c r="O141" s="150"/>
      <c r="P141" s="157"/>
    </row>
    <row r="142" spans="1:16">
      <c r="A142" s="151" t="s">
        <v>1</v>
      </c>
      <c r="B142" s="157"/>
      <c r="C142" s="178" t="s">
        <v>246</v>
      </c>
      <c r="D142" s="150"/>
      <c r="E142" s="150"/>
      <c r="F142" s="150"/>
      <c r="G142" s="151"/>
      <c r="H142" s="150"/>
      <c r="I142" s="179" t="s">
        <v>247</v>
      </c>
      <c r="J142" s="150"/>
      <c r="K142" s="179"/>
      <c r="L142" s="157"/>
      <c r="N142" s="151"/>
      <c r="O142" s="150"/>
      <c r="P142" s="157"/>
    </row>
    <row r="143" spans="1:16" ht="16.5" thickBot="1">
      <c r="A143" s="154" t="s">
        <v>2</v>
      </c>
      <c r="B143" s="157"/>
      <c r="C143" s="181" t="s">
        <v>249</v>
      </c>
      <c r="D143" s="179" t="s">
        <v>250</v>
      </c>
      <c r="E143" s="182"/>
      <c r="F143" s="179" t="s">
        <v>251</v>
      </c>
      <c r="H143" s="182"/>
      <c r="I143" s="151" t="s">
        <v>252</v>
      </c>
      <c r="J143" s="150"/>
      <c r="K143" s="179"/>
      <c r="L143" s="150" t="s">
        <v>168</v>
      </c>
      <c r="N143" s="179"/>
      <c r="O143" s="150"/>
      <c r="P143" s="157"/>
    </row>
    <row r="144" spans="1:16">
      <c r="A144" s="151"/>
      <c r="B144" s="157" t="s">
        <v>301</v>
      </c>
      <c r="C144" s="150"/>
      <c r="D144" s="150"/>
      <c r="E144" s="150"/>
      <c r="F144" s="150"/>
      <c r="G144" s="150"/>
      <c r="H144" s="150"/>
      <c r="I144" s="150"/>
      <c r="J144" s="150"/>
      <c r="K144" s="150"/>
      <c r="L144" s="157"/>
      <c r="N144" s="150"/>
      <c r="O144" s="150"/>
      <c r="P144" s="157"/>
    </row>
    <row r="145" spans="1:16">
      <c r="A145" s="151">
        <v>1</v>
      </c>
      <c r="B145" s="157" t="s">
        <v>302</v>
      </c>
      <c r="C145" s="138" t="s">
        <v>303</v>
      </c>
      <c r="D145" s="187">
        <f>'Op &amp; Maint'!F21</f>
        <v>8136783.1899999995</v>
      </c>
      <c r="E145" s="150"/>
      <c r="F145" s="150" t="s">
        <v>294</v>
      </c>
      <c r="G145" s="184">
        <f>I225</f>
        <v>0.85162242248097741</v>
      </c>
      <c r="H145" s="150"/>
      <c r="I145" s="150">
        <f t="shared" ref="I145:I153" si="1">+G145*D145</f>
        <v>6929467.0114702946</v>
      </c>
      <c r="J145" s="143"/>
      <c r="K145" s="150"/>
      <c r="L145" s="157"/>
      <c r="N145" s="150"/>
      <c r="O145" s="145"/>
      <c r="P145" s="150" t="s">
        <v>168</v>
      </c>
    </row>
    <row r="146" spans="1:16">
      <c r="A146" s="194" t="s">
        <v>304</v>
      </c>
      <c r="B146" s="195" t="s">
        <v>305</v>
      </c>
      <c r="C146" s="196"/>
      <c r="D146" s="187">
        <f>'Transmission O&amp;M'!C11+'Transmission O&amp;M'!C15</f>
        <v>1981.03</v>
      </c>
      <c r="E146" s="150"/>
      <c r="F146" s="197"/>
      <c r="G146" s="184">
        <v>1</v>
      </c>
      <c r="H146" s="150"/>
      <c r="I146" s="150">
        <f>+G146*D146</f>
        <v>1981.03</v>
      </c>
      <c r="J146" s="143"/>
      <c r="K146" s="150"/>
      <c r="L146" s="157"/>
      <c r="N146" s="150"/>
      <c r="O146" s="145"/>
      <c r="P146" s="150"/>
    </row>
    <row r="147" spans="1:16">
      <c r="A147" s="151">
        <v>2</v>
      </c>
      <c r="B147" s="157" t="s">
        <v>306</v>
      </c>
      <c r="C147" s="138" t="s">
        <v>168</v>
      </c>
      <c r="D147" s="187">
        <f>'Transmission O&amp;M'!C19</f>
        <v>7280319.0199999996</v>
      </c>
      <c r="E147" s="150"/>
      <c r="F147" s="150" t="s">
        <v>294</v>
      </c>
      <c r="G147" s="184">
        <f>+G145</f>
        <v>0.85162242248097741</v>
      </c>
      <c r="H147" s="150"/>
      <c r="I147" s="150">
        <f t="shared" si="1"/>
        <v>6200082.9202467352</v>
      </c>
      <c r="J147" s="143"/>
      <c r="K147" s="150"/>
      <c r="L147" s="157"/>
      <c r="N147" s="150"/>
      <c r="O147" s="145"/>
      <c r="P147" s="150"/>
    </row>
    <row r="148" spans="1:16">
      <c r="A148" s="151">
        <v>3</v>
      </c>
      <c r="B148" s="157" t="s">
        <v>307</v>
      </c>
      <c r="C148" s="138" t="s">
        <v>308</v>
      </c>
      <c r="D148" s="187">
        <f>'Op &amp; Maint'!F29</f>
        <v>10904893.25</v>
      </c>
      <c r="E148" s="150"/>
      <c r="F148" s="150" t="s">
        <v>263</v>
      </c>
      <c r="G148" s="184">
        <f>I232</f>
        <v>5.8308692904817667E-2</v>
      </c>
      <c r="H148" s="150"/>
      <c r="I148" s="150">
        <f t="shared" si="1"/>
        <v>635850.07167406904</v>
      </c>
      <c r="J148" s="150"/>
      <c r="K148" s="150" t="s">
        <v>168</v>
      </c>
      <c r="L148" s="157"/>
      <c r="N148" s="150"/>
      <c r="O148" s="145"/>
      <c r="P148" s="157"/>
    </row>
    <row r="149" spans="1:16">
      <c r="A149" s="151">
        <v>4</v>
      </c>
      <c r="B149" s="157" t="s">
        <v>309</v>
      </c>
      <c r="C149" s="150"/>
      <c r="D149" s="187">
        <f>'FERC Fees'!C13</f>
        <v>5607.7699999999995</v>
      </c>
      <c r="E149" s="150"/>
      <c r="F149" s="150" t="str">
        <f>+F148</f>
        <v>W/S</v>
      </c>
      <c r="G149" s="184">
        <f>I232</f>
        <v>5.8308692904817667E-2</v>
      </c>
      <c r="H149" s="150"/>
      <c r="I149" s="150">
        <f t="shared" si="1"/>
        <v>326.98173881084932</v>
      </c>
      <c r="J149" s="150"/>
      <c r="K149" s="150"/>
      <c r="L149" s="157"/>
      <c r="N149" s="150"/>
      <c r="O149" s="145"/>
      <c r="P149" s="157"/>
    </row>
    <row r="150" spans="1:16">
      <c r="A150" s="151">
        <v>5</v>
      </c>
      <c r="B150" s="157" t="s">
        <v>310</v>
      </c>
      <c r="C150" s="150"/>
      <c r="D150" s="187">
        <f>'EPRI Reg Comm Non Safety'!B7+'EPRI Reg Comm Non Safety'!B15+'EPRI Reg Comm Non Safety'!B21</f>
        <v>110980</v>
      </c>
      <c r="E150" s="150"/>
      <c r="F150" s="150" t="str">
        <f>+F149</f>
        <v>W/S</v>
      </c>
      <c r="G150" s="184">
        <f>I232</f>
        <v>5.8308692904817667E-2</v>
      </c>
      <c r="H150" s="150"/>
      <c r="I150" s="150">
        <f t="shared" si="1"/>
        <v>6471.0987385766648</v>
      </c>
      <c r="J150" s="150"/>
      <c r="K150" s="150"/>
      <c r="L150" s="157"/>
      <c r="N150" s="150"/>
      <c r="O150" s="145"/>
      <c r="P150" s="157"/>
    </row>
    <row r="151" spans="1:16">
      <c r="A151" s="151" t="s">
        <v>311</v>
      </c>
      <c r="B151" s="157" t="s">
        <v>312</v>
      </c>
      <c r="C151" s="150"/>
      <c r="D151" s="187">
        <f>'EPRI Reg Comm Non Safety'!B15</f>
        <v>0</v>
      </c>
      <c r="E151" s="150"/>
      <c r="F151" s="150" t="str">
        <f>+F145</f>
        <v>TE</v>
      </c>
      <c r="G151" s="184">
        <f>+G145</f>
        <v>0.85162242248097741</v>
      </c>
      <c r="H151" s="150"/>
      <c r="I151" s="150">
        <f t="shared" si="1"/>
        <v>0</v>
      </c>
      <c r="J151" s="150"/>
      <c r="K151" s="150"/>
      <c r="L151" s="157"/>
      <c r="N151" s="150"/>
      <c r="O151" s="145"/>
      <c r="P151" s="157"/>
    </row>
    <row r="152" spans="1:16">
      <c r="A152" s="151">
        <v>6</v>
      </c>
      <c r="B152" s="157" t="s">
        <v>264</v>
      </c>
      <c r="C152" s="150"/>
      <c r="D152" s="187">
        <v>0</v>
      </c>
      <c r="E152" s="150"/>
      <c r="F152" s="150" t="s">
        <v>265</v>
      </c>
      <c r="G152" s="184">
        <f>K236</f>
        <v>5.8308692904817667E-2</v>
      </c>
      <c r="H152" s="150"/>
      <c r="I152" s="150">
        <f t="shared" si="1"/>
        <v>0</v>
      </c>
      <c r="J152" s="150"/>
      <c r="K152" s="150"/>
      <c r="L152" s="157"/>
      <c r="N152" s="150"/>
      <c r="O152" s="145"/>
      <c r="P152" s="157"/>
    </row>
    <row r="153" spans="1:16" ht="16.5" thickBot="1">
      <c r="A153" s="151">
        <v>7</v>
      </c>
      <c r="B153" s="157" t="s">
        <v>313</v>
      </c>
      <c r="C153" s="150"/>
      <c r="D153" s="185">
        <v>0</v>
      </c>
      <c r="E153" s="150"/>
      <c r="F153" s="150" t="s">
        <v>256</v>
      </c>
      <c r="G153" s="184">
        <v>1</v>
      </c>
      <c r="H153" s="150"/>
      <c r="I153" s="162">
        <f t="shared" si="1"/>
        <v>0</v>
      </c>
      <c r="J153" s="150"/>
      <c r="K153" s="150"/>
      <c r="L153" s="157"/>
      <c r="N153" s="150"/>
      <c r="O153" s="175"/>
      <c r="P153" s="157"/>
    </row>
    <row r="154" spans="1:16">
      <c r="A154" s="194">
        <v>8</v>
      </c>
      <c r="B154" s="195" t="s">
        <v>314</v>
      </c>
      <c r="C154" s="198"/>
      <c r="D154" s="198">
        <f>+D145-D147+D148-D149-D150+D151+D152+D153-D146</f>
        <v>11642788.620000001</v>
      </c>
      <c r="E154" s="198"/>
      <c r="F154" s="198"/>
      <c r="G154" s="198"/>
      <c r="H154" s="198"/>
      <c r="I154" s="198">
        <f>+I145-I147+I148-I149-I150+I151+I152+I153-I146</f>
        <v>1356455.0524202406</v>
      </c>
      <c r="J154" s="198"/>
      <c r="K154" s="198"/>
      <c r="L154" s="198"/>
      <c r="M154" s="196"/>
      <c r="N154" s="199"/>
      <c r="O154" s="200"/>
      <c r="P154" s="157"/>
    </row>
    <row r="155" spans="1:16">
      <c r="A155" s="151"/>
      <c r="C155" s="150"/>
      <c r="E155" s="150"/>
      <c r="F155" s="150"/>
      <c r="G155" s="150"/>
      <c r="H155" s="150"/>
      <c r="J155" s="150"/>
      <c r="K155" s="150"/>
      <c r="L155" s="150" t="s">
        <v>168</v>
      </c>
      <c r="N155" s="150"/>
      <c r="O155" s="150"/>
      <c r="P155" s="157"/>
    </row>
    <row r="156" spans="1:16">
      <c r="A156" s="151"/>
      <c r="B156" s="157" t="s">
        <v>315</v>
      </c>
      <c r="C156" s="150"/>
      <c r="D156" s="150"/>
      <c r="E156" s="150"/>
      <c r="F156" s="150"/>
      <c r="G156" s="150"/>
      <c r="H156" s="150"/>
      <c r="I156" s="150"/>
      <c r="J156" s="150"/>
      <c r="K156" s="150"/>
      <c r="L156" s="150" t="s">
        <v>168</v>
      </c>
      <c r="N156" s="150"/>
      <c r="O156" s="150"/>
      <c r="P156" s="157"/>
    </row>
    <row r="157" spans="1:16">
      <c r="A157" s="151">
        <v>9</v>
      </c>
      <c r="B157" s="157" t="str">
        <f>+B145</f>
        <v xml:space="preserve">  Transmission </v>
      </c>
      <c r="C157" s="138" t="s">
        <v>168</v>
      </c>
      <c r="D157" s="187">
        <f>'Plant and Depre'!G74</f>
        <v>641842.62000000011</v>
      </c>
      <c r="E157" s="150"/>
      <c r="F157" s="150" t="s">
        <v>198</v>
      </c>
      <c r="G157" s="184">
        <f>+G110</f>
        <v>0.88515262425777208</v>
      </c>
      <c r="H157" s="150"/>
      <c r="I157" s="150">
        <f>+G157*D157</f>
        <v>568128.67945348413</v>
      </c>
      <c r="J157" s="150"/>
      <c r="K157" s="186"/>
      <c r="L157" s="157"/>
      <c r="N157" s="150"/>
      <c r="O157" s="145"/>
      <c r="P157" s="150" t="s">
        <v>168</v>
      </c>
    </row>
    <row r="158" spans="1:16">
      <c r="A158" s="151">
        <v>10</v>
      </c>
      <c r="B158" s="157" t="s">
        <v>316</v>
      </c>
      <c r="C158" s="138" t="s">
        <v>168</v>
      </c>
      <c r="D158" s="187">
        <f>'Plant and Depre'!G120+'Plant and Depre'!G103</f>
        <v>2021995.72</v>
      </c>
      <c r="E158" s="150"/>
      <c r="F158" s="150" t="s">
        <v>263</v>
      </c>
      <c r="G158" s="184">
        <f>+G148</f>
        <v>5.8308692904817667E-2</v>
      </c>
      <c r="H158" s="150"/>
      <c r="I158" s="150">
        <f>+G158*D158</f>
        <v>117899.92749233569</v>
      </c>
      <c r="J158" s="150"/>
      <c r="K158" s="186"/>
      <c r="L158" s="157"/>
      <c r="N158" s="150"/>
      <c r="O158" s="145"/>
      <c r="P158" s="150" t="s">
        <v>168</v>
      </c>
    </row>
    <row r="159" spans="1:16" ht="16.5" thickBot="1">
      <c r="A159" s="151">
        <v>11</v>
      </c>
      <c r="B159" s="157" t="str">
        <f>+B152</f>
        <v xml:space="preserve">  Common</v>
      </c>
      <c r="C159" s="150"/>
      <c r="D159" s="185">
        <v>0</v>
      </c>
      <c r="E159" s="150"/>
      <c r="F159" s="150" t="s">
        <v>265</v>
      </c>
      <c r="G159" s="184">
        <f>+G152</f>
        <v>5.8308692904817667E-2</v>
      </c>
      <c r="H159" s="150"/>
      <c r="I159" s="162">
        <f>+G159*D159</f>
        <v>0</v>
      </c>
      <c r="J159" s="150"/>
      <c r="K159" s="186"/>
      <c r="L159" s="157"/>
      <c r="N159" s="150"/>
      <c r="O159" s="145"/>
      <c r="P159" s="150" t="s">
        <v>168</v>
      </c>
    </row>
    <row r="160" spans="1:16">
      <c r="A160" s="151">
        <v>12</v>
      </c>
      <c r="B160" s="157" t="s">
        <v>317</v>
      </c>
      <c r="C160" s="150"/>
      <c r="D160" s="150">
        <f>SUM(D157:D159)</f>
        <v>2663838.34</v>
      </c>
      <c r="E160" s="150"/>
      <c r="F160" s="150"/>
      <c r="G160" s="150"/>
      <c r="H160" s="150"/>
      <c r="I160" s="150">
        <f>SUM(I157:I159)</f>
        <v>686028.6069458198</v>
      </c>
      <c r="J160" s="150"/>
      <c r="K160" s="150"/>
      <c r="L160" s="157"/>
      <c r="N160" s="188"/>
      <c r="O160" s="150"/>
      <c r="P160" s="157"/>
    </row>
    <row r="161" spans="1:16">
      <c r="A161" s="151"/>
      <c r="B161" s="157"/>
      <c r="C161" s="150"/>
      <c r="D161" s="150"/>
      <c r="E161" s="150"/>
      <c r="F161" s="150"/>
      <c r="G161" s="150"/>
      <c r="H161" s="150"/>
      <c r="I161" s="150"/>
      <c r="J161" s="150"/>
      <c r="K161" s="150"/>
      <c r="L161" s="157"/>
      <c r="N161" s="150"/>
      <c r="O161" s="150"/>
      <c r="P161" s="157"/>
    </row>
    <row r="162" spans="1:16">
      <c r="A162" s="151" t="s">
        <v>168</v>
      </c>
      <c r="B162" s="157" t="s">
        <v>318</v>
      </c>
      <c r="D162" s="150"/>
      <c r="E162" s="150"/>
      <c r="F162" s="150"/>
      <c r="G162" s="150"/>
      <c r="H162" s="150"/>
      <c r="I162" s="150"/>
      <c r="J162" s="150"/>
      <c r="K162" s="150"/>
      <c r="L162" s="157"/>
      <c r="N162" s="150"/>
      <c r="O162" s="150"/>
      <c r="P162" s="157"/>
    </row>
    <row r="163" spans="1:16">
      <c r="A163" s="151"/>
      <c r="B163" s="157" t="s">
        <v>319</v>
      </c>
      <c r="E163" s="150"/>
      <c r="F163" s="150"/>
      <c r="H163" s="150"/>
      <c r="J163" s="150"/>
      <c r="K163" s="186"/>
      <c r="L163" s="157"/>
      <c r="N163" s="190"/>
      <c r="O163" s="145"/>
      <c r="P163" s="157"/>
    </row>
    <row r="164" spans="1:16">
      <c r="A164" s="151">
        <v>13</v>
      </c>
      <c r="B164" s="157" t="s">
        <v>320</v>
      </c>
      <c r="C164" s="150"/>
      <c r="D164" s="187">
        <f>'Taxes other than inc tax'!E6</f>
        <v>896649.67999999993</v>
      </c>
      <c r="E164" s="150"/>
      <c r="F164" s="150" t="s">
        <v>263</v>
      </c>
      <c r="G164" s="159">
        <f>+G158</f>
        <v>5.8308692904817667E-2</v>
      </c>
      <c r="H164" s="150"/>
      <c r="I164" s="150">
        <f>+G164*D164</f>
        <v>52282.47083432303</v>
      </c>
      <c r="J164" s="150"/>
      <c r="K164" s="186"/>
      <c r="L164" s="157"/>
      <c r="N164" s="190"/>
      <c r="O164" s="145"/>
      <c r="P164" s="157"/>
    </row>
    <row r="165" spans="1:16">
      <c r="A165" s="151">
        <v>14</v>
      </c>
      <c r="B165" s="157" t="s">
        <v>321</v>
      </c>
      <c r="C165" s="150"/>
      <c r="D165" s="187">
        <f>'Taxes other than inc tax'!E7</f>
        <v>0</v>
      </c>
      <c r="E165" s="150"/>
      <c r="F165" s="150" t="str">
        <f>+F164</f>
        <v>W/S</v>
      </c>
      <c r="G165" s="159">
        <f>+G164</f>
        <v>5.8308692904817667E-2</v>
      </c>
      <c r="H165" s="150"/>
      <c r="I165" s="150">
        <f>+G165*D165</f>
        <v>0</v>
      </c>
      <c r="J165" s="150"/>
      <c r="K165" s="186"/>
      <c r="L165" s="157"/>
      <c r="N165" s="190"/>
      <c r="O165" s="145"/>
      <c r="P165" s="157"/>
    </row>
    <row r="166" spans="1:16">
      <c r="A166" s="151">
        <v>15</v>
      </c>
      <c r="B166" s="157" t="s">
        <v>322</v>
      </c>
      <c r="C166" s="150"/>
      <c r="E166" s="150"/>
      <c r="F166" s="150"/>
      <c r="H166" s="150"/>
      <c r="J166" s="150"/>
      <c r="K166" s="186"/>
      <c r="L166" s="157"/>
      <c r="N166" s="190"/>
      <c r="O166" s="145"/>
      <c r="P166" s="157"/>
    </row>
    <row r="167" spans="1:16">
      <c r="A167" s="151">
        <v>16</v>
      </c>
      <c r="B167" s="157" t="s">
        <v>323</v>
      </c>
      <c r="C167" s="150"/>
      <c r="D167" s="187">
        <f>'Taxes other than inc tax'!E8</f>
        <v>2032</v>
      </c>
      <c r="E167" s="150"/>
      <c r="F167" s="150" t="s">
        <v>297</v>
      </c>
      <c r="G167" s="159">
        <f>+G84</f>
        <v>7.4979449764131317E-2</v>
      </c>
      <c r="H167" s="150"/>
      <c r="I167" s="150">
        <f>+G167*D167</f>
        <v>152.35824192071485</v>
      </c>
      <c r="J167" s="150"/>
      <c r="K167" s="186"/>
      <c r="L167" s="157"/>
      <c r="N167" s="190"/>
      <c r="O167" s="145"/>
      <c r="P167" s="157"/>
    </row>
    <row r="168" spans="1:16">
      <c r="A168" s="151">
        <v>17</v>
      </c>
      <c r="B168" s="157" t="s">
        <v>324</v>
      </c>
      <c r="C168" s="150"/>
      <c r="D168" s="187">
        <f>'Taxes other than inc tax'!E9</f>
        <v>0</v>
      </c>
      <c r="E168" s="150"/>
      <c r="F168" s="150" t="s">
        <v>256</v>
      </c>
      <c r="G168" s="201" t="s">
        <v>280</v>
      </c>
      <c r="H168" s="150"/>
      <c r="I168" s="150">
        <v>0</v>
      </c>
      <c r="J168" s="150"/>
      <c r="K168" s="186"/>
      <c r="L168" s="157"/>
      <c r="N168" s="190"/>
      <c r="O168" s="145"/>
      <c r="P168" s="157"/>
    </row>
    <row r="169" spans="1:16">
      <c r="A169" s="151">
        <v>18</v>
      </c>
      <c r="B169" s="157" t="s">
        <v>325</v>
      </c>
      <c r="C169" s="150"/>
      <c r="D169" s="187">
        <f>'Taxes other than inc tax'!E10</f>
        <v>0</v>
      </c>
      <c r="E169" s="150"/>
      <c r="F169" s="150" t="str">
        <f>+F167</f>
        <v>GP</v>
      </c>
      <c r="G169" s="159">
        <f>+G167</f>
        <v>7.4979449764131317E-2</v>
      </c>
      <c r="H169" s="150"/>
      <c r="I169" s="150">
        <f>+G169*D169</f>
        <v>0</v>
      </c>
      <c r="J169" s="150"/>
      <c r="K169" s="186"/>
      <c r="L169" s="157"/>
      <c r="N169" s="190"/>
      <c r="O169" s="145"/>
      <c r="P169" s="157"/>
    </row>
    <row r="170" spans="1:16" ht="16.5" thickBot="1">
      <c r="A170" s="151">
        <v>19</v>
      </c>
      <c r="B170" s="157" t="s">
        <v>326</v>
      </c>
      <c r="C170" s="150"/>
      <c r="D170" s="185">
        <f>'Taxes other than inc tax'!E11</f>
        <v>8307133.0499999998</v>
      </c>
      <c r="E170" s="150"/>
      <c r="F170" s="150" t="s">
        <v>297</v>
      </c>
      <c r="G170" s="159">
        <f>+G169</f>
        <v>7.4979449764131317E-2</v>
      </c>
      <c r="H170" s="150"/>
      <c r="I170" s="162">
        <f>+G170*D170</f>
        <v>622864.26520642999</v>
      </c>
      <c r="J170" s="150"/>
      <c r="K170" s="186"/>
      <c r="L170" s="157"/>
      <c r="N170" s="190"/>
      <c r="O170" s="145"/>
      <c r="P170" s="157"/>
    </row>
    <row r="171" spans="1:16">
      <c r="A171" s="151">
        <v>20</v>
      </c>
      <c r="B171" s="157" t="s">
        <v>327</v>
      </c>
      <c r="C171" s="150"/>
      <c r="D171" s="150">
        <f>SUM(D164:D170)</f>
        <v>9205814.7300000004</v>
      </c>
      <c r="E171" s="150"/>
      <c r="F171" s="150"/>
      <c r="G171" s="159"/>
      <c r="H171" s="150"/>
      <c r="I171" s="150">
        <f>SUM(I164:I170)</f>
        <v>675299.09428267379</v>
      </c>
      <c r="J171" s="150"/>
      <c r="K171" s="150"/>
      <c r="L171" s="150" t="s">
        <v>168</v>
      </c>
      <c r="N171" s="188"/>
      <c r="O171" s="150"/>
      <c r="P171" s="157"/>
    </row>
    <row r="172" spans="1:16">
      <c r="A172" s="151" t="s">
        <v>328</v>
      </c>
      <c r="B172" s="157"/>
      <c r="C172" s="150"/>
      <c r="D172" s="150"/>
      <c r="E172" s="150"/>
      <c r="F172" s="150"/>
      <c r="G172" s="159"/>
      <c r="H172" s="150"/>
      <c r="I172" s="150"/>
      <c r="J172" s="150"/>
      <c r="K172" s="150"/>
      <c r="L172" s="150"/>
      <c r="N172" s="150"/>
      <c r="O172" s="150"/>
      <c r="P172" s="157"/>
    </row>
    <row r="173" spans="1:16">
      <c r="A173" s="151" t="s">
        <v>168</v>
      </c>
      <c r="B173" s="157" t="s">
        <v>329</v>
      </c>
      <c r="C173" s="202" t="s">
        <v>330</v>
      </c>
      <c r="D173" s="150"/>
      <c r="E173" s="150"/>
      <c r="F173" s="150" t="s">
        <v>256</v>
      </c>
      <c r="G173" s="203"/>
      <c r="H173" s="150"/>
      <c r="I173" s="150"/>
      <c r="J173" s="150"/>
      <c r="L173" s="150"/>
      <c r="N173" s="150"/>
      <c r="O173" s="175"/>
      <c r="P173" s="150" t="s">
        <v>168</v>
      </c>
    </row>
    <row r="174" spans="1:16">
      <c r="A174" s="151">
        <v>21</v>
      </c>
      <c r="B174" s="204" t="s">
        <v>331</v>
      </c>
      <c r="C174" s="150"/>
      <c r="D174" s="205">
        <f>IF(D289&gt;0,1-(((1-D290)*(1-D289))/(1-D290*D289*D291)),0)</f>
        <v>0</v>
      </c>
      <c r="E174" s="150"/>
      <c r="G174" s="203"/>
      <c r="H174" s="150"/>
      <c r="J174" s="150"/>
      <c r="L174" s="150"/>
      <c r="N174" s="150"/>
      <c r="O174" s="175"/>
      <c r="P174" s="150"/>
    </row>
    <row r="175" spans="1:16">
      <c r="A175" s="151">
        <v>22</v>
      </c>
      <c r="B175" s="138" t="s">
        <v>332</v>
      </c>
      <c r="C175" s="150"/>
      <c r="D175" s="205">
        <f>IF(I246&gt;0,(D174/(1-D174))*(1-I244/I246),0)</f>
        <v>0</v>
      </c>
      <c r="E175" s="150"/>
      <c r="G175" s="203"/>
      <c r="H175" s="150"/>
      <c r="J175" s="150"/>
      <c r="L175" s="150"/>
      <c r="N175" s="150"/>
      <c r="O175" s="145"/>
      <c r="P175" s="150"/>
    </row>
    <row r="176" spans="1:16">
      <c r="A176" s="151"/>
      <c r="B176" s="157" t="s">
        <v>333</v>
      </c>
      <c r="C176" s="150"/>
      <c r="D176" s="150"/>
      <c r="E176" s="150"/>
      <c r="G176" s="203"/>
      <c r="H176" s="150"/>
      <c r="J176" s="150"/>
      <c r="L176" s="150"/>
      <c r="N176" s="150"/>
      <c r="O176" s="145"/>
      <c r="P176" s="150"/>
    </row>
    <row r="177" spans="1:16">
      <c r="A177" s="151"/>
      <c r="B177" s="157" t="s">
        <v>334</v>
      </c>
      <c r="C177" s="150"/>
      <c r="D177" s="150"/>
      <c r="E177" s="150"/>
      <c r="G177" s="203"/>
      <c r="H177" s="150"/>
      <c r="J177" s="150"/>
      <c r="L177" s="150"/>
      <c r="N177" s="150"/>
      <c r="O177" s="145"/>
      <c r="P177" s="150"/>
    </row>
    <row r="178" spans="1:16">
      <c r="A178" s="151">
        <v>23</v>
      </c>
      <c r="B178" s="204" t="s">
        <v>335</v>
      </c>
      <c r="C178" s="150"/>
      <c r="D178" s="206">
        <f>IF(D174&gt;0,1/(1-D174),0)</f>
        <v>0</v>
      </c>
      <c r="E178" s="150"/>
      <c r="G178" s="203"/>
      <c r="H178" s="150"/>
      <c r="J178" s="150"/>
      <c r="L178" s="157"/>
      <c r="N178" s="150"/>
      <c r="O178" s="145"/>
      <c r="P178" s="150"/>
    </row>
    <row r="179" spans="1:16">
      <c r="A179" s="151">
        <v>24</v>
      </c>
      <c r="B179" s="195" t="s">
        <v>336</v>
      </c>
      <c r="C179" s="150"/>
      <c r="D179" s="187">
        <v>0</v>
      </c>
      <c r="E179" s="150"/>
      <c r="G179" s="203"/>
      <c r="H179" s="150"/>
      <c r="J179" s="150"/>
      <c r="L179" s="157"/>
      <c r="N179" s="150"/>
      <c r="O179" s="145"/>
      <c r="P179" s="150"/>
    </row>
    <row r="180" spans="1:16">
      <c r="A180" s="151"/>
      <c r="B180" s="157"/>
      <c r="C180" s="150"/>
      <c r="D180" s="150"/>
      <c r="E180" s="150"/>
      <c r="G180" s="203"/>
      <c r="H180" s="150"/>
      <c r="J180" s="150"/>
      <c r="L180" s="157"/>
      <c r="N180" s="150"/>
      <c r="O180" s="145"/>
      <c r="P180" s="150"/>
    </row>
    <row r="181" spans="1:16">
      <c r="A181" s="151">
        <v>25</v>
      </c>
      <c r="B181" s="204" t="s">
        <v>337</v>
      </c>
      <c r="C181" s="202"/>
      <c r="D181" s="150">
        <f>D175*D185</f>
        <v>0</v>
      </c>
      <c r="E181" s="150"/>
      <c r="F181" s="150" t="s">
        <v>256</v>
      </c>
      <c r="G181" s="159"/>
      <c r="H181" s="150"/>
      <c r="I181" s="150">
        <f>D175*I185</f>
        <v>0</v>
      </c>
      <c r="J181" s="150"/>
      <c r="L181" s="157"/>
      <c r="N181" s="150"/>
      <c r="O181" s="145"/>
      <c r="P181" s="150"/>
    </row>
    <row r="182" spans="1:16" ht="16.5" thickBot="1">
      <c r="A182" s="151">
        <v>26</v>
      </c>
      <c r="B182" s="138" t="s">
        <v>338</v>
      </c>
      <c r="C182" s="202"/>
      <c r="D182" s="162">
        <f>D178*D179</f>
        <v>0</v>
      </c>
      <c r="E182" s="150"/>
      <c r="F182" s="138" t="s">
        <v>282</v>
      </c>
      <c r="G182" s="159">
        <f>G100</f>
        <v>9.4780846323885601E-2</v>
      </c>
      <c r="H182" s="150"/>
      <c r="I182" s="162">
        <f>G182*D182</f>
        <v>0</v>
      </c>
      <c r="J182" s="150"/>
      <c r="L182" s="150" t="s">
        <v>168</v>
      </c>
      <c r="N182" s="150"/>
      <c r="O182" s="145"/>
      <c r="P182" s="150"/>
    </row>
    <row r="183" spans="1:16">
      <c r="A183" s="151">
        <v>27</v>
      </c>
      <c r="B183" s="207" t="s">
        <v>339</v>
      </c>
      <c r="C183" s="138" t="s">
        <v>340</v>
      </c>
      <c r="D183" s="208">
        <f>+D181+D182</f>
        <v>0</v>
      </c>
      <c r="E183" s="150"/>
      <c r="F183" s="150" t="s">
        <v>168</v>
      </c>
      <c r="G183" s="159" t="s">
        <v>168</v>
      </c>
      <c r="H183" s="150"/>
      <c r="I183" s="208">
        <f>+I181+I182</f>
        <v>0</v>
      </c>
      <c r="J183" s="150"/>
      <c r="L183" s="150"/>
      <c r="N183" s="150"/>
      <c r="O183" s="145"/>
      <c r="P183" s="150"/>
    </row>
    <row r="184" spans="1:16">
      <c r="A184" s="151" t="s">
        <v>168</v>
      </c>
      <c r="C184" s="209"/>
      <c r="D184" s="150"/>
      <c r="E184" s="150"/>
      <c r="F184" s="150"/>
      <c r="G184" s="159"/>
      <c r="H184" s="150"/>
      <c r="I184" s="150"/>
      <c r="J184" s="150"/>
      <c r="K184" s="150"/>
      <c r="L184" s="150"/>
      <c r="N184" s="150"/>
      <c r="O184" s="150"/>
      <c r="P184" s="157"/>
    </row>
    <row r="185" spans="1:16">
      <c r="A185" s="151">
        <v>28</v>
      </c>
      <c r="B185" s="157" t="s">
        <v>341</v>
      </c>
      <c r="C185" s="186"/>
      <c r="D185" s="150">
        <f>+$I246*D118</f>
        <v>10161948.159748349</v>
      </c>
      <c r="E185" s="150"/>
      <c r="F185" s="150" t="s">
        <v>256</v>
      </c>
      <c r="G185" s="203"/>
      <c r="H185" s="150"/>
      <c r="I185" s="150">
        <f>+$I246*I118</f>
        <v>983157.93949261098</v>
      </c>
      <c r="J185" s="150"/>
      <c r="L185" s="157"/>
      <c r="N185" s="150"/>
      <c r="O185" s="145"/>
      <c r="P185" s="150" t="s">
        <v>168</v>
      </c>
    </row>
    <row r="186" spans="1:16">
      <c r="A186" s="151"/>
      <c r="B186" s="207" t="s">
        <v>342</v>
      </c>
      <c r="D186" s="150"/>
      <c r="E186" s="150"/>
      <c r="F186" s="150"/>
      <c r="G186" s="203"/>
      <c r="H186" s="150"/>
      <c r="I186" s="150"/>
      <c r="J186" s="150"/>
      <c r="K186" s="186"/>
      <c r="L186" s="143"/>
      <c r="N186" s="150"/>
      <c r="O186" s="145"/>
      <c r="P186" s="150"/>
    </row>
    <row r="187" spans="1:16">
      <c r="A187" s="151"/>
      <c r="B187" s="157"/>
      <c r="D187" s="210"/>
      <c r="E187" s="150"/>
      <c r="F187" s="150"/>
      <c r="G187" s="203"/>
      <c r="H187" s="150"/>
      <c r="I187" s="210"/>
      <c r="J187" s="150"/>
      <c r="K187" s="186"/>
      <c r="L187" s="143"/>
      <c r="N187" s="150"/>
      <c r="O187" s="145"/>
      <c r="P187" s="150"/>
    </row>
    <row r="188" spans="1:16">
      <c r="A188" s="151">
        <v>29</v>
      </c>
      <c r="B188" s="157" t="s">
        <v>343</v>
      </c>
      <c r="C188" s="150"/>
      <c r="D188" s="210">
        <f>+D185+D183+D171+D160+D154</f>
        <v>33674389.849748351</v>
      </c>
      <c r="E188" s="150"/>
      <c r="F188" s="150"/>
      <c r="G188" s="150"/>
      <c r="H188" s="150"/>
      <c r="I188" s="210">
        <f>+I185+I183+I171+I160+I154</f>
        <v>3700940.6931413449</v>
      </c>
      <c r="J188" s="143"/>
      <c r="K188" s="143"/>
      <c r="L188" s="143"/>
      <c r="N188" s="143"/>
      <c r="O188" s="175"/>
      <c r="P188" s="157"/>
    </row>
    <row r="189" spans="1:16">
      <c r="A189" s="151"/>
      <c r="B189" s="157"/>
      <c r="C189" s="150"/>
      <c r="D189" s="210"/>
      <c r="E189" s="150"/>
      <c r="F189" s="150"/>
      <c r="G189" s="150"/>
      <c r="H189" s="150"/>
      <c r="I189" s="210"/>
      <c r="J189" s="143"/>
      <c r="K189" s="143"/>
      <c r="L189" s="143"/>
      <c r="N189" s="143"/>
      <c r="O189" s="175"/>
      <c r="P189" s="157"/>
    </row>
    <row r="190" spans="1:16">
      <c r="A190" s="151">
        <v>30</v>
      </c>
      <c r="B190" s="138" t="s">
        <v>344</v>
      </c>
      <c r="J190" s="143"/>
      <c r="K190" s="143"/>
      <c r="L190" s="143"/>
      <c r="N190" s="143"/>
      <c r="O190" s="175"/>
      <c r="P190" s="157"/>
    </row>
    <row r="191" spans="1:16">
      <c r="A191" s="151"/>
      <c r="B191" s="138" t="s">
        <v>345</v>
      </c>
      <c r="J191" s="143"/>
      <c r="K191" s="143"/>
      <c r="L191" s="143"/>
      <c r="N191" s="143"/>
      <c r="O191" s="175"/>
      <c r="P191" s="157"/>
    </row>
    <row r="192" spans="1:16">
      <c r="A192" s="151"/>
      <c r="B192" s="138" t="s">
        <v>346</v>
      </c>
      <c r="D192" s="211">
        <v>0</v>
      </c>
      <c r="E192" s="157"/>
      <c r="F192" s="157"/>
      <c r="G192" s="157"/>
      <c r="H192" s="157"/>
      <c r="I192" s="211">
        <v>0</v>
      </c>
      <c r="J192" s="143"/>
      <c r="K192" s="143"/>
      <c r="L192" s="143"/>
      <c r="N192" s="143"/>
      <c r="O192" s="175"/>
      <c r="P192" s="157"/>
    </row>
    <row r="193" spans="1:16">
      <c r="A193" s="151"/>
      <c r="B193" s="157"/>
      <c r="C193" s="150"/>
      <c r="D193" s="210"/>
      <c r="E193" s="150"/>
      <c r="F193" s="150"/>
      <c r="G193" s="150"/>
      <c r="H193" s="150"/>
      <c r="I193" s="210"/>
      <c r="J193" s="143"/>
      <c r="K193" s="143"/>
      <c r="L193" s="143"/>
      <c r="N193" s="143"/>
      <c r="O193" s="175"/>
      <c r="P193" s="157"/>
    </row>
    <row r="194" spans="1:16">
      <c r="A194" s="151" t="s">
        <v>347</v>
      </c>
      <c r="B194" s="196" t="s">
        <v>348</v>
      </c>
      <c r="C194" s="196"/>
      <c r="D194" s="196"/>
      <c r="J194" s="150"/>
      <c r="K194" s="150"/>
      <c r="L194" s="143"/>
      <c r="N194" s="150"/>
      <c r="O194" s="145"/>
      <c r="P194" s="150" t="s">
        <v>168</v>
      </c>
    </row>
    <row r="195" spans="1:16">
      <c r="A195" s="151"/>
      <c r="B195" s="138" t="s">
        <v>345</v>
      </c>
      <c r="J195" s="150"/>
      <c r="K195" s="150"/>
      <c r="L195" s="143"/>
      <c r="N195" s="150"/>
      <c r="O195" s="145"/>
      <c r="P195" s="150"/>
    </row>
    <row r="196" spans="1:16" ht="16.5" thickBot="1">
      <c r="A196" s="151"/>
      <c r="B196" s="138" t="s">
        <v>349</v>
      </c>
      <c r="D196" s="212">
        <v>0</v>
      </c>
      <c r="E196" s="157"/>
      <c r="F196" s="157"/>
      <c r="G196" s="157"/>
      <c r="H196" s="157"/>
      <c r="I196" s="212">
        <v>0</v>
      </c>
      <c r="J196" s="150"/>
      <c r="K196" s="150"/>
      <c r="L196" s="143"/>
      <c r="N196" s="150"/>
      <c r="O196" s="145"/>
      <c r="P196" s="150"/>
    </row>
    <row r="197" spans="1:16" ht="16.5" thickBot="1">
      <c r="A197" s="194">
        <v>31</v>
      </c>
      <c r="B197" s="196" t="s">
        <v>350</v>
      </c>
      <c r="C197" s="196"/>
      <c r="D197" s="213">
        <f>+D188-D192-D196</f>
        <v>33674389.849748351</v>
      </c>
      <c r="E197" s="196"/>
      <c r="F197" s="196"/>
      <c r="G197" s="196"/>
      <c r="H197" s="196"/>
      <c r="I197" s="213">
        <f>+I188-I192-I196</f>
        <v>3700940.6931413449</v>
      </c>
      <c r="J197" s="198"/>
      <c r="K197" s="198"/>
      <c r="L197" s="214"/>
      <c r="M197" s="196"/>
      <c r="N197" s="198"/>
      <c r="O197" s="145"/>
      <c r="P197" s="410"/>
    </row>
    <row r="198" spans="1:16" ht="16.5" thickTop="1">
      <c r="A198" s="151"/>
      <c r="B198" s="138" t="s">
        <v>351</v>
      </c>
      <c r="J198" s="150"/>
      <c r="K198" s="150"/>
      <c r="L198" s="143"/>
      <c r="N198" s="150"/>
      <c r="O198" s="145"/>
      <c r="P198" s="150"/>
    </row>
    <row r="199" spans="1:16" s="216" customFormat="1">
      <c r="A199" s="215"/>
      <c r="J199" s="217"/>
      <c r="K199" s="217"/>
      <c r="L199" s="218"/>
      <c r="N199" s="217"/>
      <c r="O199" s="219"/>
      <c r="P199" s="217"/>
    </row>
    <row r="200" spans="1:16" s="216" customFormat="1">
      <c r="A200" s="215"/>
      <c r="J200" s="217"/>
      <c r="K200" s="217"/>
      <c r="L200" s="218"/>
      <c r="N200" s="217"/>
      <c r="O200" s="219"/>
      <c r="P200" s="217"/>
    </row>
    <row r="201" spans="1:16" s="216" customFormat="1">
      <c r="A201" s="215"/>
      <c r="J201" s="217"/>
      <c r="K201" s="139" t="s">
        <v>186</v>
      </c>
      <c r="L201" s="218"/>
      <c r="N201" s="217"/>
      <c r="O201" s="219"/>
      <c r="P201" s="217"/>
    </row>
    <row r="202" spans="1:16">
      <c r="B202" s="140"/>
      <c r="C202" s="140"/>
      <c r="D202" s="141"/>
      <c r="E202" s="140"/>
      <c r="F202" s="140"/>
      <c r="G202" s="140"/>
      <c r="H202" s="142"/>
      <c r="I202" s="142"/>
      <c r="J202" s="143"/>
      <c r="K202" s="144" t="s">
        <v>352</v>
      </c>
      <c r="L202" s="157"/>
      <c r="N202" s="143"/>
      <c r="O202" s="143"/>
      <c r="P202" s="143"/>
    </row>
    <row r="203" spans="1:16">
      <c r="A203" s="151"/>
      <c r="J203" s="150"/>
      <c r="K203" s="150"/>
      <c r="L203" s="157"/>
      <c r="N203" s="150"/>
      <c r="O203" s="145"/>
      <c r="P203" s="150"/>
    </row>
    <row r="204" spans="1:16">
      <c r="A204" s="151"/>
      <c r="B204" s="157" t="str">
        <f>B4</f>
        <v xml:space="preserve">Formula Rate - Non-Levelized </v>
      </c>
      <c r="D204" s="138" t="str">
        <f>D4</f>
        <v xml:space="preserve">   Rate Formula Template</v>
      </c>
      <c r="J204" s="150"/>
      <c r="K204" s="139" t="str">
        <f>K4</f>
        <v>For the 12 months ended 12/31/2013</v>
      </c>
      <c r="L204" s="157"/>
      <c r="N204" s="150"/>
      <c r="O204" s="150"/>
      <c r="P204" s="157"/>
    </row>
    <row r="205" spans="1:16">
      <c r="A205" s="151"/>
      <c r="B205" s="157"/>
      <c r="D205" s="138" t="str">
        <f>D5</f>
        <v>Utilizing EIA Form 412 Data</v>
      </c>
      <c r="J205" s="150"/>
      <c r="K205" s="150"/>
      <c r="L205" s="157"/>
      <c r="N205" s="150"/>
      <c r="O205" s="150"/>
      <c r="P205" s="157"/>
    </row>
    <row r="206" spans="1:16" ht="9" customHeight="1">
      <c r="A206" s="151"/>
      <c r="J206" s="150"/>
      <c r="K206" s="150"/>
      <c r="L206" s="157"/>
      <c r="N206" s="150"/>
      <c r="O206" s="150"/>
      <c r="P206" s="157"/>
    </row>
    <row r="207" spans="1:16">
      <c r="A207" s="151"/>
      <c r="D207" s="138" t="str">
        <f>D7</f>
        <v>Rochester Public Utilities</v>
      </c>
      <c r="J207" s="150"/>
      <c r="K207" s="150"/>
      <c r="L207" s="157"/>
      <c r="N207" s="150"/>
      <c r="O207" s="150"/>
      <c r="P207" s="157"/>
    </row>
    <row r="208" spans="1:16">
      <c r="A208" s="151" t="s">
        <v>1</v>
      </c>
      <c r="C208" s="157"/>
      <c r="D208" s="157"/>
      <c r="E208" s="157"/>
      <c r="F208" s="157"/>
      <c r="G208" s="157"/>
      <c r="H208" s="157"/>
      <c r="I208" s="157"/>
      <c r="J208" s="157"/>
      <c r="K208" s="157"/>
      <c r="L208" s="220"/>
      <c r="N208" s="157"/>
      <c r="O208" s="157"/>
      <c r="P208" s="157"/>
    </row>
    <row r="209" spans="1:17" ht="16.5" thickBot="1">
      <c r="A209" s="154" t="s">
        <v>2</v>
      </c>
      <c r="C209" s="180" t="s">
        <v>353</v>
      </c>
      <c r="E209" s="143"/>
      <c r="F209" s="143"/>
      <c r="G209" s="143"/>
      <c r="H209" s="143"/>
      <c r="I209" s="143"/>
      <c r="J209" s="150"/>
      <c r="K209" s="150"/>
      <c r="L209" s="220"/>
      <c r="N209" s="143"/>
      <c r="O209" s="150"/>
      <c r="P209" s="157"/>
    </row>
    <row r="210" spans="1:17">
      <c r="A210" s="151"/>
      <c r="B210" s="140" t="s">
        <v>354</v>
      </c>
      <c r="C210" s="143"/>
      <c r="D210" s="143"/>
      <c r="E210" s="143"/>
      <c r="F210" s="143"/>
      <c r="G210" s="143"/>
      <c r="H210" s="143"/>
      <c r="I210" s="143"/>
      <c r="J210" s="150"/>
      <c r="K210" s="150"/>
      <c r="L210" s="157"/>
      <c r="N210" s="143"/>
      <c r="O210" s="150"/>
      <c r="P210" s="157"/>
    </row>
    <row r="211" spans="1:17">
      <c r="A211" s="151">
        <v>1</v>
      </c>
      <c r="B211" s="142" t="s">
        <v>355</v>
      </c>
      <c r="C211" s="143"/>
      <c r="D211" s="150"/>
      <c r="E211" s="150"/>
      <c r="F211" s="150"/>
      <c r="G211" s="150"/>
      <c r="H211" s="150"/>
      <c r="I211" s="150">
        <f>D80</f>
        <v>22860896.760000002</v>
      </c>
      <c r="J211" s="150"/>
      <c r="K211" s="150"/>
      <c r="L211" s="157"/>
      <c r="N211" s="143"/>
      <c r="O211" s="150"/>
      <c r="P211" s="157"/>
    </row>
    <row r="212" spans="1:17">
      <c r="A212" s="151">
        <v>2</v>
      </c>
      <c r="B212" s="142" t="s">
        <v>356</v>
      </c>
      <c r="I212" s="187">
        <v>0</v>
      </c>
      <c r="J212" s="150"/>
      <c r="K212" s="150"/>
      <c r="L212" s="157"/>
      <c r="N212" s="143"/>
      <c r="O212" s="150"/>
      <c r="P212" s="157"/>
    </row>
    <row r="213" spans="1:17" ht="16.5" thickBot="1">
      <c r="A213" s="151">
        <v>3</v>
      </c>
      <c r="B213" s="221" t="s">
        <v>357</v>
      </c>
      <c r="C213" s="222"/>
      <c r="D213" s="210"/>
      <c r="E213" s="150"/>
      <c r="F213" s="150"/>
      <c r="G213" s="190"/>
      <c r="H213" s="150"/>
      <c r="I213" s="185">
        <v>2625514</v>
      </c>
      <c r="J213" s="150"/>
      <c r="K213" s="150"/>
      <c r="L213" s="157"/>
      <c r="N213" s="143"/>
      <c r="O213" s="150"/>
      <c r="P213" s="157"/>
    </row>
    <row r="214" spans="1:17">
      <c r="A214" s="151">
        <v>4</v>
      </c>
      <c r="B214" s="142" t="s">
        <v>358</v>
      </c>
      <c r="C214" s="143"/>
      <c r="D214" s="150"/>
      <c r="E214" s="150"/>
      <c r="F214" s="150"/>
      <c r="G214" s="190"/>
      <c r="H214" s="150"/>
      <c r="I214" s="150">
        <f>I211-I212-I213</f>
        <v>20235382.760000002</v>
      </c>
      <c r="J214" s="150"/>
      <c r="K214" s="150"/>
      <c r="L214" s="157"/>
      <c r="N214" s="143"/>
      <c r="O214" s="150"/>
      <c r="P214" s="157"/>
    </row>
    <row r="215" spans="1:17">
      <c r="A215" s="151"/>
      <c r="C215" s="143"/>
      <c r="D215" s="150"/>
      <c r="E215" s="150"/>
      <c r="F215" s="150"/>
      <c r="G215" s="190"/>
      <c r="H215" s="150"/>
      <c r="J215" s="150"/>
      <c r="K215" s="150"/>
    </row>
    <row r="216" spans="1:17">
      <c r="A216" s="151">
        <v>5</v>
      </c>
      <c r="B216" s="142" t="s">
        <v>359</v>
      </c>
      <c r="C216" s="153"/>
      <c r="D216" s="223"/>
      <c r="E216" s="223"/>
      <c r="F216" s="223"/>
      <c r="G216" s="177"/>
      <c r="H216" s="150" t="s">
        <v>360</v>
      </c>
      <c r="I216" s="189">
        <f>IF(I211&gt;0,I214/I211,0)</f>
        <v>0.88515262425777208</v>
      </c>
      <c r="J216" s="150"/>
      <c r="K216" s="150"/>
    </row>
    <row r="217" spans="1:17">
      <c r="J217" s="150"/>
      <c r="K217" s="150"/>
      <c r="M217" s="224" t="s">
        <v>361</v>
      </c>
    </row>
    <row r="218" spans="1:17">
      <c r="B218" s="157" t="s">
        <v>362</v>
      </c>
      <c r="J218" s="150"/>
      <c r="K218" s="150"/>
    </row>
    <row r="219" spans="1:17">
      <c r="A219" s="151">
        <v>6</v>
      </c>
      <c r="B219" s="138" t="s">
        <v>363</v>
      </c>
      <c r="D219" s="143"/>
      <c r="E219" s="143"/>
      <c r="F219" s="143"/>
      <c r="G219" s="145"/>
      <c r="H219" s="143"/>
      <c r="I219" s="150">
        <f>D145</f>
        <v>8136783.1899999995</v>
      </c>
      <c r="J219" s="150"/>
      <c r="K219" s="150"/>
      <c r="L219" s="553" t="s">
        <v>364</v>
      </c>
      <c r="M219" s="554"/>
      <c r="N219" s="554"/>
      <c r="O219" s="554"/>
      <c r="P219" s="554"/>
      <c r="Q219" s="555"/>
    </row>
    <row r="220" spans="1:17" ht="16.5" thickBot="1">
      <c r="A220" s="151">
        <v>7</v>
      </c>
      <c r="B220" s="221" t="s">
        <v>365</v>
      </c>
      <c r="C220" s="222"/>
      <c r="D220" s="210"/>
      <c r="E220" s="210"/>
      <c r="F220" s="150"/>
      <c r="G220" s="150"/>
      <c r="H220" s="150"/>
      <c r="I220" s="185">
        <f>'Transmission O&amp;M'!C8+'Transmission O&amp;M'!C9+'Transmission O&amp;M'!C10</f>
        <v>308227.05</v>
      </c>
      <c r="J220" s="150"/>
      <c r="K220" s="150"/>
      <c r="L220" s="225">
        <f>+I220</f>
        <v>308227.05</v>
      </c>
      <c r="M220" s="226" t="s">
        <v>366</v>
      </c>
      <c r="N220" s="227"/>
      <c r="O220" s="210"/>
      <c r="P220" s="228"/>
      <c r="Q220" s="229"/>
    </row>
    <row r="221" spans="1:17">
      <c r="A221" s="151">
        <v>8</v>
      </c>
      <c r="B221" s="142" t="s">
        <v>367</v>
      </c>
      <c r="C221" s="153"/>
      <c r="D221" s="223"/>
      <c r="E221" s="223"/>
      <c r="F221" s="223"/>
      <c r="G221" s="177"/>
      <c r="H221" s="223"/>
      <c r="I221" s="150">
        <f>+I219-I220</f>
        <v>7828556.1399999997</v>
      </c>
      <c r="J221" s="150"/>
      <c r="K221" s="150"/>
      <c r="L221" s="230">
        <v>0</v>
      </c>
      <c r="M221" s="231" t="s">
        <v>368</v>
      </c>
      <c r="N221" s="232"/>
      <c r="O221" s="232"/>
      <c r="P221" s="232"/>
      <c r="Q221" s="229"/>
    </row>
    <row r="222" spans="1:17">
      <c r="A222" s="151"/>
      <c r="B222" s="142"/>
      <c r="C222" s="143"/>
      <c r="D222" s="150"/>
      <c r="E222" s="150"/>
      <c r="F222" s="150"/>
      <c r="G222" s="150"/>
      <c r="J222" s="150"/>
      <c r="K222" s="150"/>
      <c r="L222" s="225">
        <f>L220-L221</f>
        <v>308227.05</v>
      </c>
      <c r="M222" s="231" t="s">
        <v>369</v>
      </c>
      <c r="N222" s="232"/>
      <c r="O222" s="232"/>
      <c r="P222" s="232"/>
      <c r="Q222" s="229"/>
    </row>
    <row r="223" spans="1:17">
      <c r="A223" s="151">
        <v>9</v>
      </c>
      <c r="B223" s="142" t="s">
        <v>370</v>
      </c>
      <c r="C223" s="143"/>
      <c r="D223" s="150"/>
      <c r="E223" s="150"/>
      <c r="F223" s="150"/>
      <c r="G223" s="150"/>
      <c r="H223" s="150"/>
      <c r="I223" s="184">
        <f>IF(I219&gt;0,I221/I219,0)</f>
        <v>0.96211929913791894</v>
      </c>
      <c r="J223" s="150"/>
      <c r="K223" s="150"/>
      <c r="L223" s="233"/>
      <c r="M223" s="234" t="s">
        <v>371</v>
      </c>
      <c r="N223" s="235"/>
      <c r="O223" s="235"/>
      <c r="P223" s="235"/>
      <c r="Q223" s="236"/>
    </row>
    <row r="224" spans="1:17">
      <c r="A224" s="151">
        <v>10</v>
      </c>
      <c r="B224" s="142" t="s">
        <v>372</v>
      </c>
      <c r="C224" s="143"/>
      <c r="D224" s="150"/>
      <c r="E224" s="150"/>
      <c r="F224" s="150"/>
      <c r="G224" s="150"/>
      <c r="H224" s="143" t="s">
        <v>198</v>
      </c>
      <c r="I224" s="237">
        <f>I216</f>
        <v>0.88515262425777208</v>
      </c>
      <c r="J224" s="150"/>
      <c r="K224" s="150"/>
      <c r="L224" s="238">
        <v>0</v>
      </c>
      <c r="M224" s="239" t="s">
        <v>373</v>
      </c>
      <c r="N224" s="210"/>
      <c r="O224" s="228"/>
      <c r="P224" s="232"/>
      <c r="Q224" s="229"/>
    </row>
    <row r="225" spans="1:17">
      <c r="A225" s="151">
        <v>11</v>
      </c>
      <c r="B225" s="142" t="s">
        <v>374</v>
      </c>
      <c r="C225" s="143"/>
      <c r="D225" s="143"/>
      <c r="E225" s="143"/>
      <c r="F225" s="143"/>
      <c r="G225" s="143"/>
      <c r="H225" s="143" t="s">
        <v>375</v>
      </c>
      <c r="I225" s="240">
        <f>+I224*I223</f>
        <v>0.85162242248097741</v>
      </c>
      <c r="J225" s="150"/>
      <c r="K225" s="150"/>
      <c r="L225" s="238">
        <v>0</v>
      </c>
      <c r="M225" s="239" t="s">
        <v>376</v>
      </c>
      <c r="N225" s="210"/>
      <c r="O225" s="228"/>
      <c r="P225" s="232"/>
      <c r="Q225" s="229"/>
    </row>
    <row r="226" spans="1:17">
      <c r="A226" s="151"/>
      <c r="C226" s="143"/>
      <c r="D226" s="150"/>
      <c r="E226" s="150"/>
      <c r="F226" s="150"/>
      <c r="G226" s="190"/>
      <c r="H226" s="150"/>
      <c r="L226" s="230">
        <v>0</v>
      </c>
      <c r="M226" s="239" t="s">
        <v>377</v>
      </c>
      <c r="N226" s="210"/>
      <c r="O226" s="228"/>
      <c r="P226" s="232"/>
      <c r="Q226" s="229"/>
    </row>
    <row r="227" spans="1:17" ht="16.5" thickBot="1">
      <c r="A227" s="151" t="s">
        <v>168</v>
      </c>
      <c r="B227" s="157" t="s">
        <v>378</v>
      </c>
      <c r="C227" s="150"/>
      <c r="D227" s="241" t="s">
        <v>379</v>
      </c>
      <c r="E227" s="241" t="s">
        <v>198</v>
      </c>
      <c r="F227" s="150"/>
      <c r="G227" s="241" t="s">
        <v>380</v>
      </c>
      <c r="H227" s="150"/>
      <c r="I227" s="150"/>
      <c r="L227" s="242">
        <f>SUM(L224:L226)</f>
        <v>0</v>
      </c>
      <c r="M227" s="231" t="s">
        <v>381</v>
      </c>
      <c r="N227" s="232"/>
      <c r="O227" s="232"/>
      <c r="P227" s="232"/>
      <c r="Q227" s="229"/>
    </row>
    <row r="228" spans="1:17">
      <c r="A228" s="151">
        <v>12</v>
      </c>
      <c r="B228" s="157" t="s">
        <v>254</v>
      </c>
      <c r="C228" s="150"/>
      <c r="D228" s="187">
        <f>'Wages &amp; Salaries'!B7</f>
        <v>1936076.8800000001</v>
      </c>
      <c r="E228" s="243">
        <v>0</v>
      </c>
      <c r="F228" s="243"/>
      <c r="G228" s="150">
        <f>D228*E228</f>
        <v>0</v>
      </c>
      <c r="H228" s="150"/>
      <c r="I228" s="150"/>
      <c r="J228" s="150"/>
      <c r="K228" s="150"/>
      <c r="L228" s="244">
        <f>L222-L227</f>
        <v>308227.05</v>
      </c>
      <c r="M228" s="245" t="s">
        <v>382</v>
      </c>
      <c r="N228" s="246"/>
      <c r="O228" s="246"/>
      <c r="P228" s="246"/>
      <c r="Q228" s="247"/>
    </row>
    <row r="229" spans="1:17">
      <c r="A229" s="151">
        <v>13</v>
      </c>
      <c r="B229" s="157" t="s">
        <v>257</v>
      </c>
      <c r="C229" s="150"/>
      <c r="D229" s="187">
        <f>'Wages &amp; Salaries'!B8</f>
        <v>477315.89999999997</v>
      </c>
      <c r="E229" s="243">
        <f>+I216</f>
        <v>0.88515262425777208</v>
      </c>
      <c r="F229" s="243"/>
      <c r="G229" s="150">
        <f>D229*E229</f>
        <v>422497.4214849603</v>
      </c>
      <c r="H229" s="150"/>
      <c r="I229" s="150"/>
      <c r="J229" s="150"/>
      <c r="K229" s="150"/>
      <c r="L229" s="248"/>
      <c r="M229" s="231"/>
      <c r="N229" s="210"/>
      <c r="O229" s="228"/>
      <c r="P229" s="232"/>
      <c r="Q229" s="232"/>
    </row>
    <row r="230" spans="1:17">
      <c r="A230" s="151">
        <v>14</v>
      </c>
      <c r="B230" s="157" t="s">
        <v>259</v>
      </c>
      <c r="C230" s="150"/>
      <c r="D230" s="187">
        <f>'Wages &amp; Salaries'!B9</f>
        <v>3621541.96</v>
      </c>
      <c r="E230" s="243">
        <v>0</v>
      </c>
      <c r="F230" s="243"/>
      <c r="G230" s="150">
        <f>D230*E230</f>
        <v>0</v>
      </c>
      <c r="H230" s="150"/>
      <c r="I230" s="249" t="s">
        <v>383</v>
      </c>
      <c r="J230" s="150"/>
      <c r="K230" s="150"/>
      <c r="L230" s="157"/>
      <c r="N230" s="150"/>
      <c r="O230" s="150"/>
      <c r="P230" s="157"/>
    </row>
    <row r="231" spans="1:17" ht="16.5" thickBot="1">
      <c r="A231" s="151">
        <v>15</v>
      </c>
      <c r="B231" s="157" t="s">
        <v>384</v>
      </c>
      <c r="C231" s="150"/>
      <c r="D231" s="185">
        <f>'Wages &amp; Salaries'!B10</f>
        <v>1210938.9099999999</v>
      </c>
      <c r="E231" s="243">
        <v>0</v>
      </c>
      <c r="F231" s="243"/>
      <c r="G231" s="162">
        <f>D231*E231</f>
        <v>0</v>
      </c>
      <c r="H231" s="150"/>
      <c r="I231" s="154" t="s">
        <v>385</v>
      </c>
      <c r="J231" s="150"/>
      <c r="K231" s="150"/>
      <c r="L231" s="157"/>
      <c r="N231" s="150"/>
      <c r="O231" s="150"/>
      <c r="P231" s="157"/>
    </row>
    <row r="232" spans="1:17">
      <c r="A232" s="151">
        <v>16</v>
      </c>
      <c r="B232" s="157" t="s">
        <v>386</v>
      </c>
      <c r="C232" s="150"/>
      <c r="D232" s="150">
        <f>SUM(D228:D231)</f>
        <v>7245873.6500000004</v>
      </c>
      <c r="E232" s="150"/>
      <c r="F232" s="150"/>
      <c r="G232" s="150">
        <f>SUM(G228:G231)</f>
        <v>422497.4214849603</v>
      </c>
      <c r="H232" s="145" t="s">
        <v>387</v>
      </c>
      <c r="I232" s="184">
        <f>IF(G232&gt;0,G229/D232,0)</f>
        <v>5.8308692904817667E-2</v>
      </c>
      <c r="J232" s="150" t="s">
        <v>387</v>
      </c>
      <c r="K232" s="150" t="s">
        <v>263</v>
      </c>
      <c r="L232" s="157"/>
      <c r="N232" s="150"/>
      <c r="O232" s="150"/>
      <c r="P232" s="157"/>
    </row>
    <row r="233" spans="1:17">
      <c r="A233" s="151" t="s">
        <v>168</v>
      </c>
      <c r="B233" s="157" t="s">
        <v>168</v>
      </c>
      <c r="C233" s="150" t="s">
        <v>168</v>
      </c>
      <c r="E233" s="150"/>
      <c r="F233" s="150"/>
      <c r="L233" s="157"/>
      <c r="N233" s="150"/>
      <c r="O233" s="150"/>
      <c r="P233" s="157"/>
    </row>
    <row r="234" spans="1:17">
      <c r="A234" s="151"/>
      <c r="B234" s="157" t="s">
        <v>388</v>
      </c>
      <c r="C234" s="150"/>
      <c r="D234" s="178" t="s">
        <v>379</v>
      </c>
      <c r="E234" s="150"/>
      <c r="F234" s="150"/>
      <c r="G234" s="190" t="s">
        <v>389</v>
      </c>
      <c r="H234" s="203" t="s">
        <v>168</v>
      </c>
      <c r="I234" s="186" t="s">
        <v>390</v>
      </c>
      <c r="J234" s="150"/>
      <c r="K234" s="150"/>
      <c r="L234" s="157"/>
      <c r="N234" s="150"/>
      <c r="O234" s="150"/>
      <c r="P234" s="157"/>
    </row>
    <row r="235" spans="1:17">
      <c r="A235" s="151">
        <v>17</v>
      </c>
      <c r="B235" s="157" t="s">
        <v>391</v>
      </c>
      <c r="C235" s="150"/>
      <c r="D235" s="187">
        <f>D84</f>
        <v>300295658.75999999</v>
      </c>
      <c r="E235" s="150"/>
      <c r="G235" s="151" t="s">
        <v>392</v>
      </c>
      <c r="H235" s="250"/>
      <c r="I235" s="151" t="s">
        <v>393</v>
      </c>
      <c r="J235" s="150"/>
      <c r="K235" s="145" t="s">
        <v>265</v>
      </c>
      <c r="L235" s="157"/>
      <c r="N235" s="150"/>
      <c r="O235" s="150"/>
      <c r="P235" s="157"/>
    </row>
    <row r="236" spans="1:17">
      <c r="A236" s="151">
        <v>18</v>
      </c>
      <c r="B236" s="157" t="s">
        <v>394</v>
      </c>
      <c r="C236" s="150"/>
      <c r="D236" s="187">
        <v>0</v>
      </c>
      <c r="E236" s="150"/>
      <c r="G236" s="159">
        <f>IF(D238&gt;0,D235/D238,0)</f>
        <v>1</v>
      </c>
      <c r="H236" s="190" t="s">
        <v>395</v>
      </c>
      <c r="I236" s="159">
        <f>I232</f>
        <v>5.8308692904817667E-2</v>
      </c>
      <c r="J236" s="203" t="s">
        <v>387</v>
      </c>
      <c r="K236" s="159">
        <f>I236*G236</f>
        <v>5.8308692904817667E-2</v>
      </c>
      <c r="L236" s="157"/>
      <c r="N236" s="150"/>
      <c r="O236" s="150"/>
      <c r="P236" s="157"/>
    </row>
    <row r="237" spans="1:17" ht="16.5" thickBot="1">
      <c r="A237" s="151">
        <v>19</v>
      </c>
      <c r="B237" s="251" t="s">
        <v>396</v>
      </c>
      <c r="C237" s="162"/>
      <c r="D237" s="185">
        <v>0</v>
      </c>
      <c r="E237" s="150"/>
      <c r="F237" s="150"/>
      <c r="G237" s="150" t="s">
        <v>168</v>
      </c>
      <c r="H237" s="150"/>
      <c r="I237" s="150"/>
      <c r="L237" s="157"/>
      <c r="N237" s="150"/>
      <c r="O237" s="150"/>
      <c r="P237" s="157"/>
    </row>
    <row r="238" spans="1:17">
      <c r="A238" s="151">
        <v>20</v>
      </c>
      <c r="B238" s="157" t="s">
        <v>397</v>
      </c>
      <c r="C238" s="150"/>
      <c r="D238" s="150">
        <f>D235+D236+D237</f>
        <v>300295658.75999999</v>
      </c>
      <c r="E238" s="150"/>
      <c r="F238" s="150"/>
      <c r="G238" s="150"/>
      <c r="H238" s="150"/>
      <c r="I238" s="150"/>
      <c r="J238" s="150"/>
      <c r="K238" s="150"/>
      <c r="L238" s="157"/>
      <c r="N238" s="150"/>
      <c r="O238" s="150"/>
      <c r="P238" s="157"/>
    </row>
    <row r="239" spans="1:17">
      <c r="A239" s="151"/>
      <c r="B239" s="157" t="s">
        <v>168</v>
      </c>
      <c r="C239" s="150"/>
      <c r="E239" s="150"/>
      <c r="F239" s="150"/>
      <c r="G239" s="150"/>
      <c r="H239" s="150"/>
      <c r="I239" s="150" t="s">
        <v>168</v>
      </c>
      <c r="J239" s="150"/>
      <c r="K239" s="150"/>
      <c r="L239" s="157"/>
      <c r="N239" s="150"/>
      <c r="O239" s="150"/>
      <c r="P239" s="157"/>
    </row>
    <row r="240" spans="1:17" ht="16.5" thickBot="1">
      <c r="A240" s="151"/>
      <c r="B240" s="140" t="s">
        <v>398</v>
      </c>
      <c r="C240" s="150"/>
      <c r="D240" s="241" t="s">
        <v>379</v>
      </c>
      <c r="E240" s="150"/>
      <c r="F240" s="150"/>
      <c r="G240" s="150"/>
      <c r="H240" s="150"/>
      <c r="J240" s="150" t="s">
        <v>168</v>
      </c>
      <c r="K240" s="150"/>
      <c r="L240" s="157"/>
      <c r="N240" s="150"/>
      <c r="O240" s="150"/>
      <c r="P240" s="157"/>
    </row>
    <row r="241" spans="1:16">
      <c r="A241" s="151">
        <v>21</v>
      </c>
      <c r="B241" s="150" t="s">
        <v>399</v>
      </c>
      <c r="C241" s="142" t="s">
        <v>400</v>
      </c>
      <c r="D241" s="252">
        <f>'Income Statement'!C24+'Income Statement'!C25</f>
        <v>4236745</v>
      </c>
      <c r="E241" s="150"/>
      <c r="F241" s="150"/>
      <c r="G241" s="150"/>
      <c r="H241" s="150"/>
      <c r="I241" s="150"/>
      <c r="J241" s="150"/>
      <c r="K241" s="150"/>
      <c r="L241" s="157"/>
      <c r="N241" s="150"/>
      <c r="O241" s="150"/>
      <c r="P241" s="157"/>
    </row>
    <row r="242" spans="1:16">
      <c r="A242" s="151"/>
      <c r="B242" s="157"/>
      <c r="D242" s="150"/>
      <c r="E242" s="150"/>
      <c r="F242" s="150"/>
      <c r="G242" s="190" t="s">
        <v>401</v>
      </c>
      <c r="H242" s="150"/>
      <c r="I242" s="150"/>
      <c r="J242" s="150"/>
      <c r="K242" s="150"/>
      <c r="L242" s="157"/>
      <c r="N242" s="150"/>
      <c r="O242" s="150"/>
      <c r="P242" s="157"/>
    </row>
    <row r="243" spans="1:16" ht="16.5" thickBot="1">
      <c r="A243" s="151"/>
      <c r="B243" s="140"/>
      <c r="C243" s="142"/>
      <c r="D243" s="154" t="s">
        <v>379</v>
      </c>
      <c r="E243" s="154" t="s">
        <v>402</v>
      </c>
      <c r="F243" s="150"/>
      <c r="G243" s="154" t="s">
        <v>403</v>
      </c>
      <c r="H243" s="150"/>
      <c r="I243" s="154" t="s">
        <v>404</v>
      </c>
      <c r="J243" s="150"/>
      <c r="K243" s="150"/>
      <c r="L243" s="157"/>
      <c r="N243" s="150"/>
      <c r="O243" s="150"/>
      <c r="P243" s="157"/>
    </row>
    <row r="244" spans="1:16">
      <c r="A244" s="151">
        <v>22</v>
      </c>
      <c r="B244" s="140" t="s">
        <v>405</v>
      </c>
      <c r="C244" s="142" t="s">
        <v>406</v>
      </c>
      <c r="D244" s="187">
        <f>'Balance sheet'!F28</f>
        <v>123084540</v>
      </c>
      <c r="E244" s="253">
        <f>IF($D$246&gt;0,D244/$D$246,0)</f>
        <v>0.50290148910551591</v>
      </c>
      <c r="F244" s="254"/>
      <c r="G244" s="255">
        <f>IF(D244&gt;0,D241/D244,0)</f>
        <v>3.4421422869192184E-2</v>
      </c>
      <c r="I244" s="254">
        <f>G244*E244</f>
        <v>1.7310584818047408E-2</v>
      </c>
      <c r="J244" s="256" t="s">
        <v>407</v>
      </c>
      <c r="K244" s="150"/>
      <c r="L244" s="157"/>
      <c r="N244" s="150"/>
      <c r="O244" s="150"/>
      <c r="P244" s="157"/>
    </row>
    <row r="245" spans="1:16" ht="16.5" thickBot="1">
      <c r="A245" s="151">
        <v>23</v>
      </c>
      <c r="B245" s="140" t="s">
        <v>408</v>
      </c>
      <c r="C245" s="142" t="s">
        <v>409</v>
      </c>
      <c r="D245" s="185">
        <f>'Balance sheet'!F16</f>
        <v>121664268</v>
      </c>
      <c r="E245" s="257">
        <f>IF($D$246&gt;0,D245/$D$246,0)</f>
        <v>0.49709851089448409</v>
      </c>
      <c r="F245" s="254"/>
      <c r="G245" s="254">
        <f>I248</f>
        <v>0.12379999999999999</v>
      </c>
      <c r="I245" s="258">
        <f>G245*E245</f>
        <v>6.1540795648737129E-2</v>
      </c>
      <c r="L245" s="157"/>
      <c r="N245" s="150"/>
      <c r="O245" s="150"/>
      <c r="P245" s="157"/>
    </row>
    <row r="246" spans="1:16">
      <c r="A246" s="151">
        <v>24</v>
      </c>
      <c r="B246" s="140" t="s">
        <v>410</v>
      </c>
      <c r="C246" s="142"/>
      <c r="D246" s="150">
        <f>SUM(D244:D245)</f>
        <v>244748808</v>
      </c>
      <c r="E246" s="259">
        <f>SUM(E244+E245)</f>
        <v>1</v>
      </c>
      <c r="F246" s="254"/>
      <c r="G246" s="254"/>
      <c r="I246" s="254">
        <f>SUM(I244:I245)</f>
        <v>7.885138046678454E-2</v>
      </c>
      <c r="J246" s="256" t="s">
        <v>411</v>
      </c>
      <c r="L246" s="157"/>
      <c r="N246" s="150"/>
      <c r="O246" s="150"/>
      <c r="P246" s="157"/>
    </row>
    <row r="247" spans="1:16">
      <c r="A247" s="151" t="s">
        <v>168</v>
      </c>
      <c r="B247" s="157"/>
      <c r="D247" s="150"/>
      <c r="E247" s="150" t="s">
        <v>168</v>
      </c>
      <c r="F247" s="150"/>
      <c r="G247" s="150"/>
      <c r="H247" s="150"/>
      <c r="I247" s="254"/>
      <c r="L247" s="157"/>
      <c r="N247" s="150"/>
      <c r="O247" s="150"/>
      <c r="P247" s="157"/>
    </row>
    <row r="248" spans="1:16">
      <c r="A248" s="151">
        <v>25</v>
      </c>
      <c r="E248" s="150"/>
      <c r="F248" s="150"/>
      <c r="G248" s="150"/>
      <c r="H248" s="193" t="s">
        <v>412</v>
      </c>
      <c r="I248" s="260">
        <v>0.12379999999999999</v>
      </c>
      <c r="L248" s="157"/>
      <c r="N248" s="150"/>
      <c r="O248" s="150"/>
      <c r="P248" s="157"/>
    </row>
    <row r="249" spans="1:16">
      <c r="A249" s="151">
        <v>26</v>
      </c>
      <c r="H249" s="139" t="s">
        <v>413</v>
      </c>
      <c r="I249" s="243">
        <f>IF(G244&gt;0,I246/G244,0)</f>
        <v>2.2907647009954952</v>
      </c>
      <c r="L249" s="157"/>
      <c r="N249" s="150"/>
      <c r="O249" s="150"/>
      <c r="P249" s="157"/>
    </row>
    <row r="250" spans="1:16">
      <c r="A250" s="151"/>
      <c r="B250" s="140" t="s">
        <v>414</v>
      </c>
      <c r="C250" s="142"/>
      <c r="D250" s="142"/>
      <c r="E250" s="142"/>
      <c r="F250" s="142"/>
      <c r="G250" s="142"/>
      <c r="H250" s="142"/>
      <c r="I250" s="142"/>
      <c r="K250" s="150"/>
      <c r="L250" s="157"/>
      <c r="N250" s="150"/>
      <c r="O250" s="150"/>
      <c r="P250" s="157"/>
    </row>
    <row r="251" spans="1:16" ht="16.5" thickBot="1">
      <c r="A251" s="151"/>
      <c r="B251" s="140"/>
      <c r="C251" s="140"/>
      <c r="D251" s="140"/>
      <c r="E251" s="140"/>
      <c r="F251" s="140"/>
      <c r="G251" s="140"/>
      <c r="H251" s="140"/>
      <c r="I251" s="154" t="s">
        <v>415</v>
      </c>
      <c r="J251" s="142"/>
      <c r="K251" s="142"/>
      <c r="L251" s="157"/>
      <c r="N251" s="150"/>
      <c r="O251" s="150"/>
      <c r="P251" s="157"/>
    </row>
    <row r="252" spans="1:16">
      <c r="A252" s="151"/>
      <c r="B252" s="140" t="s">
        <v>416</v>
      </c>
      <c r="C252" s="142"/>
      <c r="D252" s="142"/>
      <c r="E252" s="142"/>
      <c r="F252" s="142"/>
      <c r="G252" s="261" t="s">
        <v>168</v>
      </c>
      <c r="H252" s="216"/>
      <c r="I252" s="262"/>
      <c r="J252" s="140"/>
      <c r="K252" s="140"/>
      <c r="L252" s="157"/>
      <c r="N252" s="150"/>
      <c r="O252" s="150"/>
      <c r="P252" s="157"/>
    </row>
    <row r="253" spans="1:16">
      <c r="A253" s="151">
        <v>27</v>
      </c>
      <c r="B253" s="138" t="s">
        <v>417</v>
      </c>
      <c r="C253" s="142"/>
      <c r="D253" s="142"/>
      <c r="E253" s="142" t="s">
        <v>418</v>
      </c>
      <c r="F253" s="142"/>
      <c r="H253" s="216"/>
      <c r="I253" s="187">
        <v>0</v>
      </c>
      <c r="J253" s="140"/>
      <c r="K253" s="140"/>
      <c r="L253" s="157"/>
      <c r="N253" s="190"/>
      <c r="O253" s="150"/>
      <c r="P253" s="157"/>
    </row>
    <row r="254" spans="1:16" ht="16.5" thickBot="1">
      <c r="A254" s="151">
        <v>28</v>
      </c>
      <c r="B254" s="191" t="s">
        <v>419</v>
      </c>
      <c r="C254" s="222"/>
      <c r="D254" s="232"/>
      <c r="E254" s="263"/>
      <c r="F254" s="263"/>
      <c r="G254" s="263"/>
      <c r="H254" s="142"/>
      <c r="I254" s="185">
        <v>0</v>
      </c>
      <c r="J254" s="140"/>
      <c r="K254" s="140"/>
      <c r="L254" s="157"/>
      <c r="N254" s="140"/>
      <c r="O254" s="150"/>
      <c r="P254" s="157"/>
    </row>
    <row r="255" spans="1:16">
      <c r="A255" s="151">
        <v>29</v>
      </c>
      <c r="B255" s="138" t="s">
        <v>420</v>
      </c>
      <c r="C255" s="143"/>
      <c r="D255" s="232"/>
      <c r="E255" s="263"/>
      <c r="F255" s="263"/>
      <c r="G255" s="263"/>
      <c r="H255" s="142"/>
      <c r="I255" s="187">
        <f>+I253-I254</f>
        <v>0</v>
      </c>
      <c r="J255" s="140"/>
      <c r="K255" s="140"/>
      <c r="L255" s="157"/>
      <c r="N255" s="140"/>
      <c r="O255" s="150"/>
      <c r="P255" s="157"/>
    </row>
    <row r="256" spans="1:16">
      <c r="A256" s="151"/>
      <c r="B256" s="138" t="s">
        <v>168</v>
      </c>
      <c r="C256" s="143"/>
      <c r="D256" s="232"/>
      <c r="E256" s="263"/>
      <c r="F256" s="263"/>
      <c r="G256" s="264"/>
      <c r="H256" s="142"/>
      <c r="I256" s="265" t="s">
        <v>168</v>
      </c>
      <c r="J256" s="140"/>
      <c r="K256" s="140"/>
      <c r="L256" s="157"/>
      <c r="N256" s="140"/>
      <c r="O256" s="150"/>
      <c r="P256" s="157"/>
    </row>
    <row r="257" spans="1:17">
      <c r="A257" s="151">
        <v>30</v>
      </c>
      <c r="B257" s="140" t="s">
        <v>421</v>
      </c>
      <c r="C257" s="143"/>
      <c r="D257" s="232"/>
      <c r="E257" s="263"/>
      <c r="F257" s="263"/>
      <c r="G257" s="264"/>
      <c r="H257" s="142"/>
      <c r="I257" s="266">
        <f>'Account 454'!B14</f>
        <v>37020</v>
      </c>
      <c r="J257" s="140"/>
      <c r="K257" s="140"/>
      <c r="N257" s="140"/>
      <c r="O257" s="150"/>
      <c r="P257" s="157"/>
    </row>
    <row r="258" spans="1:17">
      <c r="A258" s="151"/>
      <c r="C258" s="142"/>
      <c r="D258" s="263"/>
      <c r="E258" s="263"/>
      <c r="F258" s="263"/>
      <c r="G258" s="263"/>
      <c r="H258" s="142"/>
      <c r="I258" s="265"/>
      <c r="J258" s="140"/>
      <c r="K258" s="140"/>
      <c r="N258" s="140"/>
      <c r="O258" s="150"/>
      <c r="P258" s="157"/>
    </row>
    <row r="259" spans="1:17">
      <c r="B259" s="140" t="s">
        <v>422</v>
      </c>
      <c r="C259" s="142"/>
      <c r="D259" s="263"/>
      <c r="E259" s="263"/>
      <c r="F259" s="263"/>
      <c r="G259" s="263"/>
      <c r="H259" s="142"/>
      <c r="J259" s="140"/>
      <c r="K259" s="140"/>
      <c r="N259" s="140"/>
      <c r="O259" s="150"/>
      <c r="P259" s="157"/>
    </row>
    <row r="260" spans="1:17">
      <c r="A260" s="151">
        <v>31</v>
      </c>
      <c r="B260" s="140" t="s">
        <v>423</v>
      </c>
      <c r="C260" s="150"/>
      <c r="D260" s="210"/>
      <c r="E260" s="210"/>
      <c r="F260" s="210"/>
      <c r="G260" s="210"/>
      <c r="H260" s="150"/>
      <c r="I260" s="267">
        <f>'Account 456.1'!C20</f>
        <v>0</v>
      </c>
      <c r="J260" s="140"/>
      <c r="K260" s="140"/>
      <c r="L260" s="268"/>
      <c r="N260" s="140"/>
      <c r="O260" s="150"/>
      <c r="P260" s="157"/>
    </row>
    <row r="261" spans="1:17">
      <c r="A261" s="151">
        <v>32</v>
      </c>
      <c r="B261" s="269" t="s">
        <v>424</v>
      </c>
      <c r="C261" s="263"/>
      <c r="D261" s="263"/>
      <c r="E261" s="263"/>
      <c r="F261" s="263"/>
      <c r="G261" s="263"/>
      <c r="H261" s="142"/>
      <c r="I261" s="267">
        <f>'Account 456.1'!C21</f>
        <v>0</v>
      </c>
      <c r="J261" s="140"/>
      <c r="K261" s="140"/>
      <c r="L261" s="190"/>
      <c r="N261" s="140"/>
      <c r="O261" s="150"/>
      <c r="P261" s="157"/>
    </row>
    <row r="262" spans="1:17">
      <c r="A262" s="151" t="s">
        <v>425</v>
      </c>
      <c r="B262" s="270" t="s">
        <v>426</v>
      </c>
      <c r="C262" s="271"/>
      <c r="D262" s="263"/>
      <c r="E262" s="263"/>
      <c r="F262" s="263"/>
      <c r="G262" s="263"/>
      <c r="H262" s="142"/>
      <c r="I262" s="267">
        <f>'Account 456.1'!C22</f>
        <v>0</v>
      </c>
      <c r="J262" s="140"/>
      <c r="K262" s="140"/>
      <c r="L262" s="190"/>
      <c r="N262" s="140"/>
      <c r="O262" s="150"/>
      <c r="P262" s="157"/>
    </row>
    <row r="263" spans="1:17" ht="16.5" thickBot="1">
      <c r="A263" s="151" t="s">
        <v>427</v>
      </c>
      <c r="B263" s="272" t="s">
        <v>428</v>
      </c>
      <c r="C263" s="273"/>
      <c r="D263" s="263"/>
      <c r="E263" s="263"/>
      <c r="F263" s="263"/>
      <c r="G263" s="263"/>
      <c r="H263" s="142"/>
      <c r="I263" s="274">
        <f>'Account 456.1'!C23</f>
        <v>0</v>
      </c>
      <c r="J263" s="140"/>
      <c r="K263" s="140"/>
      <c r="L263" s="190"/>
      <c r="N263" s="140"/>
      <c r="O263" s="150"/>
      <c r="P263" s="157"/>
    </row>
    <row r="264" spans="1:17" s="216" customFormat="1">
      <c r="A264" s="151">
        <v>33</v>
      </c>
      <c r="B264" s="138" t="s">
        <v>429</v>
      </c>
      <c r="C264" s="151"/>
      <c r="D264" s="210"/>
      <c r="E264" s="210"/>
      <c r="F264" s="210"/>
      <c r="G264" s="210"/>
      <c r="H264" s="142"/>
      <c r="I264" s="275">
        <f>+I260-I261-I262-I263</f>
        <v>0</v>
      </c>
      <c r="J264" s="140"/>
      <c r="K264" s="140"/>
      <c r="L264" s="268" t="s">
        <v>430</v>
      </c>
      <c r="M264" s="138"/>
      <c r="N264" s="140"/>
      <c r="O264" s="143"/>
      <c r="P264" s="157"/>
      <c r="Q264" s="138"/>
    </row>
    <row r="265" spans="1:17">
      <c r="A265" s="151"/>
      <c r="B265" s="276"/>
      <c r="C265" s="151"/>
      <c r="D265" s="210"/>
      <c r="E265" s="210"/>
      <c r="F265" s="210"/>
      <c r="G265" s="210"/>
      <c r="H265" s="142"/>
      <c r="I265" s="275"/>
      <c r="J265" s="140"/>
      <c r="K265" s="140"/>
      <c r="L265" s="268" t="s">
        <v>431</v>
      </c>
      <c r="M265" s="216"/>
      <c r="N265" s="277"/>
      <c r="O265" s="218"/>
      <c r="P265" s="278"/>
      <c r="Q265" s="216"/>
    </row>
    <row r="266" spans="1:17">
      <c r="A266" s="151"/>
      <c r="B266" s="276"/>
      <c r="C266" s="151"/>
      <c r="D266" s="210"/>
      <c r="E266" s="210"/>
      <c r="F266" s="210"/>
      <c r="G266" s="210"/>
      <c r="H266" s="142"/>
      <c r="I266" s="275"/>
      <c r="J266" s="140"/>
      <c r="K266" s="140"/>
      <c r="L266" s="268"/>
      <c r="N266" s="140"/>
      <c r="O266" s="143"/>
      <c r="P266" s="157"/>
    </row>
    <row r="267" spans="1:17">
      <c r="A267" s="151"/>
      <c r="B267" s="276"/>
      <c r="C267" s="151"/>
      <c r="D267" s="210"/>
      <c r="E267" s="210"/>
      <c r="F267" s="210"/>
      <c r="G267" s="210"/>
      <c r="H267" s="142"/>
      <c r="I267" s="275"/>
      <c r="J267" s="140"/>
      <c r="K267" s="140"/>
      <c r="L267" s="268"/>
      <c r="N267" s="140"/>
      <c r="O267" s="143"/>
      <c r="P267" s="157"/>
    </row>
    <row r="268" spans="1:17">
      <c r="A268" s="151"/>
      <c r="B268" s="276"/>
      <c r="C268" s="151"/>
      <c r="D268" s="210"/>
      <c r="E268" s="210"/>
      <c r="F268" s="210"/>
      <c r="G268" s="210"/>
      <c r="H268" s="142"/>
      <c r="I268" s="275"/>
      <c r="J268" s="140"/>
      <c r="K268" s="139" t="s">
        <v>186</v>
      </c>
      <c r="L268" s="268"/>
      <c r="N268" s="140"/>
      <c r="O268" s="143"/>
      <c r="P268" s="157"/>
    </row>
    <row r="269" spans="1:17">
      <c r="B269" s="140"/>
      <c r="C269" s="140"/>
      <c r="E269" s="140"/>
      <c r="F269" s="140"/>
      <c r="G269" s="140"/>
      <c r="H269" s="142"/>
      <c r="I269" s="142"/>
      <c r="K269" s="144" t="s">
        <v>432</v>
      </c>
      <c r="L269" s="143"/>
      <c r="N269" s="143"/>
      <c r="O269" s="143"/>
      <c r="P269" s="143"/>
    </row>
    <row r="270" spans="1:17">
      <c r="A270" s="151"/>
      <c r="B270" s="276" t="str">
        <f>B4</f>
        <v xml:space="preserve">Formula Rate - Non-Levelized </v>
      </c>
      <c r="C270" s="556" t="str">
        <f>D4</f>
        <v xml:space="preserve">   Rate Formula Template</v>
      </c>
      <c r="D270" s="556"/>
      <c r="E270" s="150"/>
      <c r="F270" s="150"/>
      <c r="G270" s="150"/>
      <c r="H270" s="279"/>
      <c r="J270" s="143"/>
      <c r="K270" s="280" t="str">
        <f>K4</f>
        <v>For the 12 months ended 12/31/2013</v>
      </c>
      <c r="L270" s="143"/>
      <c r="N270" s="143"/>
      <c r="O270" s="143"/>
      <c r="P270" s="143"/>
    </row>
    <row r="271" spans="1:17">
      <c r="A271" s="151"/>
      <c r="B271" s="276"/>
      <c r="C271" s="151"/>
      <c r="D271" s="150" t="str">
        <f>D5</f>
        <v>Utilizing EIA Form 412 Data</v>
      </c>
      <c r="E271" s="150"/>
      <c r="F271" s="150"/>
      <c r="G271" s="150"/>
      <c r="H271" s="142"/>
      <c r="I271" s="281"/>
      <c r="J271" s="262"/>
      <c r="K271" s="282"/>
      <c r="L271" s="143"/>
      <c r="N271" s="143"/>
      <c r="O271" s="143"/>
      <c r="P271" s="143"/>
    </row>
    <row r="272" spans="1:17">
      <c r="A272" s="151"/>
      <c r="B272" s="276"/>
      <c r="C272" s="151"/>
      <c r="D272" s="150" t="str">
        <f>D7</f>
        <v>Rochester Public Utilities</v>
      </c>
      <c r="E272" s="150"/>
      <c r="F272" s="150"/>
      <c r="G272" s="150"/>
      <c r="H272" s="142"/>
      <c r="I272" s="281"/>
      <c r="J272" s="262"/>
      <c r="K272" s="282"/>
      <c r="L272" s="143"/>
      <c r="N272" s="143"/>
      <c r="O272" s="143"/>
      <c r="P272" s="143"/>
    </row>
    <row r="273" spans="1:16">
      <c r="A273" s="151"/>
      <c r="B273" s="140" t="s">
        <v>433</v>
      </c>
      <c r="C273" s="151"/>
      <c r="D273" s="150"/>
      <c r="E273" s="150"/>
      <c r="F273" s="150"/>
      <c r="G273" s="150"/>
      <c r="H273" s="142"/>
      <c r="I273" s="150"/>
      <c r="J273" s="262"/>
      <c r="K273" s="282"/>
      <c r="L273" s="143"/>
      <c r="N273" s="151"/>
      <c r="O273" s="143"/>
      <c r="P273" s="157"/>
    </row>
    <row r="274" spans="1:16">
      <c r="A274" s="151"/>
      <c r="B274" s="283" t="s">
        <v>434</v>
      </c>
      <c r="C274" s="151"/>
      <c r="D274" s="150"/>
      <c r="E274" s="150"/>
      <c r="F274" s="150"/>
      <c r="G274" s="150"/>
      <c r="H274" s="142"/>
      <c r="I274" s="150"/>
      <c r="J274" s="142"/>
      <c r="K274" s="150"/>
      <c r="L274" s="143"/>
      <c r="N274" s="151"/>
      <c r="O274" s="143"/>
      <c r="P274" s="157"/>
    </row>
    <row r="275" spans="1:16">
      <c r="B275" s="283" t="s">
        <v>435</v>
      </c>
      <c r="C275" s="151"/>
      <c r="D275" s="150"/>
      <c r="E275" s="150"/>
      <c r="F275" s="150"/>
      <c r="G275" s="150"/>
      <c r="H275" s="142"/>
      <c r="I275" s="150"/>
      <c r="J275" s="142"/>
      <c r="K275" s="150"/>
      <c r="L275" s="143"/>
      <c r="N275" s="151"/>
      <c r="O275" s="143"/>
      <c r="P275" s="143"/>
    </row>
    <row r="276" spans="1:16">
      <c r="A276" s="151" t="s">
        <v>436</v>
      </c>
      <c r="B276" s="140" t="s">
        <v>437</v>
      </c>
      <c r="C276" s="142"/>
      <c r="D276" s="150"/>
      <c r="E276" s="150"/>
      <c r="F276" s="150"/>
      <c r="G276" s="163"/>
      <c r="H276" s="142"/>
      <c r="I276" s="150"/>
      <c r="J276" s="142"/>
      <c r="K276" s="150"/>
      <c r="L276" s="143"/>
      <c r="N276" s="151"/>
      <c r="O276" s="143"/>
      <c r="P276" s="143"/>
    </row>
    <row r="277" spans="1:16" ht="16.5" thickBot="1">
      <c r="A277" s="154" t="s">
        <v>438</v>
      </c>
      <c r="C277" s="142"/>
      <c r="D277" s="150"/>
      <c r="E277" s="150"/>
      <c r="F277" s="150"/>
      <c r="G277" s="150"/>
      <c r="H277" s="142"/>
      <c r="I277" s="150"/>
      <c r="J277" s="142"/>
      <c r="K277" s="150"/>
      <c r="L277" s="143"/>
      <c r="N277" s="151"/>
      <c r="O277" s="143"/>
      <c r="P277" s="143"/>
    </row>
    <row r="278" spans="1:16" ht="32.25" customHeight="1">
      <c r="A278" s="284" t="s">
        <v>439</v>
      </c>
      <c r="B278" s="552" t="s">
        <v>440</v>
      </c>
      <c r="C278" s="552"/>
      <c r="D278" s="552"/>
      <c r="E278" s="552"/>
      <c r="F278" s="552"/>
      <c r="G278" s="552"/>
      <c r="H278" s="552"/>
      <c r="I278" s="552"/>
      <c r="J278" s="552"/>
      <c r="K278" s="552"/>
      <c r="L278" s="143"/>
      <c r="N278" s="151"/>
      <c r="O278" s="143"/>
      <c r="P278" s="143"/>
    </row>
    <row r="279" spans="1:16" ht="63" customHeight="1">
      <c r="A279" s="284" t="s">
        <v>441</v>
      </c>
      <c r="B279" s="552" t="s">
        <v>442</v>
      </c>
      <c r="C279" s="552"/>
      <c r="D279" s="552"/>
      <c r="E279" s="552"/>
      <c r="F279" s="552"/>
      <c r="G279" s="552"/>
      <c r="H279" s="552"/>
      <c r="I279" s="552"/>
      <c r="J279" s="552"/>
      <c r="K279" s="552"/>
      <c r="L279" s="143"/>
      <c r="N279" s="151"/>
      <c r="O279" s="143"/>
      <c r="P279" s="143"/>
    </row>
    <row r="280" spans="1:16">
      <c r="A280" s="284" t="s">
        <v>443</v>
      </c>
      <c r="B280" s="552" t="s">
        <v>444</v>
      </c>
      <c r="C280" s="552"/>
      <c r="D280" s="552"/>
      <c r="E280" s="552"/>
      <c r="F280" s="552"/>
      <c r="G280" s="552"/>
      <c r="H280" s="552"/>
      <c r="I280" s="552"/>
      <c r="J280" s="552"/>
      <c r="K280" s="552"/>
      <c r="L280" s="143"/>
      <c r="N280" s="151"/>
      <c r="O280" s="143"/>
      <c r="P280" s="143"/>
    </row>
    <row r="281" spans="1:16">
      <c r="A281" s="284" t="s">
        <v>445</v>
      </c>
      <c r="B281" s="552" t="s">
        <v>444</v>
      </c>
      <c r="C281" s="552"/>
      <c r="D281" s="552"/>
      <c r="E281" s="552"/>
      <c r="F281" s="552"/>
      <c r="G281" s="552"/>
      <c r="H281" s="552"/>
      <c r="I281" s="552"/>
      <c r="J281" s="552"/>
      <c r="K281" s="552"/>
      <c r="L281" s="143"/>
      <c r="N281" s="151"/>
      <c r="O281" s="143"/>
      <c r="P281" s="143"/>
    </row>
    <row r="282" spans="1:16">
      <c r="A282" s="284" t="s">
        <v>446</v>
      </c>
      <c r="B282" s="552" t="s">
        <v>447</v>
      </c>
      <c r="C282" s="552"/>
      <c r="D282" s="552"/>
      <c r="E282" s="552"/>
      <c r="F282" s="552"/>
      <c r="G282" s="552"/>
      <c r="H282" s="552"/>
      <c r="I282" s="552"/>
      <c r="J282" s="552"/>
      <c r="K282" s="552"/>
      <c r="L282" s="143"/>
      <c r="N282" s="151"/>
      <c r="O282" s="143"/>
      <c r="P282" s="143"/>
    </row>
    <row r="283" spans="1:16" ht="48" customHeight="1">
      <c r="A283" s="284" t="s">
        <v>448</v>
      </c>
      <c r="B283" s="551" t="s">
        <v>449</v>
      </c>
      <c r="C283" s="551"/>
      <c r="D283" s="551"/>
      <c r="E283" s="551"/>
      <c r="F283" s="551"/>
      <c r="G283" s="551"/>
      <c r="H283" s="551"/>
      <c r="I283" s="551"/>
      <c r="J283" s="551"/>
      <c r="K283" s="551"/>
      <c r="L283" s="143"/>
      <c r="N283" s="151"/>
      <c r="O283" s="143"/>
      <c r="P283" s="143"/>
    </row>
    <row r="284" spans="1:16">
      <c r="A284" s="284" t="s">
        <v>450</v>
      </c>
      <c r="B284" s="551" t="s">
        <v>451</v>
      </c>
      <c r="C284" s="551"/>
      <c r="D284" s="551"/>
      <c r="E284" s="551"/>
      <c r="F284" s="551"/>
      <c r="G284" s="551"/>
      <c r="H284" s="551"/>
      <c r="I284" s="551"/>
      <c r="J284" s="551"/>
      <c r="K284" s="551"/>
      <c r="L284" s="143"/>
      <c r="N284" s="151"/>
      <c r="O284" s="143"/>
      <c r="P284" s="143"/>
    </row>
    <row r="285" spans="1:16" ht="32.25" customHeight="1">
      <c r="A285" s="284" t="s">
        <v>452</v>
      </c>
      <c r="B285" s="551" t="s">
        <v>453</v>
      </c>
      <c r="C285" s="551"/>
      <c r="D285" s="551"/>
      <c r="E285" s="551"/>
      <c r="F285" s="551"/>
      <c r="G285" s="551"/>
      <c r="H285" s="551"/>
      <c r="I285" s="551"/>
      <c r="J285" s="551"/>
      <c r="K285" s="551"/>
      <c r="L285" s="143"/>
      <c r="N285" s="151"/>
      <c r="O285" s="143"/>
      <c r="P285" s="143"/>
    </row>
    <row r="286" spans="1:16" ht="32.25" customHeight="1">
      <c r="A286" s="284" t="s">
        <v>454</v>
      </c>
      <c r="B286" s="552" t="s">
        <v>455</v>
      </c>
      <c r="C286" s="552"/>
      <c r="D286" s="552"/>
      <c r="E286" s="552"/>
      <c r="F286" s="552"/>
      <c r="G286" s="552"/>
      <c r="H286" s="552"/>
      <c r="I286" s="552"/>
      <c r="J286" s="552"/>
      <c r="K286" s="552"/>
      <c r="L286" s="143"/>
      <c r="N286" s="151"/>
      <c r="O286" s="143"/>
      <c r="P286" s="143"/>
    </row>
    <row r="287" spans="1:16" ht="32.25" customHeight="1">
      <c r="A287" s="284" t="s">
        <v>456</v>
      </c>
      <c r="B287" s="551" t="s">
        <v>457</v>
      </c>
      <c r="C287" s="551"/>
      <c r="D287" s="551"/>
      <c r="E287" s="551"/>
      <c r="F287" s="551"/>
      <c r="G287" s="551"/>
      <c r="H287" s="551"/>
      <c r="I287" s="551"/>
      <c r="J287" s="551"/>
      <c r="K287" s="551"/>
      <c r="L287" s="143"/>
      <c r="N287" s="151"/>
      <c r="O287" s="175"/>
      <c r="P287" s="143"/>
    </row>
    <row r="288" spans="1:16" ht="79.5" customHeight="1">
      <c r="A288" s="284" t="s">
        <v>458</v>
      </c>
      <c r="B288" s="551" t="s">
        <v>459</v>
      </c>
      <c r="C288" s="551"/>
      <c r="D288" s="551"/>
      <c r="E288" s="551"/>
      <c r="F288" s="551"/>
      <c r="G288" s="551"/>
      <c r="H288" s="551"/>
      <c r="I288" s="551"/>
      <c r="J288" s="551"/>
      <c r="K288" s="551"/>
      <c r="L288" s="143"/>
      <c r="N288" s="151"/>
      <c r="O288" s="143"/>
      <c r="P288" s="143"/>
    </row>
    <row r="289" spans="1:16">
      <c r="A289" s="284" t="s">
        <v>168</v>
      </c>
      <c r="B289" s="285" t="s">
        <v>460</v>
      </c>
      <c r="C289" s="286" t="s">
        <v>461</v>
      </c>
      <c r="D289" s="287">
        <v>0</v>
      </c>
      <c r="E289" s="286"/>
      <c r="F289" s="288"/>
      <c r="G289" s="288"/>
      <c r="H289" s="289"/>
      <c r="I289" s="288"/>
      <c r="J289" s="289"/>
      <c r="K289" s="288"/>
      <c r="L289" s="143"/>
      <c r="N289" s="151"/>
      <c r="O289" s="143"/>
      <c r="P289" s="143"/>
    </row>
    <row r="290" spans="1:16">
      <c r="A290" s="284"/>
      <c r="B290" s="286"/>
      <c r="C290" s="286" t="s">
        <v>462</v>
      </c>
      <c r="D290" s="287">
        <v>0</v>
      </c>
      <c r="E290" s="551" t="s">
        <v>463</v>
      </c>
      <c r="F290" s="551"/>
      <c r="G290" s="551"/>
      <c r="H290" s="551"/>
      <c r="I290" s="551"/>
      <c r="J290" s="551"/>
      <c r="K290" s="551"/>
      <c r="N290" s="151"/>
      <c r="O290" s="143"/>
      <c r="P290" s="143"/>
    </row>
    <row r="291" spans="1:16">
      <c r="A291" s="284"/>
      <c r="B291" s="286"/>
      <c r="C291" s="286" t="s">
        <v>464</v>
      </c>
      <c r="D291" s="287">
        <v>0</v>
      </c>
      <c r="E291" s="551" t="s">
        <v>465</v>
      </c>
      <c r="F291" s="551"/>
      <c r="G291" s="551"/>
      <c r="H291" s="551"/>
      <c r="I291" s="551"/>
      <c r="J291" s="551"/>
      <c r="K291" s="551"/>
      <c r="L291" s="143"/>
      <c r="N291" s="151"/>
      <c r="O291" s="143"/>
      <c r="P291" s="143"/>
    </row>
    <row r="292" spans="1:16">
      <c r="A292" s="284" t="s">
        <v>466</v>
      </c>
      <c r="B292" s="551" t="s">
        <v>467</v>
      </c>
      <c r="C292" s="551"/>
      <c r="D292" s="551"/>
      <c r="E292" s="551"/>
      <c r="F292" s="551"/>
      <c r="G292" s="551"/>
      <c r="H292" s="551"/>
      <c r="I292" s="551"/>
      <c r="J292" s="551"/>
      <c r="K292" s="551"/>
      <c r="L292" s="143"/>
      <c r="N292" s="151"/>
      <c r="O292" s="143"/>
      <c r="P292" s="143"/>
    </row>
    <row r="293" spans="1:16" ht="32.25" customHeight="1">
      <c r="A293" s="284" t="s">
        <v>468</v>
      </c>
      <c r="B293" s="551" t="s">
        <v>469</v>
      </c>
      <c r="C293" s="551"/>
      <c r="D293" s="551"/>
      <c r="E293" s="551"/>
      <c r="F293" s="551"/>
      <c r="G293" s="551"/>
      <c r="H293" s="551"/>
      <c r="I293" s="551"/>
      <c r="J293" s="551"/>
      <c r="K293" s="551"/>
      <c r="L293" s="290" t="s">
        <v>470</v>
      </c>
      <c r="N293" s="151"/>
      <c r="O293" s="143"/>
      <c r="P293" s="143"/>
    </row>
    <row r="294" spans="1:16" ht="48" customHeight="1">
      <c r="A294" s="284" t="s">
        <v>471</v>
      </c>
      <c r="B294" s="551" t="s">
        <v>472</v>
      </c>
      <c r="C294" s="551"/>
      <c r="D294" s="551"/>
      <c r="E294" s="551"/>
      <c r="F294" s="551"/>
      <c r="G294" s="551"/>
      <c r="H294" s="551"/>
      <c r="I294" s="551"/>
      <c r="J294" s="551"/>
      <c r="K294" s="551"/>
      <c r="L294" s="143"/>
      <c r="N294" s="151"/>
      <c r="O294" s="143"/>
      <c r="P294" s="143"/>
    </row>
    <row r="295" spans="1:16">
      <c r="A295" s="284" t="s">
        <v>473</v>
      </c>
      <c r="B295" s="551" t="s">
        <v>474</v>
      </c>
      <c r="C295" s="551"/>
      <c r="D295" s="551"/>
      <c r="E295" s="551"/>
      <c r="F295" s="551"/>
      <c r="G295" s="551"/>
      <c r="H295" s="551"/>
      <c r="I295" s="551"/>
      <c r="J295" s="551"/>
      <c r="K295" s="551"/>
      <c r="L295" s="143"/>
      <c r="N295" s="151"/>
      <c r="O295" s="175"/>
      <c r="P295" s="143"/>
    </row>
    <row r="296" spans="1:16" ht="48" customHeight="1">
      <c r="A296" s="284" t="s">
        <v>475</v>
      </c>
      <c r="B296" s="552" t="s">
        <v>476</v>
      </c>
      <c r="C296" s="552"/>
      <c r="D296" s="552"/>
      <c r="E296" s="552"/>
      <c r="F296" s="552"/>
      <c r="G296" s="552"/>
      <c r="H296" s="552"/>
      <c r="I296" s="552"/>
      <c r="J296" s="552"/>
      <c r="K296" s="552"/>
      <c r="L296" s="143"/>
      <c r="N296" s="151"/>
      <c r="O296" s="175"/>
      <c r="P296" s="143"/>
    </row>
    <row r="297" spans="1:16" ht="32.25" customHeight="1">
      <c r="A297" s="284" t="s">
        <v>477</v>
      </c>
      <c r="B297" s="551" t="s">
        <v>478</v>
      </c>
      <c r="C297" s="551"/>
      <c r="D297" s="551"/>
      <c r="E297" s="551"/>
      <c r="F297" s="551"/>
      <c r="G297" s="551"/>
      <c r="H297" s="551"/>
      <c r="I297" s="551"/>
      <c r="J297" s="551"/>
      <c r="K297" s="551"/>
      <c r="L297" s="143"/>
      <c r="N297" s="151"/>
      <c r="O297" s="143"/>
      <c r="P297" s="143"/>
    </row>
    <row r="298" spans="1:16">
      <c r="A298" s="284" t="s">
        <v>479</v>
      </c>
      <c r="B298" s="551" t="s">
        <v>480</v>
      </c>
      <c r="C298" s="551"/>
      <c r="D298" s="551"/>
      <c r="E298" s="551"/>
      <c r="F298" s="551"/>
      <c r="G298" s="551"/>
      <c r="H298" s="551"/>
      <c r="I298" s="551"/>
      <c r="J298" s="551"/>
      <c r="K298" s="551"/>
      <c r="L298" s="143"/>
      <c r="N298" s="151"/>
      <c r="O298" s="143"/>
      <c r="P298" s="143"/>
    </row>
    <row r="299" spans="1:16" ht="48" customHeight="1">
      <c r="A299" s="284" t="s">
        <v>481</v>
      </c>
      <c r="B299" s="551" t="s">
        <v>482</v>
      </c>
      <c r="C299" s="551"/>
      <c r="D299" s="551"/>
      <c r="E299" s="551"/>
      <c r="F299" s="551"/>
      <c r="G299" s="551"/>
      <c r="H299" s="551"/>
      <c r="I299" s="551"/>
      <c r="J299" s="551"/>
      <c r="K299" s="551"/>
      <c r="L299" s="143"/>
      <c r="N299" s="151"/>
      <c r="O299" s="143"/>
      <c r="P299" s="143"/>
    </row>
    <row r="300" spans="1:16" ht="65.25" customHeight="1">
      <c r="A300" s="291" t="s">
        <v>483</v>
      </c>
      <c r="B300" s="550" t="s">
        <v>484</v>
      </c>
      <c r="C300" s="550"/>
      <c r="D300" s="550"/>
      <c r="E300" s="550"/>
      <c r="F300" s="550"/>
      <c r="G300" s="550"/>
      <c r="H300" s="550"/>
      <c r="I300" s="550"/>
      <c r="J300" s="550"/>
      <c r="K300" s="550"/>
      <c r="L300" s="143"/>
      <c r="N300" s="151"/>
      <c r="O300" s="143"/>
      <c r="P300" s="143"/>
    </row>
    <row r="301" spans="1:16">
      <c r="A301" s="291" t="s">
        <v>485</v>
      </c>
      <c r="B301" s="550" t="s">
        <v>486</v>
      </c>
      <c r="C301" s="550"/>
      <c r="D301" s="550"/>
      <c r="E301" s="550"/>
      <c r="F301" s="550"/>
      <c r="G301" s="550"/>
      <c r="H301" s="550"/>
      <c r="I301" s="550"/>
      <c r="J301" s="550"/>
      <c r="K301" s="550"/>
      <c r="L301" s="143"/>
      <c r="N301" s="151"/>
      <c r="O301" s="143"/>
      <c r="P301" s="143"/>
    </row>
    <row r="302" spans="1:16">
      <c r="A302" s="292" t="s">
        <v>487</v>
      </c>
      <c r="B302" s="550" t="s">
        <v>488</v>
      </c>
      <c r="C302" s="550"/>
      <c r="D302" s="550"/>
      <c r="E302" s="550"/>
      <c r="F302" s="550"/>
      <c r="G302" s="550"/>
      <c r="H302" s="550"/>
      <c r="I302" s="550"/>
      <c r="J302" s="550"/>
      <c r="K302" s="550"/>
      <c r="L302" s="143"/>
      <c r="N302" s="190"/>
      <c r="O302" s="143"/>
      <c r="P302" s="143"/>
    </row>
    <row r="303" spans="1:16">
      <c r="A303" s="292" t="s">
        <v>489</v>
      </c>
      <c r="B303" s="550" t="s">
        <v>490</v>
      </c>
      <c r="C303" s="550"/>
      <c r="D303" s="550"/>
      <c r="E303" s="550"/>
      <c r="F303" s="550"/>
      <c r="G303" s="550"/>
      <c r="H303" s="550"/>
      <c r="I303" s="550"/>
      <c r="J303" s="550"/>
      <c r="K303" s="550"/>
      <c r="L303" s="143"/>
      <c r="N303" s="190"/>
      <c r="O303" s="143"/>
      <c r="P303" s="143"/>
    </row>
    <row r="304" spans="1:16" s="196" customFormat="1" ht="32.25" customHeight="1">
      <c r="A304" s="291" t="s">
        <v>491</v>
      </c>
      <c r="B304" s="550" t="s">
        <v>492</v>
      </c>
      <c r="C304" s="550"/>
      <c r="D304" s="550"/>
      <c r="E304" s="550"/>
      <c r="F304" s="550"/>
      <c r="G304" s="550"/>
      <c r="H304" s="550"/>
      <c r="I304" s="550"/>
      <c r="J304" s="550"/>
      <c r="K304" s="550"/>
      <c r="L304" s="214"/>
      <c r="N304" s="194"/>
      <c r="O304" s="214"/>
      <c r="P304" s="214"/>
    </row>
    <row r="305" spans="1:16" s="216" customFormat="1">
      <c r="A305" s="292" t="s">
        <v>493</v>
      </c>
      <c r="B305" s="550" t="s">
        <v>494</v>
      </c>
      <c r="C305" s="550"/>
      <c r="D305" s="550"/>
      <c r="E305" s="550"/>
      <c r="F305" s="550"/>
      <c r="G305" s="550"/>
      <c r="H305" s="550"/>
      <c r="I305" s="550"/>
      <c r="J305" s="550"/>
      <c r="K305" s="550"/>
      <c r="L305" s="218"/>
      <c r="N305" s="215"/>
      <c r="O305" s="218"/>
      <c r="P305" s="218"/>
    </row>
    <row r="306" spans="1:16" s="216" customFormat="1" ht="33" customHeight="1">
      <c r="A306" s="291" t="s">
        <v>495</v>
      </c>
      <c r="B306" s="550" t="s">
        <v>496</v>
      </c>
      <c r="C306" s="550"/>
      <c r="D306" s="550"/>
      <c r="E306" s="550"/>
      <c r="F306" s="550"/>
      <c r="G306" s="550"/>
      <c r="H306" s="550"/>
      <c r="I306" s="550"/>
      <c r="J306" s="550"/>
      <c r="K306" s="550"/>
      <c r="L306" s="218"/>
      <c r="N306" s="215"/>
      <c r="O306" s="218"/>
      <c r="P306" s="218"/>
    </row>
    <row r="307" spans="1:16" s="216" customFormat="1" ht="15" customHeight="1">
      <c r="A307" s="291" t="s">
        <v>497</v>
      </c>
      <c r="B307" s="293" t="s">
        <v>498</v>
      </c>
      <c r="C307" s="294"/>
      <c r="D307" s="294"/>
      <c r="E307" s="294"/>
      <c r="F307" s="294"/>
      <c r="G307" s="294"/>
      <c r="H307" s="294"/>
      <c r="I307" s="294"/>
      <c r="J307" s="294"/>
      <c r="K307" s="294"/>
      <c r="L307" s="218"/>
      <c r="N307" s="215"/>
      <c r="O307" s="218"/>
      <c r="P307" s="218"/>
    </row>
    <row r="308" spans="1:16" s="216" customFormat="1" ht="15" customHeight="1">
      <c r="A308" s="291" t="s">
        <v>499</v>
      </c>
      <c r="B308" s="295" t="s">
        <v>500</v>
      </c>
      <c r="C308" s="294"/>
      <c r="D308" s="294"/>
      <c r="E308" s="294"/>
      <c r="F308" s="294"/>
      <c r="G308" s="294"/>
      <c r="H308" s="294"/>
      <c r="I308" s="294"/>
      <c r="J308" s="294"/>
      <c r="K308" s="294"/>
      <c r="L308" s="218"/>
      <c r="N308" s="215"/>
      <c r="O308" s="218"/>
      <c r="P308" s="218"/>
    </row>
    <row r="309" spans="1:16" s="216" customFormat="1" ht="15" customHeight="1">
      <c r="A309" s="296"/>
      <c r="B309" s="297"/>
      <c r="C309" s="294"/>
      <c r="D309" s="294"/>
      <c r="E309" s="294"/>
      <c r="F309" s="294"/>
      <c r="G309" s="294"/>
      <c r="H309" s="294"/>
      <c r="I309" s="294"/>
      <c r="J309" s="294"/>
      <c r="K309" s="294"/>
      <c r="L309" s="218"/>
      <c r="N309" s="215"/>
      <c r="O309" s="218"/>
      <c r="P309" s="218"/>
    </row>
    <row r="310" spans="1:16" s="216" customFormat="1" ht="15" customHeight="1">
      <c r="A310" s="291"/>
      <c r="B310" s="298"/>
      <c r="C310" s="289"/>
      <c r="D310" s="289"/>
      <c r="E310" s="289"/>
      <c r="F310" s="289"/>
      <c r="G310" s="289"/>
      <c r="H310" s="289"/>
      <c r="I310" s="289"/>
      <c r="J310" s="289"/>
      <c r="K310" s="289"/>
      <c r="L310" s="218"/>
      <c r="N310" s="215"/>
      <c r="O310" s="218"/>
      <c r="P310" s="218"/>
    </row>
    <row r="311" spans="1:16">
      <c r="A311" s="151"/>
      <c r="B311" s="142"/>
      <c r="C311" s="142"/>
      <c r="D311" s="142"/>
      <c r="E311" s="142"/>
      <c r="F311" s="142"/>
      <c r="G311" s="142"/>
      <c r="H311" s="142"/>
      <c r="I311" s="142"/>
      <c r="J311" s="142"/>
      <c r="K311" s="142"/>
      <c r="N311" s="151"/>
      <c r="O311" s="143"/>
      <c r="P311" s="143"/>
    </row>
    <row r="312" spans="1:16">
      <c r="A312" s="151"/>
      <c r="B312" s="142"/>
      <c r="C312" s="142"/>
      <c r="D312" s="142"/>
      <c r="E312" s="142"/>
      <c r="F312" s="142"/>
      <c r="G312" s="142"/>
      <c r="H312" s="142"/>
      <c r="I312" s="142"/>
      <c r="J312" s="142"/>
      <c r="K312" s="142"/>
      <c r="N312" s="151"/>
      <c r="O312" s="143"/>
      <c r="P312" s="143"/>
    </row>
    <row r="313" spans="1:16">
      <c r="A313" s="151"/>
      <c r="B313" s="142"/>
      <c r="C313" s="142"/>
      <c r="D313" s="142"/>
      <c r="E313" s="142"/>
      <c r="F313" s="142"/>
      <c r="G313" s="142"/>
      <c r="H313" s="142"/>
      <c r="I313" s="142"/>
      <c r="J313" s="142"/>
      <c r="K313" s="142"/>
      <c r="N313" s="151"/>
      <c r="O313" s="143"/>
      <c r="P313" s="143"/>
    </row>
    <row r="314" spans="1:16">
      <c r="A314" s="151"/>
      <c r="B314" s="142"/>
      <c r="C314" s="142"/>
      <c r="D314" s="142"/>
      <c r="E314" s="142"/>
      <c r="F314" s="142"/>
      <c r="G314" s="142"/>
      <c r="H314" s="142"/>
      <c r="I314" s="142"/>
      <c r="J314" s="142"/>
      <c r="K314" s="142"/>
      <c r="N314" s="151"/>
      <c r="O314" s="143"/>
      <c r="P314" s="143"/>
    </row>
    <row r="315" spans="1:16">
      <c r="A315" s="151"/>
      <c r="B315" s="142"/>
      <c r="C315" s="142"/>
      <c r="D315" s="142"/>
      <c r="E315" s="142"/>
      <c r="F315" s="142"/>
      <c r="G315" s="142"/>
      <c r="H315" s="142"/>
      <c r="I315" s="142"/>
      <c r="J315" s="142"/>
      <c r="K315" s="142"/>
      <c r="N315" s="151"/>
      <c r="O315" s="143"/>
      <c r="P315" s="143"/>
    </row>
    <row r="316" spans="1:16">
      <c r="A316" s="151"/>
      <c r="B316" s="142"/>
      <c r="C316" s="142"/>
      <c r="D316" s="142"/>
      <c r="E316" s="142"/>
      <c r="F316" s="142"/>
      <c r="G316" s="142"/>
      <c r="H316" s="142"/>
      <c r="I316" s="142"/>
      <c r="J316" s="142"/>
      <c r="K316" s="142"/>
      <c r="N316" s="151"/>
      <c r="O316" s="143"/>
      <c r="P316" s="143"/>
    </row>
    <row r="317" spans="1:16">
      <c r="A317" s="151"/>
      <c r="B317" s="142"/>
      <c r="C317" s="142"/>
      <c r="D317" s="142"/>
      <c r="E317" s="142"/>
      <c r="F317" s="142"/>
      <c r="G317" s="142"/>
      <c r="H317" s="142"/>
      <c r="I317" s="142"/>
      <c r="J317" s="142"/>
      <c r="K317" s="142"/>
      <c r="N317" s="151"/>
      <c r="O317" s="143"/>
      <c r="P317" s="143"/>
    </row>
    <row r="318" spans="1:16">
      <c r="A318" s="151"/>
      <c r="B318" s="142"/>
      <c r="C318" s="142"/>
      <c r="D318" s="142"/>
      <c r="E318" s="142"/>
      <c r="F318" s="142"/>
      <c r="G318" s="142"/>
      <c r="H318" s="142"/>
      <c r="I318" s="142"/>
      <c r="J318" s="142"/>
      <c r="K318" s="142"/>
      <c r="N318" s="151"/>
      <c r="O318" s="143"/>
      <c r="P318" s="143"/>
    </row>
    <row r="319" spans="1:16">
      <c r="A319" s="151"/>
      <c r="B319" s="142"/>
      <c r="C319" s="142"/>
      <c r="D319" s="142"/>
      <c r="E319" s="142"/>
      <c r="F319" s="142"/>
      <c r="G319" s="142"/>
      <c r="H319" s="142"/>
      <c r="I319" s="142"/>
      <c r="J319" s="142"/>
      <c r="K319" s="142"/>
      <c r="N319" s="151"/>
      <c r="O319" s="143"/>
      <c r="P319" s="143"/>
    </row>
    <row r="320" spans="1:16">
      <c r="A320" s="151"/>
      <c r="B320" s="142"/>
      <c r="C320" s="142"/>
      <c r="D320" s="142"/>
      <c r="E320" s="142"/>
      <c r="F320" s="142"/>
      <c r="G320" s="142"/>
      <c r="H320" s="142"/>
      <c r="I320" s="142"/>
      <c r="J320" s="142"/>
      <c r="K320" s="142"/>
      <c r="N320" s="151"/>
      <c r="O320" s="143"/>
      <c r="P320" s="143"/>
    </row>
    <row r="321" spans="1:16">
      <c r="A321" s="151"/>
      <c r="B321" s="142"/>
      <c r="C321" s="142"/>
      <c r="D321" s="142"/>
      <c r="E321" s="142"/>
      <c r="F321" s="142"/>
      <c r="G321" s="142"/>
      <c r="H321" s="142"/>
      <c r="I321" s="142"/>
      <c r="J321" s="142"/>
      <c r="K321" s="142"/>
      <c r="N321" s="151"/>
      <c r="O321" s="143"/>
      <c r="P321" s="143"/>
    </row>
    <row r="322" spans="1:16">
      <c r="A322" s="151"/>
      <c r="B322" s="142"/>
      <c r="C322" s="142"/>
      <c r="D322" s="142"/>
      <c r="E322" s="142"/>
      <c r="F322" s="142"/>
      <c r="G322" s="142"/>
      <c r="H322" s="142"/>
      <c r="I322" s="142"/>
      <c r="J322" s="142"/>
      <c r="K322" s="142"/>
      <c r="N322" s="151"/>
      <c r="O322" s="143"/>
      <c r="P322" s="143"/>
    </row>
    <row r="323" spans="1:16">
      <c r="A323" s="151"/>
      <c r="B323" s="142"/>
      <c r="C323" s="142"/>
      <c r="D323" s="142"/>
      <c r="E323" s="142"/>
      <c r="F323" s="142"/>
      <c r="G323" s="142"/>
      <c r="H323" s="142"/>
      <c r="I323" s="142"/>
      <c r="J323" s="142"/>
      <c r="K323" s="142"/>
      <c r="N323" s="151"/>
      <c r="O323" s="143"/>
      <c r="P323" s="143"/>
    </row>
    <row r="324" spans="1:16">
      <c r="A324" s="151"/>
      <c r="B324" s="142"/>
      <c r="C324" s="142"/>
      <c r="D324" s="142"/>
      <c r="E324" s="142"/>
      <c r="F324" s="142"/>
      <c r="G324" s="142"/>
      <c r="H324" s="142"/>
      <c r="I324" s="142"/>
      <c r="J324" s="142"/>
      <c r="K324" s="142"/>
      <c r="N324" s="151"/>
      <c r="O324" s="143"/>
      <c r="P324" s="143"/>
    </row>
    <row r="325" spans="1:16">
      <c r="A325" s="151"/>
      <c r="B325" s="142"/>
      <c r="C325" s="142"/>
      <c r="D325" s="142"/>
      <c r="E325" s="142"/>
      <c r="F325" s="142"/>
      <c r="G325" s="142"/>
      <c r="H325" s="142"/>
      <c r="I325" s="142"/>
      <c r="J325" s="142"/>
      <c r="K325" s="142"/>
      <c r="N325" s="151"/>
      <c r="O325" s="143"/>
      <c r="P325" s="143"/>
    </row>
    <row r="326" spans="1:16">
      <c r="B326" s="143"/>
      <c r="C326" s="143"/>
      <c r="D326" s="143"/>
      <c r="E326" s="143"/>
      <c r="F326" s="143"/>
      <c r="G326" s="143"/>
      <c r="H326" s="143"/>
      <c r="I326" s="143"/>
      <c r="J326" s="142"/>
      <c r="K326" s="142"/>
      <c r="N326" s="151"/>
      <c r="O326" s="143"/>
      <c r="P326" s="143"/>
    </row>
    <row r="327" spans="1:16">
      <c r="B327" s="143"/>
      <c r="C327" s="143"/>
      <c r="D327" s="143"/>
      <c r="E327" s="143"/>
      <c r="F327" s="143"/>
      <c r="G327" s="143"/>
      <c r="H327" s="143"/>
      <c r="I327" s="143"/>
      <c r="J327" s="143"/>
      <c r="K327" s="143"/>
      <c r="N327" s="151"/>
      <c r="O327" s="143"/>
      <c r="P327" s="143"/>
    </row>
    <row r="328" spans="1:16">
      <c r="B328" s="143"/>
      <c r="C328" s="143"/>
      <c r="D328" s="143"/>
      <c r="E328" s="143"/>
      <c r="F328" s="143"/>
      <c r="G328" s="143"/>
      <c r="H328" s="143"/>
      <c r="I328" s="143"/>
      <c r="J328" s="143"/>
      <c r="K328" s="143"/>
      <c r="N328" s="151"/>
      <c r="O328" s="143"/>
      <c r="P328" s="143"/>
    </row>
    <row r="329" spans="1:16">
      <c r="B329" s="143"/>
      <c r="C329" s="143"/>
      <c r="D329" s="143"/>
      <c r="E329" s="143"/>
      <c r="F329" s="143"/>
      <c r="G329" s="143"/>
      <c r="H329" s="143"/>
      <c r="I329" s="143"/>
      <c r="J329" s="143"/>
      <c r="K329" s="143"/>
      <c r="N329" s="143"/>
      <c r="O329" s="143"/>
      <c r="P329" s="143"/>
    </row>
    <row r="330" spans="1:16">
      <c r="B330" s="143"/>
      <c r="C330" s="143"/>
      <c r="D330" s="143"/>
      <c r="E330" s="143"/>
      <c r="F330" s="143"/>
      <c r="G330" s="143"/>
      <c r="H330" s="143"/>
      <c r="I330" s="143"/>
      <c r="J330" s="143"/>
      <c r="K330" s="143"/>
      <c r="N330" s="143"/>
      <c r="O330" s="143"/>
      <c r="P330" s="143"/>
    </row>
    <row r="331" spans="1:16">
      <c r="B331" s="143"/>
      <c r="C331" s="143"/>
      <c r="D331" s="143"/>
      <c r="E331" s="143"/>
      <c r="F331" s="143"/>
      <c r="G331" s="143"/>
      <c r="H331" s="143"/>
      <c r="I331" s="143"/>
      <c r="J331" s="143"/>
      <c r="K331" s="143"/>
      <c r="N331" s="143"/>
      <c r="O331" s="143"/>
      <c r="P331" s="143"/>
    </row>
    <row r="332" spans="1:16">
      <c r="B332" s="143"/>
      <c r="C332" s="143"/>
      <c r="D332" s="143"/>
      <c r="E332" s="143"/>
      <c r="F332" s="143"/>
      <c r="G332" s="143"/>
      <c r="H332" s="143"/>
      <c r="I332" s="143"/>
      <c r="J332" s="143"/>
      <c r="K332" s="143"/>
      <c r="N332" s="143"/>
      <c r="O332" s="143"/>
      <c r="P332" s="143"/>
    </row>
    <row r="333" spans="1:16">
      <c r="B333" s="143"/>
      <c r="C333" s="143"/>
      <c r="D333" s="143"/>
      <c r="E333" s="143"/>
      <c r="F333" s="143"/>
      <c r="G333" s="143"/>
      <c r="H333" s="143"/>
      <c r="I333" s="143"/>
      <c r="J333" s="143"/>
      <c r="K333" s="143"/>
      <c r="N333" s="143"/>
      <c r="O333" s="143"/>
      <c r="P333" s="143"/>
    </row>
    <row r="334" spans="1:16">
      <c r="B334" s="143"/>
      <c r="C334" s="143"/>
      <c r="D334" s="143"/>
      <c r="E334" s="143"/>
      <c r="F334" s="143"/>
      <c r="G334" s="143"/>
      <c r="H334" s="143"/>
      <c r="I334" s="143"/>
      <c r="J334" s="143"/>
      <c r="K334" s="143"/>
      <c r="N334" s="143"/>
      <c r="O334" s="143"/>
      <c r="P334" s="143"/>
    </row>
    <row r="335" spans="1:16">
      <c r="J335" s="143"/>
      <c r="K335" s="143"/>
      <c r="N335" s="143"/>
      <c r="O335" s="143"/>
      <c r="P335" s="143"/>
    </row>
    <row r="336" spans="1:16">
      <c r="N336" s="143"/>
      <c r="O336" s="143"/>
      <c r="P336" s="143"/>
    </row>
    <row r="337" spans="14:16">
      <c r="N337" s="143"/>
      <c r="O337" s="143"/>
      <c r="P337" s="143"/>
    </row>
  </sheetData>
  <mergeCells count="30">
    <mergeCell ref="B281:K281"/>
    <mergeCell ref="L219:Q219"/>
    <mergeCell ref="C270:D270"/>
    <mergeCell ref="B278:K278"/>
    <mergeCell ref="B279:K279"/>
    <mergeCell ref="B280:K280"/>
    <mergeCell ref="B294:K294"/>
    <mergeCell ref="B282:K282"/>
    <mergeCell ref="B283:K283"/>
    <mergeCell ref="B284:K284"/>
    <mergeCell ref="B285:K285"/>
    <mergeCell ref="B286:K286"/>
    <mergeCell ref="B287:K287"/>
    <mergeCell ref="B288:K288"/>
    <mergeCell ref="E290:K290"/>
    <mergeCell ref="E291:K291"/>
    <mergeCell ref="B292:K292"/>
    <mergeCell ref="B293:K293"/>
    <mergeCell ref="B306:K306"/>
    <mergeCell ref="B295:K295"/>
    <mergeCell ref="B296:K296"/>
    <mergeCell ref="B297:K297"/>
    <mergeCell ref="B298:K298"/>
    <mergeCell ref="B299:K299"/>
    <mergeCell ref="B300:K300"/>
    <mergeCell ref="B301:K301"/>
    <mergeCell ref="B302:K302"/>
    <mergeCell ref="B303:K303"/>
    <mergeCell ref="B304:K304"/>
    <mergeCell ref="B305:K305"/>
  </mergeCells>
  <pageMargins left="0.5" right="0.5" top="0.75" bottom="0.75" header="0.09" footer="0.5"/>
  <pageSetup scale="61" fitToHeight="5" orientation="portrait" r:id="rId1"/>
  <headerFooter alignWithMargins="0"/>
  <rowBreaks count="4" manualBreakCount="4">
    <brk id="67" max="10" man="1"/>
    <brk id="133" max="10" man="1"/>
    <brk id="200" max="10" man="1"/>
    <brk id="267" max="10" man="1"/>
  </rowBreaks>
  <ignoredErrors>
    <ignoredError sqref="I260:I263 I2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SheetLayoutView="100" workbookViewId="0">
      <selection activeCell="A5" sqref="A5"/>
    </sheetView>
  </sheetViews>
  <sheetFormatPr defaultColWidth="9.140625" defaultRowHeight="15"/>
  <cols>
    <col min="1" max="1" width="79.42578125" style="299" bestFit="1" customWidth="1"/>
    <col min="2" max="2" width="13" style="299" customWidth="1"/>
    <col min="3" max="3" width="3.42578125" style="299" customWidth="1"/>
    <col min="4" max="16384" width="9.140625" style="299"/>
  </cols>
  <sheetData>
    <row r="1" spans="1:10">
      <c r="A1" s="578" t="str">
        <f>'Attachment O, page 1'!A1:G1</f>
        <v>Rochester Public Utilities</v>
      </c>
      <c r="B1" s="578"/>
      <c r="C1" s="578"/>
      <c r="D1" s="578"/>
      <c r="E1" s="578"/>
      <c r="F1" s="578"/>
      <c r="G1" s="578"/>
      <c r="H1" s="578"/>
    </row>
    <row r="2" spans="1:10">
      <c r="A2" s="578" t="str">
        <f>'Attachment O, page 1'!A2:G2</f>
        <v>For the Year ended 12/31/2013</v>
      </c>
      <c r="B2" s="578"/>
      <c r="C2" s="578"/>
      <c r="D2" s="578"/>
      <c r="E2" s="578"/>
      <c r="F2" s="578"/>
      <c r="G2" s="578"/>
      <c r="H2" s="578"/>
    </row>
    <row r="3" spans="1:10" ht="18.75">
      <c r="A3" s="329" t="s">
        <v>632</v>
      </c>
      <c r="B3" s="302"/>
      <c r="C3" s="302"/>
    </row>
    <row r="6" spans="1:10">
      <c r="B6" s="299" t="s">
        <v>633</v>
      </c>
    </row>
    <row r="8" spans="1:10">
      <c r="A8" s="299" t="s">
        <v>634</v>
      </c>
      <c r="B8" s="330">
        <v>0</v>
      </c>
    </row>
    <row r="9" spans="1:10">
      <c r="A9" s="299" t="s">
        <v>247</v>
      </c>
      <c r="B9" s="411">
        <v>0</v>
      </c>
      <c r="D9" s="299" t="s">
        <v>635</v>
      </c>
      <c r="J9" s="389"/>
    </row>
    <row r="10" spans="1:10">
      <c r="A10" s="299" t="s">
        <v>636</v>
      </c>
      <c r="B10" s="303">
        <v>0</v>
      </c>
      <c r="J10" s="389"/>
    </row>
    <row r="11" spans="1:10" ht="17.25">
      <c r="A11" s="299" t="s">
        <v>637</v>
      </c>
      <c r="B11" s="331">
        <v>0</v>
      </c>
    </row>
    <row r="12" spans="1:10">
      <c r="B12" s="332">
        <f>SUM(B8:B11)</f>
        <v>0</v>
      </c>
    </row>
  </sheetData>
  <mergeCells count="2">
    <mergeCell ref="A1:H1"/>
    <mergeCell ref="A2:H2"/>
  </mergeCells>
  <pageMargins left="0.45" right="0.2" top="0.75" bottom="0.75" header="0.3" footer="0.3"/>
  <pageSetup scale="75" orientation="landscape"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election activeCell="A5" sqref="A5"/>
    </sheetView>
  </sheetViews>
  <sheetFormatPr defaultColWidth="9.140625" defaultRowHeight="15"/>
  <cols>
    <col min="1" max="1" width="21.5703125" style="299" customWidth="1"/>
    <col min="2" max="2" width="12.85546875" style="299" customWidth="1"/>
    <col min="3" max="3" width="3.42578125" style="299" customWidth="1"/>
    <col min="4" max="16384" width="9.140625" style="299"/>
  </cols>
  <sheetData>
    <row r="1" spans="1:8">
      <c r="A1" s="578" t="str">
        <f>'Attachment O, page 1'!A1:G1</f>
        <v>Rochester Public Utilities</v>
      </c>
      <c r="B1" s="578"/>
      <c r="C1" s="578"/>
      <c r="D1" s="578"/>
      <c r="E1" s="578"/>
      <c r="F1" s="578"/>
      <c r="G1" s="578"/>
      <c r="H1" s="578"/>
    </row>
    <row r="2" spans="1:8">
      <c r="A2" s="578" t="str">
        <f>'Attachment O, page 1'!A2:G2</f>
        <v>For the Year ended 12/31/2013</v>
      </c>
      <c r="B2" s="578"/>
      <c r="C2" s="578"/>
      <c r="D2" s="578"/>
      <c r="E2" s="578"/>
      <c r="F2" s="578"/>
      <c r="G2" s="578"/>
      <c r="H2" s="578"/>
    </row>
    <row r="4" spans="1:8" ht="18.75">
      <c r="A4" s="329" t="s">
        <v>638</v>
      </c>
      <c r="B4" s="302"/>
      <c r="C4" s="302"/>
    </row>
    <row r="7" spans="1:8">
      <c r="B7" s="333" t="s">
        <v>639</v>
      </c>
    </row>
    <row r="9" spans="1:8">
      <c r="A9" s="299" t="s">
        <v>634</v>
      </c>
      <c r="B9" s="330">
        <v>3109606.4899999965</v>
      </c>
    </row>
    <row r="10" spans="1:8">
      <c r="A10" s="299" t="s">
        <v>247</v>
      </c>
      <c r="B10" s="411">
        <f>B32</f>
        <v>295359.33999999997</v>
      </c>
      <c r="D10" s="299" t="s">
        <v>640</v>
      </c>
    </row>
    <row r="11" spans="1:8">
      <c r="A11" s="299" t="s">
        <v>636</v>
      </c>
      <c r="B11" s="303">
        <v>2077985</v>
      </c>
    </row>
    <row r="12" spans="1:8" ht="17.25">
      <c r="A12" s="299" t="s">
        <v>637</v>
      </c>
      <c r="B12" s="331">
        <v>166236</v>
      </c>
      <c r="D12" s="380"/>
    </row>
    <row r="13" spans="1:8">
      <c r="B13" s="332">
        <f>SUM(B9:B12)</f>
        <v>5649186.8299999963</v>
      </c>
    </row>
    <row r="19" spans="1:2" customFormat="1">
      <c r="A19" s="527" t="s">
        <v>887</v>
      </c>
    </row>
    <row r="20" spans="1:2" customFormat="1">
      <c r="A20" s="405" t="s">
        <v>888</v>
      </c>
    </row>
    <row r="21" spans="1:2" customFormat="1">
      <c r="A21" s="527"/>
    </row>
    <row r="22" spans="1:2" customFormat="1" ht="12.75">
      <c r="A22" s="528" t="s">
        <v>889</v>
      </c>
    </row>
    <row r="23" spans="1:2" customFormat="1" ht="12.75"/>
    <row r="24" spans="1:2" customFormat="1" ht="12.75">
      <c r="A24" s="521" t="s">
        <v>880</v>
      </c>
      <c r="B24" s="522" t="s">
        <v>91</v>
      </c>
    </row>
    <row r="25" spans="1:2" customFormat="1" ht="12.75">
      <c r="A25" s="523" t="s">
        <v>881</v>
      </c>
      <c r="B25" s="524">
        <v>10246.549999999999</v>
      </c>
    </row>
    <row r="26" spans="1:2" customFormat="1" ht="12.75">
      <c r="A26" s="523" t="s">
        <v>882</v>
      </c>
      <c r="B26" s="524">
        <v>51092.2</v>
      </c>
    </row>
    <row r="27" spans="1:2" customFormat="1" ht="12.75">
      <c r="A27" s="523" t="s">
        <v>883</v>
      </c>
      <c r="B27" s="524">
        <v>121527.76999999996</v>
      </c>
    </row>
    <row r="28" spans="1:2" customFormat="1" ht="12.75">
      <c r="A28" s="523" t="s">
        <v>884</v>
      </c>
      <c r="B28" s="524">
        <v>40942.270000000004</v>
      </c>
    </row>
    <row r="29" spans="1:2" customFormat="1" ht="12.75">
      <c r="A29" s="523" t="s">
        <v>885</v>
      </c>
      <c r="B29" s="524">
        <v>54953.740000000005</v>
      </c>
    </row>
    <row r="30" spans="1:2" customFormat="1" ht="12.75">
      <c r="A30" s="523" t="s">
        <v>886</v>
      </c>
      <c r="B30" s="524">
        <v>16596.810000000001</v>
      </c>
    </row>
    <row r="31" spans="1:2" customFormat="1" ht="13.5" thickBot="1">
      <c r="A31" s="525"/>
      <c r="B31" s="525"/>
    </row>
    <row r="32" spans="1:2" customFormat="1" ht="12.75">
      <c r="A32" s="521" t="s">
        <v>141</v>
      </c>
      <c r="B32" s="526">
        <f>SUM(B25:B31)</f>
        <v>295359.33999999997</v>
      </c>
    </row>
    <row r="33" customFormat="1" ht="12.75"/>
  </sheetData>
  <mergeCells count="2">
    <mergeCell ref="A1:H1"/>
    <mergeCell ref="A2:H2"/>
  </mergeCells>
  <pageMargins left="0.45" right="0.45" top="0.75" bottom="0.75" header="0.3" footer="0.3"/>
  <pageSetup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zoomScaleSheetLayoutView="100" workbookViewId="0">
      <selection activeCell="A5" sqref="A5"/>
    </sheetView>
  </sheetViews>
  <sheetFormatPr defaultColWidth="9.140625" defaultRowHeight="15"/>
  <cols>
    <col min="1" max="1" width="47.140625" style="299" bestFit="1" customWidth="1"/>
    <col min="2" max="2" width="12.85546875" style="299" customWidth="1"/>
    <col min="3" max="3" width="3.42578125" style="299" customWidth="1"/>
    <col min="4" max="16384" width="9.140625" style="299"/>
  </cols>
  <sheetData>
    <row r="1" spans="1:7">
      <c r="A1" s="578" t="str">
        <f>'Attachment O, page 1'!A1:G1</f>
        <v>Rochester Public Utilities</v>
      </c>
      <c r="B1" s="578"/>
      <c r="C1" s="578"/>
      <c r="D1" s="578"/>
      <c r="E1" s="578"/>
      <c r="F1" s="578"/>
      <c r="G1" s="578"/>
    </row>
    <row r="2" spans="1:7">
      <c r="A2" s="578" t="str">
        <f>'Attachment O, page 1'!A2:G2</f>
        <v>For the Year ended 12/31/2013</v>
      </c>
      <c r="B2" s="578"/>
      <c r="C2" s="578"/>
      <c r="D2" s="578"/>
      <c r="E2" s="578"/>
      <c r="F2" s="578"/>
      <c r="G2" s="578"/>
    </row>
    <row r="4" spans="1:7" ht="18.75">
      <c r="A4" s="329" t="s">
        <v>641</v>
      </c>
      <c r="B4" s="302"/>
      <c r="C4" s="302"/>
    </row>
    <row r="7" spans="1:7">
      <c r="A7" s="306" t="s">
        <v>642</v>
      </c>
      <c r="B7" s="306" t="s">
        <v>91</v>
      </c>
    </row>
    <row r="9" spans="1:7">
      <c r="A9" s="387" t="s">
        <v>789</v>
      </c>
      <c r="B9" s="330">
        <v>2423</v>
      </c>
      <c r="F9" s="380"/>
    </row>
    <row r="10" spans="1:7">
      <c r="A10" s="387" t="s">
        <v>790</v>
      </c>
      <c r="B10" s="334">
        <v>20836</v>
      </c>
    </row>
    <row r="11" spans="1:7">
      <c r="A11" s="387" t="s">
        <v>791</v>
      </c>
      <c r="B11" s="303">
        <v>53381</v>
      </c>
    </row>
    <row r="12" spans="1:7">
      <c r="A12" s="299" t="s">
        <v>643</v>
      </c>
      <c r="B12" s="335">
        <v>0</v>
      </c>
    </row>
    <row r="13" spans="1:7">
      <c r="A13" s="299" t="s">
        <v>644</v>
      </c>
      <c r="B13" s="433">
        <f>SUM(B9:B12)</f>
        <v>76640</v>
      </c>
      <c r="D13"/>
    </row>
    <row r="14" spans="1:7">
      <c r="D14"/>
    </row>
    <row r="15" spans="1:7">
      <c r="D15"/>
    </row>
    <row r="16" spans="1:7">
      <c r="D16"/>
    </row>
    <row r="17" spans="1:4">
      <c r="D17"/>
    </row>
    <row r="20" spans="1:4">
      <c r="A20" s="305"/>
    </row>
  </sheetData>
  <mergeCells count="2">
    <mergeCell ref="A1:G1"/>
    <mergeCell ref="A2:G2"/>
  </mergeCells>
  <pageMargins left="0.45" right="0.2" top="0.75" bottom="0.75" header="0.3" footer="0.3"/>
  <pageSetup scale="92" orientation="landscape"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80" zoomScaleNormal="80" zoomScaleSheetLayoutView="100" workbookViewId="0">
      <selection activeCell="A3" sqref="A3"/>
    </sheetView>
  </sheetViews>
  <sheetFormatPr defaultColWidth="9.140625" defaultRowHeight="15"/>
  <cols>
    <col min="1" max="1" width="76" style="299" customWidth="1"/>
    <col min="2" max="2" width="4.28515625" style="299" customWidth="1"/>
    <col min="3" max="3" width="16.42578125" style="299" customWidth="1"/>
    <col min="4" max="16384" width="9.140625" style="299"/>
  </cols>
  <sheetData>
    <row r="1" spans="1:4" ht="18.75">
      <c r="A1" s="579" t="str">
        <f>'Attachment O, page 1'!A1:G1</f>
        <v>Rochester Public Utilities</v>
      </c>
      <c r="B1" s="579"/>
      <c r="C1" s="579"/>
      <c r="D1" s="579"/>
    </row>
    <row r="2" spans="1:4" ht="18.75">
      <c r="A2" s="579" t="str">
        <f>'Attachment O, page 1'!A2:G2</f>
        <v>For the Year ended 12/31/2013</v>
      </c>
      <c r="B2" s="579"/>
      <c r="C2" s="579"/>
      <c r="D2" s="579"/>
    </row>
    <row r="4" spans="1:4" ht="15.75">
      <c r="A4" s="336" t="s">
        <v>645</v>
      </c>
      <c r="C4" s="306" t="s">
        <v>91</v>
      </c>
    </row>
    <row r="5" spans="1:4" ht="15.75">
      <c r="A5" s="337" t="s">
        <v>139</v>
      </c>
      <c r="B5" s="338"/>
    </row>
    <row r="6" spans="1:4" ht="15.75">
      <c r="A6" s="339" t="s">
        <v>646</v>
      </c>
      <c r="B6" s="338"/>
      <c r="C6" s="381">
        <v>88252.54</v>
      </c>
      <c r="D6" s="340"/>
    </row>
    <row r="7" spans="1:4" ht="15.75">
      <c r="A7" s="339" t="s">
        <v>647</v>
      </c>
      <c r="B7" s="338"/>
      <c r="C7" s="303">
        <v>0</v>
      </c>
    </row>
    <row r="8" spans="1:4" ht="15.75">
      <c r="A8" s="339" t="s">
        <v>648</v>
      </c>
      <c r="B8" s="338"/>
      <c r="C8" s="411">
        <v>58999.24</v>
      </c>
      <c r="D8" s="299" t="s">
        <v>649</v>
      </c>
    </row>
    <row r="9" spans="1:4" ht="15.75">
      <c r="A9" s="339" t="s">
        <v>650</v>
      </c>
      <c r="B9" s="338"/>
      <c r="C9" s="411">
        <v>239396.49</v>
      </c>
      <c r="D9" s="299" t="s">
        <v>649</v>
      </c>
    </row>
    <row r="10" spans="1:4" ht="15.75">
      <c r="A10" s="339" t="s">
        <v>651</v>
      </c>
      <c r="B10" s="338"/>
      <c r="C10" s="411">
        <v>9831.32</v>
      </c>
      <c r="D10" s="299" t="s">
        <v>649</v>
      </c>
    </row>
    <row r="11" spans="1:4" ht="15.75">
      <c r="A11" s="339" t="s">
        <v>652</v>
      </c>
      <c r="B11" s="338"/>
      <c r="C11" s="411">
        <v>1981.03</v>
      </c>
      <c r="D11" s="299" t="s">
        <v>653</v>
      </c>
    </row>
    <row r="12" spans="1:4" ht="15.75">
      <c r="A12" s="339" t="s">
        <v>654</v>
      </c>
      <c r="B12" s="338"/>
      <c r="C12" s="434">
        <v>210784.6</v>
      </c>
    </row>
    <row r="13" spans="1:4" ht="15.75">
      <c r="A13" s="339" t="s">
        <v>655</v>
      </c>
      <c r="B13" s="338"/>
      <c r="C13" s="434">
        <v>59841.17</v>
      </c>
    </row>
    <row r="14" spans="1:4" ht="15.75">
      <c r="A14" s="339" t="s">
        <v>656</v>
      </c>
      <c r="B14" s="338"/>
      <c r="C14" s="434">
        <v>0</v>
      </c>
    </row>
    <row r="15" spans="1:4" ht="15.75">
      <c r="A15" s="339" t="s">
        <v>657</v>
      </c>
      <c r="B15" s="338"/>
      <c r="C15" s="411">
        <v>0</v>
      </c>
      <c r="D15" s="299" t="s">
        <v>653</v>
      </c>
    </row>
    <row r="16" spans="1:4" ht="15.75">
      <c r="A16" s="339" t="s">
        <v>658</v>
      </c>
      <c r="B16" s="338"/>
      <c r="C16" s="434">
        <v>7201.81</v>
      </c>
    </row>
    <row r="17" spans="1:4" ht="15.75">
      <c r="A17" s="339" t="s">
        <v>659</v>
      </c>
      <c r="B17" s="338"/>
      <c r="C17" s="434">
        <v>29677.72</v>
      </c>
    </row>
    <row r="18" spans="1:4" ht="15.75">
      <c r="A18" s="339" t="s">
        <v>660</v>
      </c>
      <c r="B18" s="338"/>
      <c r="C18" s="434">
        <v>0</v>
      </c>
    </row>
    <row r="19" spans="1:4" ht="15.75">
      <c r="A19" s="339" t="s">
        <v>661</v>
      </c>
      <c r="B19" s="338"/>
      <c r="C19" s="411">
        <v>7280319.0199999996</v>
      </c>
      <c r="D19" s="299" t="s">
        <v>662</v>
      </c>
    </row>
    <row r="20" spans="1:4" ht="15.75">
      <c r="A20" s="339" t="s">
        <v>663</v>
      </c>
      <c r="B20" s="338"/>
      <c r="C20" s="434">
        <v>18955.62</v>
      </c>
    </row>
    <row r="21" spans="1:4" ht="15" customHeight="1">
      <c r="A21" s="339" t="s">
        <v>664</v>
      </c>
      <c r="B21" s="338"/>
      <c r="C21" s="434">
        <v>0</v>
      </c>
    </row>
    <row r="22" spans="1:4" ht="15" customHeight="1">
      <c r="A22" s="339" t="s">
        <v>774</v>
      </c>
      <c r="B22" s="338"/>
      <c r="C22" s="411">
        <f>SUM(C6:C21)</f>
        <v>8005240.5599999996</v>
      </c>
      <c r="D22" s="299" t="s">
        <v>775</v>
      </c>
    </row>
    <row r="23" spans="1:4" ht="15.75">
      <c r="A23" s="337" t="s">
        <v>140</v>
      </c>
      <c r="B23" s="338"/>
      <c r="C23" s="434"/>
    </row>
    <row r="24" spans="1:4" ht="15.75">
      <c r="A24" s="339" t="s">
        <v>665</v>
      </c>
      <c r="B24" s="338"/>
      <c r="C24" s="434">
        <v>9855.17</v>
      </c>
    </row>
    <row r="25" spans="1:4" ht="15.75">
      <c r="A25" s="339" t="s">
        <v>666</v>
      </c>
      <c r="B25" s="338"/>
      <c r="C25" s="434">
        <v>0</v>
      </c>
    </row>
    <row r="26" spans="1:4" ht="15.75">
      <c r="A26" s="339" t="s">
        <v>667</v>
      </c>
      <c r="B26" s="338"/>
      <c r="C26" s="434">
        <v>0</v>
      </c>
    </row>
    <row r="27" spans="1:4" ht="15.75">
      <c r="A27" s="339" t="s">
        <v>668</v>
      </c>
      <c r="B27" s="338"/>
      <c r="C27" s="434">
        <v>0</v>
      </c>
    </row>
    <row r="28" spans="1:4" ht="15.75">
      <c r="A28" s="339" t="s">
        <v>669</v>
      </c>
      <c r="B28" s="338"/>
      <c r="C28" s="434">
        <v>0</v>
      </c>
    </row>
    <row r="29" spans="1:4" ht="15.75">
      <c r="A29" s="339" t="s">
        <v>670</v>
      </c>
      <c r="B29" s="338"/>
      <c r="C29" s="434">
        <v>0</v>
      </c>
    </row>
    <row r="30" spans="1:4" ht="15.75">
      <c r="A30" s="339" t="s">
        <v>671</v>
      </c>
      <c r="B30" s="338"/>
      <c r="C30" s="434">
        <v>86449.63</v>
      </c>
    </row>
    <row r="31" spans="1:4" ht="15.75">
      <c r="A31" s="339" t="s">
        <v>672</v>
      </c>
      <c r="B31" s="338"/>
      <c r="C31" s="434">
        <v>35237.83</v>
      </c>
    </row>
    <row r="32" spans="1:4" ht="15.75">
      <c r="A32" s="339" t="s">
        <v>673</v>
      </c>
      <c r="B32" s="338"/>
      <c r="C32" s="434">
        <v>0</v>
      </c>
    </row>
    <row r="33" spans="1:7" ht="18">
      <c r="A33" s="339" t="s">
        <v>674</v>
      </c>
      <c r="B33" s="338"/>
      <c r="C33" s="435">
        <v>0</v>
      </c>
    </row>
    <row r="34" spans="1:7" ht="15.75">
      <c r="A34" s="339" t="s">
        <v>777</v>
      </c>
      <c r="C34" s="436">
        <f>SUM(C24:C33)</f>
        <v>131542.63</v>
      </c>
      <c r="D34" s="299" t="s">
        <v>778</v>
      </c>
    </row>
    <row r="35" spans="1:7" ht="15.75">
      <c r="A35" s="339" t="s">
        <v>675</v>
      </c>
      <c r="C35" s="436">
        <f>C22+C34</f>
        <v>8136783.1899999995</v>
      </c>
      <c r="D35" s="299" t="s">
        <v>776</v>
      </c>
    </row>
    <row r="38" spans="1:7" customFormat="1">
      <c r="A38" s="529" t="s">
        <v>890</v>
      </c>
      <c r="B38" s="527"/>
      <c r="C38" s="527"/>
      <c r="D38" s="527"/>
      <c r="E38" s="527"/>
      <c r="F38" s="527"/>
      <c r="G38" s="527"/>
    </row>
    <row r="39" spans="1:7" customFormat="1">
      <c r="A39" s="405" t="s">
        <v>891</v>
      </c>
      <c r="B39" s="527"/>
      <c r="C39" s="527"/>
      <c r="D39" s="530" t="s">
        <v>892</v>
      </c>
      <c r="E39" s="527"/>
      <c r="F39" s="527"/>
      <c r="G39" s="527"/>
    </row>
    <row r="40" spans="1:7" customFormat="1">
      <c r="A40" s="405" t="s">
        <v>893</v>
      </c>
      <c r="B40" s="527"/>
      <c r="C40" s="527"/>
      <c r="D40" s="527"/>
      <c r="E40" s="527"/>
      <c r="F40" s="527"/>
      <c r="G40" s="527"/>
    </row>
    <row r="41" spans="1:7" customFormat="1">
      <c r="A41" s="405" t="s">
        <v>894</v>
      </c>
      <c r="B41" s="527"/>
      <c r="C41" s="527"/>
      <c r="D41" s="527"/>
      <c r="E41" s="527"/>
      <c r="F41" s="527"/>
      <c r="G41" s="527"/>
    </row>
    <row r="42" spans="1:7" customFormat="1">
      <c r="A42" s="531" t="s">
        <v>895</v>
      </c>
      <c r="B42" s="527"/>
      <c r="C42" s="527"/>
      <c r="D42" s="527"/>
      <c r="E42" s="527"/>
      <c r="F42" s="527"/>
      <c r="G42" s="527"/>
    </row>
    <row r="43" spans="1:7" customFormat="1">
      <c r="A43" s="405" t="s">
        <v>896</v>
      </c>
      <c r="B43" s="527"/>
      <c r="C43" s="527"/>
      <c r="D43" s="527"/>
      <c r="E43" s="527"/>
      <c r="F43" s="527"/>
      <c r="G43" s="527"/>
    </row>
    <row r="44" spans="1:7" customFormat="1">
      <c r="A44" s="531" t="s">
        <v>895</v>
      </c>
      <c r="B44" s="527"/>
      <c r="C44" s="527"/>
      <c r="D44" s="527"/>
      <c r="E44" s="527"/>
      <c r="F44" s="527"/>
      <c r="G44" s="527"/>
    </row>
    <row r="45" spans="1:7" customFormat="1">
      <c r="A45" s="532" t="s">
        <v>897</v>
      </c>
      <c r="B45" s="527"/>
      <c r="C45" s="527"/>
      <c r="D45" s="527"/>
      <c r="E45" s="527"/>
      <c r="F45" s="527"/>
      <c r="G45" s="527"/>
    </row>
    <row r="46" spans="1:7" customFormat="1" ht="15.75">
      <c r="A46" s="533" t="s">
        <v>898</v>
      </c>
      <c r="B46" s="530"/>
      <c r="C46" s="534">
        <v>6894720</v>
      </c>
      <c r="D46" s="527"/>
      <c r="E46" s="527"/>
      <c r="F46" s="527"/>
      <c r="G46" s="527"/>
    </row>
    <row r="47" spans="1:7" customFormat="1" ht="15.75">
      <c r="A47" s="533" t="s">
        <v>899</v>
      </c>
      <c r="B47" s="530"/>
      <c r="C47" s="534">
        <v>385599.02</v>
      </c>
      <c r="D47" s="527"/>
      <c r="E47" s="527"/>
      <c r="F47" s="527"/>
      <c r="G47" s="527"/>
    </row>
    <row r="48" spans="1:7" customFormat="1" ht="15.75">
      <c r="A48" s="535"/>
      <c r="B48" s="530"/>
      <c r="C48" s="536">
        <v>7280319.0199999996</v>
      </c>
      <c r="D48" s="527"/>
      <c r="E48" s="527"/>
      <c r="F48" s="527"/>
      <c r="G48" s="527"/>
    </row>
    <row r="49" spans="1:1" customFormat="1" ht="12.75"/>
    <row r="50" spans="1:1" customFormat="1" ht="12.75"/>
    <row r="51" spans="1:1" ht="15.75">
      <c r="A51" s="339"/>
    </row>
    <row r="52" spans="1:1" ht="15.75">
      <c r="A52" s="339"/>
    </row>
    <row r="53" spans="1:1" ht="15.75">
      <c r="A53" s="341"/>
    </row>
    <row r="54" spans="1:1" ht="15.75">
      <c r="A54" s="339"/>
    </row>
    <row r="55" spans="1:1" ht="15.75">
      <c r="A55" s="339"/>
    </row>
    <row r="56" spans="1:1" ht="15.75">
      <c r="A56" s="339"/>
    </row>
    <row r="57" spans="1:1" ht="15.75">
      <c r="A57" s="339"/>
    </row>
    <row r="58" spans="1:1" ht="15.75">
      <c r="A58" s="341"/>
    </row>
    <row r="59" spans="1:1" ht="15.75">
      <c r="A59" s="339"/>
    </row>
    <row r="60" spans="1:1" ht="15.75">
      <c r="A60" s="339"/>
    </row>
    <row r="61" spans="1:1" ht="15.75">
      <c r="A61" s="339"/>
    </row>
    <row r="62" spans="1:1" ht="15.75">
      <c r="A62" s="339"/>
    </row>
    <row r="63" spans="1:1" ht="15.75">
      <c r="A63" s="339"/>
    </row>
    <row r="64" spans="1:1" ht="15.75">
      <c r="A64" s="339"/>
    </row>
    <row r="65" spans="1:1" ht="15.75">
      <c r="A65" s="339"/>
    </row>
    <row r="66" spans="1:1" ht="15.75">
      <c r="A66" s="339"/>
    </row>
    <row r="67" spans="1:1" ht="15.75">
      <c r="A67" s="339"/>
    </row>
    <row r="68" spans="1:1" ht="15.75">
      <c r="A68" s="339"/>
    </row>
    <row r="69" spans="1:1" ht="15.75">
      <c r="A69" s="339"/>
    </row>
    <row r="70" spans="1:1" ht="15.75">
      <c r="A70" s="339"/>
    </row>
    <row r="71" spans="1:1" ht="15.75">
      <c r="A71" s="339"/>
    </row>
    <row r="72" spans="1:1" ht="15.75">
      <c r="A72" s="339"/>
    </row>
  </sheetData>
  <mergeCells count="2">
    <mergeCell ref="A1:D1"/>
    <mergeCell ref="A2:D2"/>
  </mergeCells>
  <pageMargins left="0.45" right="0.2" top="0.75" bottom="0.5" header="0.3" footer="0.3"/>
  <pageSetup scale="71" orientation="landscape"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5"/>
  <sheetViews>
    <sheetView zoomScale="80" zoomScaleNormal="80" zoomScaleSheetLayoutView="100" workbookViewId="0">
      <selection activeCell="A3" sqref="A3"/>
    </sheetView>
  </sheetViews>
  <sheetFormatPr defaultColWidth="9.140625" defaultRowHeight="15"/>
  <cols>
    <col min="1" max="1" width="70" style="299" customWidth="1"/>
    <col min="2" max="2" width="4.28515625" style="299" customWidth="1"/>
    <col min="3" max="3" width="22.5703125" style="299" customWidth="1"/>
    <col min="4" max="16384" width="9.140625" style="299"/>
  </cols>
  <sheetData>
    <row r="1" spans="1:4" ht="18.75">
      <c r="A1" s="579" t="str">
        <f>'Attachment O, page 1'!A1:G1</f>
        <v>Rochester Public Utilities</v>
      </c>
      <c r="B1" s="579"/>
      <c r="C1" s="579"/>
      <c r="D1" s="579"/>
    </row>
    <row r="2" spans="1:4" ht="18.75">
      <c r="A2" s="579" t="str">
        <f>'Attachment O, page 1'!A2:G2</f>
        <v>For the Year ended 12/31/2013</v>
      </c>
      <c r="B2" s="579"/>
      <c r="C2" s="579"/>
      <c r="D2" s="579"/>
    </row>
    <row r="3" spans="1:4" ht="18.75">
      <c r="A3" s="342"/>
    </row>
    <row r="4" spans="1:4" ht="18.75">
      <c r="A4" s="342"/>
    </row>
    <row r="5" spans="1:4" ht="15.75">
      <c r="A5" s="336" t="s">
        <v>676</v>
      </c>
      <c r="C5" s="306" t="s">
        <v>91</v>
      </c>
    </row>
    <row r="6" spans="1:4" ht="15.75">
      <c r="A6" s="336"/>
      <c r="D6" s="306"/>
    </row>
    <row r="7" spans="1:4" ht="15.75">
      <c r="A7" s="341" t="s">
        <v>677</v>
      </c>
      <c r="B7" s="338"/>
      <c r="C7" s="340"/>
    </row>
    <row r="8" spans="1:4" ht="15.75">
      <c r="A8" s="339" t="s">
        <v>678</v>
      </c>
      <c r="B8" s="338"/>
      <c r="C8" s="303">
        <v>41045.35</v>
      </c>
    </row>
    <row r="9" spans="1:4" ht="15.75">
      <c r="A9" s="339" t="s">
        <v>679</v>
      </c>
      <c r="B9" s="338"/>
      <c r="C9" s="303">
        <v>75459.78</v>
      </c>
    </row>
    <row r="10" spans="1:4" ht="15.75">
      <c r="A10" s="339" t="s">
        <v>680</v>
      </c>
      <c r="B10" s="338"/>
      <c r="C10" s="303">
        <v>1520299.64</v>
      </c>
    </row>
    <row r="11" spans="1:4" ht="15.75">
      <c r="A11" s="339" t="s">
        <v>681</v>
      </c>
      <c r="B11" s="338"/>
      <c r="C11" s="303">
        <v>92176.91</v>
      </c>
    </row>
    <row r="12" spans="1:4" ht="18">
      <c r="A12" s="339" t="s">
        <v>682</v>
      </c>
      <c r="B12" s="338"/>
      <c r="C12" s="331">
        <v>0</v>
      </c>
    </row>
    <row r="13" spans="1:4" ht="15.75">
      <c r="A13" s="343" t="s">
        <v>683</v>
      </c>
      <c r="B13" s="338"/>
      <c r="C13" s="303">
        <f>SUM(C7:C12)</f>
        <v>1728981.68</v>
      </c>
      <c r="D13" s="299" t="s">
        <v>684</v>
      </c>
    </row>
    <row r="14" spans="1:4" ht="15.75">
      <c r="A14" s="339"/>
      <c r="B14" s="338"/>
      <c r="C14" s="303"/>
    </row>
    <row r="15" spans="1:4" ht="15.75">
      <c r="A15" s="341" t="s">
        <v>685</v>
      </c>
      <c r="B15" s="338"/>
      <c r="C15" s="303"/>
    </row>
    <row r="16" spans="1:4" ht="15.75">
      <c r="A16" s="339" t="s">
        <v>686</v>
      </c>
      <c r="B16" s="338"/>
      <c r="C16" s="382">
        <v>0</v>
      </c>
    </row>
    <row r="17" spans="1:19" ht="15.75">
      <c r="A17" s="339" t="s">
        <v>687</v>
      </c>
      <c r="B17" s="338"/>
      <c r="C17" s="303">
        <v>1064235.8600000001</v>
      </c>
    </row>
    <row r="18" spans="1:19" ht="15.75">
      <c r="A18" s="339" t="s">
        <v>688</v>
      </c>
      <c r="B18" s="338"/>
      <c r="C18" s="303">
        <v>-23228.06</v>
      </c>
      <c r="G18" s="396"/>
      <c r="M18" s="396"/>
      <c r="S18" s="399"/>
    </row>
    <row r="19" spans="1:19" ht="18">
      <c r="A19" s="339" t="s">
        <v>689</v>
      </c>
      <c r="B19" s="338"/>
      <c r="C19" s="331">
        <v>9432.8700000000008</v>
      </c>
    </row>
    <row r="20" spans="1:19" ht="15.75">
      <c r="A20" s="343" t="s">
        <v>690</v>
      </c>
      <c r="B20" s="338"/>
      <c r="C20" s="303">
        <f>SUM(C16:C19)</f>
        <v>1050440.6700000002</v>
      </c>
      <c r="D20" s="299" t="s">
        <v>691</v>
      </c>
    </row>
    <row r="21" spans="1:19" ht="18" customHeight="1">
      <c r="A21" s="339"/>
      <c r="B21" s="338"/>
      <c r="C21" s="303"/>
    </row>
    <row r="22" spans="1:19" ht="15.75">
      <c r="A22" s="341" t="s">
        <v>692</v>
      </c>
      <c r="B22" s="338"/>
      <c r="C22" s="303"/>
    </row>
    <row r="23" spans="1:19" ht="15.75">
      <c r="A23" s="339" t="s">
        <v>693</v>
      </c>
      <c r="B23" s="338"/>
      <c r="C23" s="382">
        <v>0</v>
      </c>
    </row>
    <row r="24" spans="1:19" ht="15.75">
      <c r="A24" s="339" t="s">
        <v>694</v>
      </c>
      <c r="B24" s="338"/>
      <c r="C24" s="303">
        <v>372949.57</v>
      </c>
    </row>
    <row r="25" spans="1:19" ht="15.75">
      <c r="A25" s="339" t="s">
        <v>695</v>
      </c>
      <c r="B25" s="338"/>
      <c r="C25" s="303">
        <v>244556.22</v>
      </c>
    </row>
    <row r="26" spans="1:19" ht="18">
      <c r="A26" s="339" t="s">
        <v>696</v>
      </c>
      <c r="B26" s="338"/>
      <c r="C26" s="331">
        <v>40701.019999999997</v>
      </c>
    </row>
    <row r="27" spans="1:19" ht="15.75">
      <c r="A27" s="341" t="s">
        <v>692</v>
      </c>
      <c r="B27" s="338"/>
      <c r="C27" s="335">
        <f>SUM(C23:C26)</f>
        <v>658206.81000000006</v>
      </c>
      <c r="D27" s="299" t="s">
        <v>697</v>
      </c>
    </row>
    <row r="28" spans="1:19" ht="15.75">
      <c r="A28" s="339"/>
      <c r="B28" s="338"/>
      <c r="C28" s="303"/>
    </row>
    <row r="29" spans="1:19" ht="15.75">
      <c r="A29" s="341" t="s">
        <v>698</v>
      </c>
      <c r="B29" s="338"/>
      <c r="C29" s="303"/>
    </row>
    <row r="30" spans="1:19" ht="15.75">
      <c r="A30" s="339" t="s">
        <v>699</v>
      </c>
      <c r="B30" s="338"/>
      <c r="C30" s="382">
        <v>2368433.9300000002</v>
      </c>
    </row>
    <row r="31" spans="1:19" ht="15.75">
      <c r="A31" s="339" t="s">
        <v>700</v>
      </c>
      <c r="B31" s="338"/>
      <c r="C31" s="303">
        <v>1450165.35</v>
      </c>
    </row>
    <row r="32" spans="1:19" ht="15.75">
      <c r="A32" s="339" t="s">
        <v>701</v>
      </c>
      <c r="B32" s="338"/>
      <c r="C32" s="303">
        <v>0</v>
      </c>
    </row>
    <row r="33" spans="1:31" ht="15.75">
      <c r="A33" s="339" t="s">
        <v>702</v>
      </c>
      <c r="B33" s="338"/>
      <c r="C33" s="303">
        <v>943668.87</v>
      </c>
    </row>
    <row r="34" spans="1:31" ht="15.75">
      <c r="A34" s="339" t="s">
        <v>703</v>
      </c>
      <c r="B34" s="338"/>
      <c r="C34" s="303">
        <v>451567.11</v>
      </c>
    </row>
    <row r="35" spans="1:31" ht="15.75">
      <c r="A35" s="339" t="s">
        <v>704</v>
      </c>
      <c r="B35" s="338"/>
      <c r="C35" s="303">
        <v>853945.71</v>
      </c>
    </row>
    <row r="36" spans="1:31" ht="15.75">
      <c r="A36" s="339" t="s">
        <v>705</v>
      </c>
      <c r="B36" s="338"/>
      <c r="C36" s="303">
        <v>3638388.94</v>
      </c>
    </row>
    <row r="37" spans="1:31" ht="15.75">
      <c r="A37" s="339" t="s">
        <v>706</v>
      </c>
      <c r="B37" s="338"/>
      <c r="C37" s="303">
        <v>0</v>
      </c>
    </row>
    <row r="38" spans="1:31" ht="15.75">
      <c r="A38" s="339" t="s">
        <v>707</v>
      </c>
      <c r="B38" s="338"/>
      <c r="C38" s="303">
        <v>0</v>
      </c>
    </row>
    <row r="39" spans="1:31" ht="15.75">
      <c r="A39" s="339" t="s">
        <v>708</v>
      </c>
      <c r="B39" s="338"/>
      <c r="C39" s="303">
        <v>0</v>
      </c>
    </row>
    <row r="40" spans="1:31" ht="15.75">
      <c r="A40" s="339" t="s">
        <v>709</v>
      </c>
      <c r="B40" s="338"/>
      <c r="C40" s="335">
        <v>110979.91</v>
      </c>
    </row>
    <row r="41" spans="1:31" ht="15.75">
      <c r="A41" s="339" t="s">
        <v>710</v>
      </c>
      <c r="C41" s="335">
        <f>308554.57</f>
        <v>308554.57</v>
      </c>
      <c r="M41" s="396"/>
      <c r="AE41" s="399"/>
    </row>
    <row r="42" spans="1:31" ht="15.75">
      <c r="A42" s="339" t="s">
        <v>711</v>
      </c>
      <c r="C42" s="334">
        <v>44000</v>
      </c>
      <c r="E42" s="394"/>
    </row>
    <row r="43" spans="1:31" ht="15.75">
      <c r="A43" s="339" t="s">
        <v>779</v>
      </c>
      <c r="C43" s="411">
        <f>SUM(C30:C42)</f>
        <v>10169704.390000001</v>
      </c>
      <c r="D43" s="299" t="s">
        <v>783</v>
      </c>
    </row>
    <row r="44" spans="1:31" ht="15.75">
      <c r="A44" s="339" t="s">
        <v>712</v>
      </c>
      <c r="C44" s="383">
        <v>735188.86</v>
      </c>
    </row>
    <row r="45" spans="1:31" ht="15.75">
      <c r="A45" s="339" t="s">
        <v>780</v>
      </c>
      <c r="C45" s="411">
        <f>SUM(C44:C44)</f>
        <v>735188.86</v>
      </c>
      <c r="D45" s="299" t="s">
        <v>782</v>
      </c>
    </row>
    <row r="46" spans="1:31" ht="15.75">
      <c r="A46" s="341" t="s">
        <v>698</v>
      </c>
      <c r="C46" s="437">
        <f>C43+C45</f>
        <v>10904893.25</v>
      </c>
      <c r="D46" s="299" t="s">
        <v>781</v>
      </c>
      <c r="M46" s="396"/>
      <c r="W46" s="399"/>
    </row>
    <row r="47" spans="1:31">
      <c r="C47" s="347"/>
    </row>
    <row r="48" spans="1:31">
      <c r="C48" s="347"/>
    </row>
    <row r="49" spans="1:7">
      <c r="C49" s="347"/>
    </row>
    <row r="50" spans="1:7">
      <c r="C50" s="347"/>
    </row>
    <row r="51" spans="1:7">
      <c r="C51" s="347"/>
    </row>
    <row r="53" spans="1:7" s="527" customFormat="1">
      <c r="A53" s="529" t="s">
        <v>890</v>
      </c>
    </row>
    <row r="54" spans="1:7" s="527" customFormat="1">
      <c r="A54" s="537" t="s">
        <v>900</v>
      </c>
      <c r="C54" s="530" t="s">
        <v>901</v>
      </c>
    </row>
    <row r="55" spans="1:7" s="527" customFormat="1">
      <c r="A55" s="537"/>
      <c r="G55" s="530"/>
    </row>
    <row r="56" spans="1:7" s="527" customFormat="1" ht="15.75">
      <c r="A56" s="538"/>
    </row>
    <row r="57" spans="1:7" s="527" customFormat="1">
      <c r="A57" s="537" t="s">
        <v>902</v>
      </c>
      <c r="B57" s="537"/>
      <c r="C57" s="537"/>
      <c r="D57" s="537"/>
      <c r="E57" s="537"/>
      <c r="F57" s="530" t="s">
        <v>903</v>
      </c>
    </row>
    <row r="58" spans="1:7" customFormat="1" ht="12.75"/>
    <row r="59" spans="1:7" customFormat="1" ht="12.75"/>
    <row r="60" spans="1:7" ht="15.75">
      <c r="A60" s="339"/>
    </row>
    <row r="61" spans="1:7" ht="15.75">
      <c r="A61" s="341"/>
    </row>
    <row r="62" spans="1:7" ht="15.75">
      <c r="A62" s="339"/>
    </row>
    <row r="63" spans="1:7" ht="15.75">
      <c r="A63" s="339"/>
    </row>
    <row r="64" spans="1:7" ht="15.75">
      <c r="A64" s="339"/>
    </row>
    <row r="65" spans="1:1" ht="15.75">
      <c r="A65" s="339"/>
    </row>
    <row r="66" spans="1:1" ht="15.75">
      <c r="A66" s="341"/>
    </row>
    <row r="67" spans="1:1" ht="15.75">
      <c r="A67" s="339"/>
    </row>
    <row r="68" spans="1:1" ht="15.75">
      <c r="A68" s="339"/>
    </row>
    <row r="69" spans="1:1" ht="15.75">
      <c r="A69" s="339"/>
    </row>
    <row r="70" spans="1:1" ht="15.75">
      <c r="A70" s="339"/>
    </row>
    <row r="71" spans="1:1" ht="15.75">
      <c r="A71" s="341"/>
    </row>
    <row r="72" spans="1:1" ht="15.75">
      <c r="A72" s="339"/>
    </row>
    <row r="73" spans="1:1" ht="15.75">
      <c r="A73" s="339"/>
    </row>
    <row r="74" spans="1:1" ht="15.75">
      <c r="A74" s="339"/>
    </row>
    <row r="75" spans="1:1" ht="15.75">
      <c r="A75" s="339"/>
    </row>
    <row r="76" spans="1:1" ht="15.75">
      <c r="A76" s="339"/>
    </row>
    <row r="77" spans="1:1" ht="15.75">
      <c r="A77" s="339"/>
    </row>
    <row r="78" spans="1:1" ht="15.75">
      <c r="A78" s="339"/>
    </row>
    <row r="79" spans="1:1" ht="15.75">
      <c r="A79" s="339"/>
    </row>
    <row r="80" spans="1:1" ht="15.75">
      <c r="A80" s="339"/>
    </row>
    <row r="81" spans="1:1" ht="15.75">
      <c r="A81" s="339"/>
    </row>
    <row r="82" spans="1:1" ht="15.75">
      <c r="A82" s="339"/>
    </row>
    <row r="83" spans="1:1" ht="15.75">
      <c r="A83" s="339"/>
    </row>
    <row r="84" spans="1:1" ht="15.75">
      <c r="A84" s="339"/>
    </row>
    <row r="85" spans="1:1" ht="15.75">
      <c r="A85" s="339"/>
    </row>
  </sheetData>
  <mergeCells count="2">
    <mergeCell ref="A1:D1"/>
    <mergeCell ref="A2:D2"/>
  </mergeCells>
  <pageMargins left="0.45" right="0.2" top="0.5" bottom="0.5" header="0.05" footer="0.05"/>
  <pageSetup scale="57" orientation="portrait"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activeCell="C10" sqref="C10"/>
    </sheetView>
  </sheetViews>
  <sheetFormatPr defaultColWidth="9.140625" defaultRowHeight="15"/>
  <cols>
    <col min="1" max="1" width="72.140625" style="299" bestFit="1" customWidth="1"/>
    <col min="2" max="2" width="10.42578125" style="299" customWidth="1"/>
    <col min="3" max="3" width="10.85546875" style="299" customWidth="1"/>
    <col min="4" max="16384" width="9.140625" style="299"/>
  </cols>
  <sheetData>
    <row r="1" spans="1:7">
      <c r="A1" s="578" t="str">
        <f>'Attachment O, page 1'!A1:G1</f>
        <v>Rochester Public Utilities</v>
      </c>
      <c r="B1" s="578"/>
      <c r="C1" s="578"/>
      <c r="D1" s="578"/>
      <c r="E1" s="578"/>
      <c r="F1" s="578"/>
      <c r="G1" s="578"/>
    </row>
    <row r="2" spans="1:7">
      <c r="A2" s="578" t="str">
        <f>'Attachment O, page 1'!A2:G2</f>
        <v>For the Year ended 12/31/2013</v>
      </c>
      <c r="B2" s="578"/>
      <c r="C2" s="578"/>
      <c r="D2" s="578"/>
      <c r="E2" s="578"/>
      <c r="F2" s="578"/>
      <c r="G2" s="578"/>
    </row>
    <row r="4" spans="1:7" ht="20.25">
      <c r="A4" s="344" t="s">
        <v>713</v>
      </c>
      <c r="B4" s="302"/>
      <c r="C4" s="302"/>
      <c r="D4" s="302"/>
    </row>
    <row r="6" spans="1:7">
      <c r="A6" s="345"/>
      <c r="B6" s="345" t="s">
        <v>714</v>
      </c>
      <c r="D6" s="345"/>
    </row>
    <row r="7" spans="1:7">
      <c r="A7" s="306" t="s">
        <v>715</v>
      </c>
      <c r="B7" s="306" t="s">
        <v>716</v>
      </c>
      <c r="C7" s="306" t="s">
        <v>91</v>
      </c>
    </row>
    <row r="9" spans="1:7">
      <c r="A9" s="305" t="s">
        <v>717</v>
      </c>
      <c r="B9" s="330">
        <v>0</v>
      </c>
      <c r="C9" s="330">
        <v>0</v>
      </c>
    </row>
    <row r="10" spans="1:7">
      <c r="A10" s="402" t="s">
        <v>718</v>
      </c>
      <c r="B10" s="401">
        <v>565</v>
      </c>
      <c r="C10" s="401">
        <f>393.23+1874.22+2156.18+1184.14</f>
        <v>5607.7699999999995</v>
      </c>
      <c r="D10" s="389"/>
      <c r="E10" s="389"/>
      <c r="F10" s="389"/>
      <c r="G10" s="389"/>
    </row>
    <row r="11" spans="1:7" ht="17.25">
      <c r="A11" s="305" t="s">
        <v>719</v>
      </c>
      <c r="B11" s="331">
        <v>0</v>
      </c>
      <c r="C11" s="331">
        <v>0</v>
      </c>
    </row>
    <row r="13" spans="1:7">
      <c r="A13" s="305" t="s">
        <v>141</v>
      </c>
      <c r="B13" s="332">
        <f>SUM(B9:B12)</f>
        <v>565</v>
      </c>
      <c r="C13" s="332">
        <f>SUM(C9:C12)</f>
        <v>5607.7699999999995</v>
      </c>
    </row>
    <row r="15" spans="1:7">
      <c r="A15" s="394"/>
      <c r="C15" s="389"/>
    </row>
    <row r="16" spans="1:7">
      <c r="A16" s="305"/>
      <c r="C16" s="389"/>
    </row>
    <row r="17" spans="1:1">
      <c r="A17" s="305"/>
    </row>
  </sheetData>
  <mergeCells count="2">
    <mergeCell ref="A1:G1"/>
    <mergeCell ref="A2:G2"/>
  </mergeCells>
  <pageMargins left="0.7" right="0.7" top="0.75" bottom="0.75" header="0.3" footer="0.3"/>
  <pageSetup scale="96"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zoomScaleNormal="100" zoomScaleSheetLayoutView="100" workbookViewId="0">
      <selection activeCell="I31" sqref="I31"/>
    </sheetView>
  </sheetViews>
  <sheetFormatPr defaultColWidth="9.140625" defaultRowHeight="15"/>
  <cols>
    <col min="1" max="1" width="41.5703125" style="299" bestFit="1" customWidth="1"/>
    <col min="2" max="4" width="9.140625" style="299"/>
    <col min="5" max="5" width="12.5703125" style="299" bestFit="1" customWidth="1"/>
    <col min="6" max="6" width="2.7109375" style="299" customWidth="1"/>
    <col min="7" max="16384" width="9.140625" style="299"/>
  </cols>
  <sheetData>
    <row r="1" spans="1:13">
      <c r="A1" s="578" t="str">
        <f>'Attachment O, page 1'!A1:G1</f>
        <v>Rochester Public Utilities</v>
      </c>
      <c r="B1" s="578"/>
      <c r="C1" s="578"/>
      <c r="D1" s="578"/>
      <c r="E1" s="578"/>
      <c r="F1" s="578"/>
      <c r="G1" s="578"/>
      <c r="H1" s="578"/>
    </row>
    <row r="2" spans="1:13">
      <c r="A2" s="578" t="str">
        <f>'Attachment O, page 1'!A2:G2</f>
        <v>For the Year ended 12/31/2013</v>
      </c>
      <c r="B2" s="578"/>
      <c r="C2" s="578"/>
      <c r="D2" s="578"/>
      <c r="E2" s="578"/>
      <c r="F2" s="578"/>
      <c r="G2" s="578"/>
      <c r="H2" s="578"/>
    </row>
    <row r="4" spans="1:13" ht="21">
      <c r="A4" s="348" t="s">
        <v>725</v>
      </c>
      <c r="B4" s="348"/>
      <c r="C4" s="348"/>
      <c r="D4" s="348"/>
    </row>
    <row r="6" spans="1:13">
      <c r="A6" s="299" t="s">
        <v>726</v>
      </c>
      <c r="E6" s="438">
        <f>1030073.41+17.44-133441.17</f>
        <v>896649.67999999993</v>
      </c>
      <c r="G6" s="299" t="s">
        <v>727</v>
      </c>
    </row>
    <row r="7" spans="1:13">
      <c r="A7" s="299" t="s">
        <v>728</v>
      </c>
      <c r="E7" s="434">
        <v>0</v>
      </c>
      <c r="G7" s="299" t="s">
        <v>729</v>
      </c>
    </row>
    <row r="8" spans="1:13">
      <c r="A8" s="299" t="s">
        <v>730</v>
      </c>
      <c r="E8" s="434">
        <v>2032</v>
      </c>
      <c r="G8" s="299" t="s">
        <v>731</v>
      </c>
      <c r="M8" s="396"/>
    </row>
    <row r="9" spans="1:13">
      <c r="A9" s="299" t="s">
        <v>732</v>
      </c>
      <c r="E9" s="434">
        <v>0</v>
      </c>
      <c r="G9" s="299" t="s">
        <v>733</v>
      </c>
      <c r="M9" s="399"/>
    </row>
    <row r="10" spans="1:13">
      <c r="A10" s="299" t="s">
        <v>734</v>
      </c>
      <c r="E10" s="334">
        <v>0</v>
      </c>
      <c r="G10" s="299" t="s">
        <v>735</v>
      </c>
    </row>
    <row r="11" spans="1:13">
      <c r="A11" s="299" t="s">
        <v>784</v>
      </c>
      <c r="E11" s="334">
        <v>8307133.0499999998</v>
      </c>
      <c r="G11" s="299" t="s">
        <v>785</v>
      </c>
    </row>
    <row r="12" spans="1:13">
      <c r="A12" s="299" t="s">
        <v>736</v>
      </c>
      <c r="E12" s="346">
        <v>0</v>
      </c>
      <c r="G12" s="299" t="s">
        <v>737</v>
      </c>
    </row>
    <row r="13" spans="1:13">
      <c r="A13" s="299" t="s">
        <v>141</v>
      </c>
      <c r="E13" s="330">
        <f>SUM(E6:E12)</f>
        <v>9205814.7300000004</v>
      </c>
    </row>
  </sheetData>
  <mergeCells count="2">
    <mergeCell ref="A1:H1"/>
    <mergeCell ref="A2:H2"/>
  </mergeCells>
  <pageMargins left="0.45" right="0.2" top="0.75" bottom="0.75" header="0.3" footer="0.3"/>
  <pageSetup scale="90" orientation="landscape"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zoomScaleSheetLayoutView="100" workbookViewId="0">
      <selection activeCell="A5" sqref="A5"/>
    </sheetView>
  </sheetViews>
  <sheetFormatPr defaultColWidth="9.140625" defaultRowHeight="15"/>
  <cols>
    <col min="1" max="1" width="88.28515625" style="299" customWidth="1"/>
    <col min="2" max="2" width="12.5703125" style="299" bestFit="1" customWidth="1"/>
    <col min="3" max="3" width="11.5703125" style="299" bestFit="1" customWidth="1"/>
    <col min="4" max="4" width="2.85546875" style="299" customWidth="1"/>
    <col min="5" max="5" width="10.5703125" style="299" bestFit="1" customWidth="1"/>
    <col min="6" max="12" width="9.140625" style="299"/>
    <col min="13" max="13" width="20.140625" style="299" bestFit="1" customWidth="1"/>
    <col min="14" max="16384" width="9.140625" style="299"/>
  </cols>
  <sheetData>
    <row r="1" spans="1:9">
      <c r="A1" s="578" t="str">
        <f>'Attachment O, page 1'!A1:G1</f>
        <v>Rochester Public Utilities</v>
      </c>
      <c r="B1" s="578"/>
      <c r="C1" s="578"/>
      <c r="D1" s="578"/>
      <c r="E1" s="578"/>
      <c r="F1" s="578"/>
      <c r="G1" s="578"/>
      <c r="H1" s="578"/>
    </row>
    <row r="2" spans="1:9">
      <c r="A2" s="578" t="str">
        <f>'Attachment O, page 1'!A2:G2</f>
        <v>For the Year ended 12/31/2013</v>
      </c>
      <c r="B2" s="578"/>
      <c r="C2" s="578"/>
      <c r="D2" s="578"/>
      <c r="E2" s="578"/>
      <c r="F2" s="578"/>
      <c r="G2" s="578"/>
      <c r="H2" s="578"/>
      <c r="I2" s="578"/>
    </row>
    <row r="4" spans="1:9" ht="20.25">
      <c r="A4" s="344" t="s">
        <v>720</v>
      </c>
      <c r="B4" s="302"/>
      <c r="C4" s="302"/>
      <c r="D4" s="302"/>
      <c r="E4" s="302"/>
    </row>
    <row r="7" spans="1:9">
      <c r="A7" s="299" t="s">
        <v>721</v>
      </c>
      <c r="B7" s="330">
        <v>0</v>
      </c>
      <c r="C7" s="400" t="s">
        <v>803</v>
      </c>
    </row>
    <row r="12" spans="1:9">
      <c r="A12" s="299" t="s">
        <v>722</v>
      </c>
    </row>
    <row r="13" spans="1:9">
      <c r="A13" s="305" t="s">
        <v>723</v>
      </c>
      <c r="B13" s="330">
        <v>0</v>
      </c>
      <c r="C13" s="400" t="s">
        <v>804</v>
      </c>
    </row>
    <row r="14" spans="1:9">
      <c r="A14" s="305" t="s">
        <v>724</v>
      </c>
      <c r="B14" s="346">
        <v>0</v>
      </c>
      <c r="C14" s="400" t="s">
        <v>805</v>
      </c>
    </row>
    <row r="15" spans="1:9">
      <c r="B15" s="347">
        <f>SUM(B13:B14)</f>
        <v>0</v>
      </c>
    </row>
    <row r="18" spans="1:14">
      <c r="A18" s="299" t="s">
        <v>799</v>
      </c>
    </row>
    <row r="19" spans="1:14">
      <c r="A19" s="305" t="s">
        <v>798</v>
      </c>
      <c r="B19" s="330">
        <v>110980</v>
      </c>
      <c r="C19" s="400" t="s">
        <v>806</v>
      </c>
      <c r="M19" s="396"/>
      <c r="N19" s="399"/>
    </row>
    <row r="20" spans="1:14">
      <c r="A20" s="405" t="s">
        <v>807</v>
      </c>
      <c r="B20" s="346"/>
      <c r="C20" s="400"/>
    </row>
    <row r="21" spans="1:14" ht="18" customHeight="1">
      <c r="B21" s="303">
        <f>SUM(B19:B20)</f>
        <v>110980</v>
      </c>
    </row>
    <row r="24" spans="1:14" customFormat="1" ht="12.75"/>
    <row r="25" spans="1:14" customFormat="1" ht="12.75"/>
    <row r="26" spans="1:14" customFormat="1" ht="12.75"/>
    <row r="27" spans="1:14" customFormat="1" ht="12.75"/>
    <row r="28" spans="1:14" customFormat="1" ht="12.75"/>
  </sheetData>
  <mergeCells count="2">
    <mergeCell ref="A1:H1"/>
    <mergeCell ref="A2:I2"/>
  </mergeCells>
  <pageMargins left="0.7" right="0.7" top="0.75" bottom="0.75" header="0.3" footer="0.3"/>
  <pageSetup scale="72"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opLeftCell="A25" zoomScaleNormal="100" zoomScaleSheetLayoutView="100" workbookViewId="0">
      <selection activeCell="D33" sqref="D33"/>
    </sheetView>
  </sheetViews>
  <sheetFormatPr defaultColWidth="9.140625" defaultRowHeight="15"/>
  <cols>
    <col min="1" max="1" width="91.140625" style="299" bestFit="1" customWidth="1"/>
    <col min="2" max="2" width="16.85546875" style="299" customWidth="1"/>
    <col min="3" max="3" width="10.5703125" style="299" bestFit="1" customWidth="1"/>
    <col min="4" max="4" width="11.7109375" style="299" customWidth="1"/>
    <col min="5" max="16384" width="9.140625" style="299"/>
  </cols>
  <sheetData>
    <row r="1" spans="1:10">
      <c r="A1" s="578" t="str">
        <f>'Attachment O, page 1'!A1:G1</f>
        <v>Rochester Public Utilities</v>
      </c>
      <c r="B1" s="578"/>
      <c r="C1" s="578"/>
      <c r="D1" s="578"/>
      <c r="E1" s="578"/>
      <c r="F1" s="578"/>
      <c r="G1" s="578"/>
    </row>
    <row r="2" spans="1:10">
      <c r="A2" s="578" t="str">
        <f>'Attachment O, page 1'!A2:G2</f>
        <v>For the Year ended 12/31/2013</v>
      </c>
      <c r="B2" s="578"/>
      <c r="C2" s="578"/>
      <c r="D2" s="578"/>
      <c r="E2" s="578"/>
      <c r="F2" s="578"/>
      <c r="G2" s="578"/>
    </row>
    <row r="4" spans="1:10" ht="21">
      <c r="A4" s="348" t="s">
        <v>738</v>
      </c>
    </row>
    <row r="7" spans="1:10" ht="15.75">
      <c r="A7" s="299" t="s">
        <v>634</v>
      </c>
      <c r="B7" s="439">
        <f>C28</f>
        <v>1936076.8800000001</v>
      </c>
      <c r="D7" s="299" t="s">
        <v>739</v>
      </c>
      <c r="J7" s="385"/>
    </row>
    <row r="8" spans="1:10">
      <c r="A8" s="299" t="s">
        <v>740</v>
      </c>
      <c r="B8" s="334">
        <f>C30</f>
        <v>477315.89999999997</v>
      </c>
      <c r="D8" s="299" t="s">
        <v>741</v>
      </c>
    </row>
    <row r="9" spans="1:10">
      <c r="A9" s="299" t="s">
        <v>742</v>
      </c>
      <c r="B9" s="334">
        <f>C32</f>
        <v>3621541.96</v>
      </c>
      <c r="D9" s="299" t="s">
        <v>743</v>
      </c>
    </row>
    <row r="10" spans="1:10" ht="17.25">
      <c r="A10" s="299" t="s">
        <v>744</v>
      </c>
      <c r="B10" s="440">
        <f>C37</f>
        <v>1210938.9099999999</v>
      </c>
      <c r="D10" s="299" t="s">
        <v>745</v>
      </c>
    </row>
    <row r="11" spans="1:10">
      <c r="B11" s="330">
        <f>SUM(B7:B10)</f>
        <v>7245873.6500000004</v>
      </c>
    </row>
    <row r="13" spans="1:10">
      <c r="D13" s="305"/>
    </row>
    <row r="14" spans="1:10">
      <c r="D14" s="305"/>
    </row>
    <row r="16" spans="1:10" s="527" customFormat="1">
      <c r="A16" s="537" t="s">
        <v>904</v>
      </c>
      <c r="B16" s="537"/>
      <c r="C16" s="539"/>
      <c r="D16" s="537"/>
      <c r="E16" s="537"/>
      <c r="F16" s="537"/>
      <c r="G16" s="537"/>
    </row>
    <row r="17" spans="1:7" s="527" customFormat="1">
      <c r="A17" s="537" t="s">
        <v>905</v>
      </c>
      <c r="B17" s="537"/>
      <c r="C17" s="537"/>
      <c r="D17" s="537"/>
      <c r="E17" s="537"/>
      <c r="F17" s="537"/>
      <c r="G17" s="537"/>
    </row>
    <row r="18" spans="1:7" s="527" customFormat="1">
      <c r="A18" s="540"/>
      <c r="B18" s="537"/>
      <c r="C18" s="537"/>
      <c r="D18" s="537"/>
      <c r="E18" s="537"/>
      <c r="F18" s="537"/>
      <c r="G18" s="537"/>
    </row>
    <row r="19" spans="1:7" s="527" customFormat="1">
      <c r="A19" s="527" t="s">
        <v>906</v>
      </c>
    </row>
    <row r="20" spans="1:7" s="527" customFormat="1">
      <c r="A20" s="541" t="s">
        <v>907</v>
      </c>
    </row>
    <row r="21" spans="1:7" s="527" customFormat="1"/>
    <row r="22" spans="1:7" s="527" customFormat="1">
      <c r="A22" s="530"/>
      <c r="B22" s="542" t="s">
        <v>908</v>
      </c>
      <c r="C22" s="542" t="s">
        <v>909</v>
      </c>
      <c r="D22" s="542" t="s">
        <v>910</v>
      </c>
    </row>
    <row r="23" spans="1:7" s="527" customFormat="1">
      <c r="A23" s="530"/>
      <c r="B23" s="530"/>
      <c r="C23" s="530"/>
      <c r="D23" s="530"/>
    </row>
    <row r="24" spans="1:7" s="527" customFormat="1">
      <c r="A24" s="530" t="s">
        <v>142</v>
      </c>
      <c r="B24" s="543">
        <v>3409429.22</v>
      </c>
      <c r="C24" s="543">
        <v>1662998.32</v>
      </c>
      <c r="D24" s="543">
        <f>'Op &amp; Maint'!F10</f>
        <v>5072427</v>
      </c>
      <c r="E24" s="544"/>
    </row>
    <row r="25" spans="1:7" s="527" customFormat="1">
      <c r="A25" s="530" t="s">
        <v>145</v>
      </c>
      <c r="B25" s="543">
        <v>30850.65</v>
      </c>
      <c r="C25" s="543">
        <v>41392.82</v>
      </c>
      <c r="D25" s="543">
        <f>'Op &amp; Maint'!F13</f>
        <v>72244</v>
      </c>
      <c r="E25" s="544"/>
    </row>
    <row r="26" spans="1:7" s="527" customFormat="1">
      <c r="A26" s="530" t="s">
        <v>147</v>
      </c>
      <c r="B26" s="543">
        <v>608174.15</v>
      </c>
      <c r="C26" s="543">
        <v>231685.74</v>
      </c>
      <c r="D26" s="543">
        <f>'Op &amp; Maint'!F15</f>
        <v>839860</v>
      </c>
      <c r="E26" s="544"/>
    </row>
    <row r="27" spans="1:7" s="527" customFormat="1">
      <c r="A27" s="530" t="s">
        <v>911</v>
      </c>
      <c r="B27" s="543">
        <v>80740058</v>
      </c>
      <c r="C27" s="543">
        <v>0</v>
      </c>
      <c r="D27" s="543">
        <f>'Op &amp; Maint'!F16</f>
        <v>80740058</v>
      </c>
      <c r="E27" s="544"/>
    </row>
    <row r="28" spans="1:7" s="527" customFormat="1">
      <c r="A28" s="530" t="s">
        <v>152</v>
      </c>
      <c r="B28" s="545">
        <f t="shared" ref="B28:C28" si="0">SUM(B24:B27)</f>
        <v>84788512.019999996</v>
      </c>
      <c r="C28" s="545">
        <f t="shared" si="0"/>
        <v>1936076.8800000001</v>
      </c>
      <c r="D28" s="545">
        <f>SUM(D24:D27)</f>
        <v>86724589</v>
      </c>
      <c r="E28" s="544"/>
    </row>
    <row r="29" spans="1:7" s="527" customFormat="1">
      <c r="A29" s="530"/>
      <c r="B29" s="530"/>
      <c r="C29" s="530"/>
      <c r="D29" s="530"/>
      <c r="E29" s="544"/>
    </row>
    <row r="30" spans="1:7" s="527" customFormat="1">
      <c r="A30" s="530" t="s">
        <v>153</v>
      </c>
      <c r="B30" s="543">
        <v>7659467.2899999991</v>
      </c>
      <c r="C30" s="543">
        <v>477315.89999999997</v>
      </c>
      <c r="D30" s="543">
        <f>'Op &amp; Maint'!F21</f>
        <v>8136783.1899999995</v>
      </c>
      <c r="E30" s="544"/>
    </row>
    <row r="31" spans="1:7" s="527" customFormat="1">
      <c r="A31" s="530"/>
      <c r="B31" s="530"/>
      <c r="C31" s="530"/>
      <c r="D31" s="530"/>
      <c r="E31" s="544"/>
    </row>
    <row r="32" spans="1:7" s="527" customFormat="1">
      <c r="A32" s="530" t="s">
        <v>155</v>
      </c>
      <c r="B32" s="543">
        <v>1469372.9500000002</v>
      </c>
      <c r="C32" s="543">
        <v>3621541.96</v>
      </c>
      <c r="D32" s="543">
        <f>'Op &amp; Maint'!F23</f>
        <v>5090915</v>
      </c>
      <c r="E32" s="544"/>
    </row>
    <row r="33" spans="1:5" s="527" customFormat="1">
      <c r="A33" s="530"/>
      <c r="B33" s="530"/>
      <c r="C33" s="530"/>
      <c r="D33" s="530"/>
      <c r="E33" s="544"/>
    </row>
    <row r="34" spans="1:5" s="527" customFormat="1">
      <c r="A34" s="530" t="s">
        <v>157</v>
      </c>
      <c r="B34" s="543">
        <v>945085.58</v>
      </c>
      <c r="C34" s="543">
        <v>783896.1</v>
      </c>
      <c r="D34" s="543">
        <f>'Op &amp; Maint'!F25</f>
        <v>1728982</v>
      </c>
      <c r="E34" s="544"/>
    </row>
    <row r="35" spans="1:5" s="527" customFormat="1">
      <c r="A35" s="530" t="s">
        <v>912</v>
      </c>
      <c r="B35" s="543">
        <v>742105.61</v>
      </c>
      <c r="C35" s="543">
        <v>308335.06</v>
      </c>
      <c r="D35" s="543">
        <f>'Op &amp; Maint'!F27</f>
        <v>1050441</v>
      </c>
      <c r="E35" s="544"/>
    </row>
    <row r="36" spans="1:5" s="527" customFormat="1">
      <c r="A36" s="530" t="s">
        <v>692</v>
      </c>
      <c r="B36" s="543">
        <v>539499.06000000006</v>
      </c>
      <c r="C36" s="543">
        <v>118707.75</v>
      </c>
      <c r="D36" s="543">
        <f>'Op &amp; Maint'!F28</f>
        <v>658207</v>
      </c>
      <c r="E36" s="544"/>
    </row>
    <row r="37" spans="1:5" s="527" customFormat="1">
      <c r="A37" s="530" t="s">
        <v>913</v>
      </c>
      <c r="B37" s="545">
        <f t="shared" ref="B37:C37" si="1">SUM(B34:B36)</f>
        <v>2226690.25</v>
      </c>
      <c r="C37" s="545">
        <f t="shared" si="1"/>
        <v>1210938.9099999999</v>
      </c>
      <c r="D37" s="545">
        <f>SUM(D34:D36)</f>
        <v>3437630</v>
      </c>
      <c r="E37" s="544"/>
    </row>
    <row r="38" spans="1:5" s="527" customFormat="1">
      <c r="E38" s="544"/>
    </row>
    <row r="39" spans="1:5" s="527" customFormat="1"/>
  </sheetData>
  <mergeCells count="2">
    <mergeCell ref="A1:G1"/>
    <mergeCell ref="A2:G2"/>
  </mergeCells>
  <pageMargins left="0.7" right="0.7" top="0.75" bottom="0.75" header="0.3" footer="0.3"/>
  <pageSetup scale="74" orientation="landscape"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80" zoomScaleNormal="80" workbookViewId="0">
      <selection sqref="A1:G1"/>
    </sheetView>
  </sheetViews>
  <sheetFormatPr defaultRowHeight="12.75"/>
  <cols>
    <col min="1" max="1" width="1.85546875" style="350" customWidth="1"/>
    <col min="2" max="2" width="38.28515625" style="350" customWidth="1"/>
    <col min="3" max="3" width="19.7109375" style="356" customWidth="1"/>
    <col min="4" max="4" width="15.5703125" style="350" customWidth="1"/>
    <col min="5" max="6" width="1.85546875" style="350" customWidth="1"/>
    <col min="7" max="13" width="9.140625" style="350"/>
    <col min="14" max="14" width="10.85546875" style="350" bestFit="1" customWidth="1"/>
    <col min="15" max="255" width="9.140625" style="350"/>
    <col min="256" max="256" width="1.140625" style="350" customWidth="1"/>
    <col min="257" max="257" width="1.85546875" style="350" customWidth="1"/>
    <col min="258" max="258" width="60.85546875" style="350" customWidth="1"/>
    <col min="259" max="259" width="19.7109375" style="350" customWidth="1"/>
    <col min="260" max="260" width="15.5703125" style="350" customWidth="1"/>
    <col min="261" max="262" width="1.85546875" style="350" customWidth="1"/>
    <col min="263" max="511" width="9.140625" style="350"/>
    <col min="512" max="512" width="1.140625" style="350" customWidth="1"/>
    <col min="513" max="513" width="1.85546875" style="350" customWidth="1"/>
    <col min="514" max="514" width="60.85546875" style="350" customWidth="1"/>
    <col min="515" max="515" width="19.7109375" style="350" customWidth="1"/>
    <col min="516" max="516" width="15.5703125" style="350" customWidth="1"/>
    <col min="517" max="518" width="1.85546875" style="350" customWidth="1"/>
    <col min="519" max="767" width="9.140625" style="350"/>
    <col min="768" max="768" width="1.140625" style="350" customWidth="1"/>
    <col min="769" max="769" width="1.85546875" style="350" customWidth="1"/>
    <col min="770" max="770" width="60.85546875" style="350" customWidth="1"/>
    <col min="771" max="771" width="19.7109375" style="350" customWidth="1"/>
    <col min="772" max="772" width="15.5703125" style="350" customWidth="1"/>
    <col min="773" max="774" width="1.85546875" style="350" customWidth="1"/>
    <col min="775" max="1023" width="9.140625" style="350"/>
    <col min="1024" max="1024" width="1.140625" style="350" customWidth="1"/>
    <col min="1025" max="1025" width="1.85546875" style="350" customWidth="1"/>
    <col min="1026" max="1026" width="60.85546875" style="350" customWidth="1"/>
    <col min="1027" max="1027" width="19.7109375" style="350" customWidth="1"/>
    <col min="1028" max="1028" width="15.5703125" style="350" customWidth="1"/>
    <col min="1029" max="1030" width="1.85546875" style="350" customWidth="1"/>
    <col min="1031" max="1279" width="9.140625" style="350"/>
    <col min="1280" max="1280" width="1.140625" style="350" customWidth="1"/>
    <col min="1281" max="1281" width="1.85546875" style="350" customWidth="1"/>
    <col min="1282" max="1282" width="60.85546875" style="350" customWidth="1"/>
    <col min="1283" max="1283" width="19.7109375" style="350" customWidth="1"/>
    <col min="1284" max="1284" width="15.5703125" style="350" customWidth="1"/>
    <col min="1285" max="1286" width="1.85546875" style="350" customWidth="1"/>
    <col min="1287" max="1535" width="9.140625" style="350"/>
    <col min="1536" max="1536" width="1.140625" style="350" customWidth="1"/>
    <col min="1537" max="1537" width="1.85546875" style="350" customWidth="1"/>
    <col min="1538" max="1538" width="60.85546875" style="350" customWidth="1"/>
    <col min="1539" max="1539" width="19.7109375" style="350" customWidth="1"/>
    <col min="1540" max="1540" width="15.5703125" style="350" customWidth="1"/>
    <col min="1541" max="1542" width="1.85546875" style="350" customWidth="1"/>
    <col min="1543" max="1791" width="9.140625" style="350"/>
    <col min="1792" max="1792" width="1.140625" style="350" customWidth="1"/>
    <col min="1793" max="1793" width="1.85546875" style="350" customWidth="1"/>
    <col min="1794" max="1794" width="60.85546875" style="350" customWidth="1"/>
    <col min="1795" max="1795" width="19.7109375" style="350" customWidth="1"/>
    <col min="1796" max="1796" width="15.5703125" style="350" customWidth="1"/>
    <col min="1797" max="1798" width="1.85546875" style="350" customWidth="1"/>
    <col min="1799" max="2047" width="9.140625" style="350"/>
    <col min="2048" max="2048" width="1.140625" style="350" customWidth="1"/>
    <col min="2049" max="2049" width="1.85546875" style="350" customWidth="1"/>
    <col min="2050" max="2050" width="60.85546875" style="350" customWidth="1"/>
    <col min="2051" max="2051" width="19.7109375" style="350" customWidth="1"/>
    <col min="2052" max="2052" width="15.5703125" style="350" customWidth="1"/>
    <col min="2053" max="2054" width="1.85546875" style="350" customWidth="1"/>
    <col min="2055" max="2303" width="9.140625" style="350"/>
    <col min="2304" max="2304" width="1.140625" style="350" customWidth="1"/>
    <col min="2305" max="2305" width="1.85546875" style="350" customWidth="1"/>
    <col min="2306" max="2306" width="60.85546875" style="350" customWidth="1"/>
    <col min="2307" max="2307" width="19.7109375" style="350" customWidth="1"/>
    <col min="2308" max="2308" width="15.5703125" style="350" customWidth="1"/>
    <col min="2309" max="2310" width="1.85546875" style="350" customWidth="1"/>
    <col min="2311" max="2559" width="9.140625" style="350"/>
    <col min="2560" max="2560" width="1.140625" style="350" customWidth="1"/>
    <col min="2561" max="2561" width="1.85546875" style="350" customWidth="1"/>
    <col min="2562" max="2562" width="60.85546875" style="350" customWidth="1"/>
    <col min="2563" max="2563" width="19.7109375" style="350" customWidth="1"/>
    <col min="2564" max="2564" width="15.5703125" style="350" customWidth="1"/>
    <col min="2565" max="2566" width="1.85546875" style="350" customWidth="1"/>
    <col min="2567" max="2815" width="9.140625" style="350"/>
    <col min="2816" max="2816" width="1.140625" style="350" customWidth="1"/>
    <col min="2817" max="2817" width="1.85546875" style="350" customWidth="1"/>
    <col min="2818" max="2818" width="60.85546875" style="350" customWidth="1"/>
    <col min="2819" max="2819" width="19.7109375" style="350" customWidth="1"/>
    <col min="2820" max="2820" width="15.5703125" style="350" customWidth="1"/>
    <col min="2821" max="2822" width="1.85546875" style="350" customWidth="1"/>
    <col min="2823" max="3071" width="9.140625" style="350"/>
    <col min="3072" max="3072" width="1.140625" style="350" customWidth="1"/>
    <col min="3073" max="3073" width="1.85546875" style="350" customWidth="1"/>
    <col min="3074" max="3074" width="60.85546875" style="350" customWidth="1"/>
    <col min="3075" max="3075" width="19.7109375" style="350" customWidth="1"/>
    <col min="3076" max="3076" width="15.5703125" style="350" customWidth="1"/>
    <col min="3077" max="3078" width="1.85546875" style="350" customWidth="1"/>
    <col min="3079" max="3327" width="9.140625" style="350"/>
    <col min="3328" max="3328" width="1.140625" style="350" customWidth="1"/>
    <col min="3329" max="3329" width="1.85546875" style="350" customWidth="1"/>
    <col min="3330" max="3330" width="60.85546875" style="350" customWidth="1"/>
    <col min="3331" max="3331" width="19.7109375" style="350" customWidth="1"/>
    <col min="3332" max="3332" width="15.5703125" style="350" customWidth="1"/>
    <col min="3333" max="3334" width="1.85546875" style="350" customWidth="1"/>
    <col min="3335" max="3583" width="9.140625" style="350"/>
    <col min="3584" max="3584" width="1.140625" style="350" customWidth="1"/>
    <col min="3585" max="3585" width="1.85546875" style="350" customWidth="1"/>
    <col min="3586" max="3586" width="60.85546875" style="350" customWidth="1"/>
    <col min="3587" max="3587" width="19.7109375" style="350" customWidth="1"/>
    <col min="3588" max="3588" width="15.5703125" style="350" customWidth="1"/>
    <col min="3589" max="3590" width="1.85546875" style="350" customWidth="1"/>
    <col min="3591" max="3839" width="9.140625" style="350"/>
    <col min="3840" max="3840" width="1.140625" style="350" customWidth="1"/>
    <col min="3841" max="3841" width="1.85546875" style="350" customWidth="1"/>
    <col min="3842" max="3842" width="60.85546875" style="350" customWidth="1"/>
    <col min="3843" max="3843" width="19.7109375" style="350" customWidth="1"/>
    <col min="3844" max="3844" width="15.5703125" style="350" customWidth="1"/>
    <col min="3845" max="3846" width="1.85546875" style="350" customWidth="1"/>
    <col min="3847" max="4095" width="9.140625" style="350"/>
    <col min="4096" max="4096" width="1.140625" style="350" customWidth="1"/>
    <col min="4097" max="4097" width="1.85546875" style="350" customWidth="1"/>
    <col min="4098" max="4098" width="60.85546875" style="350" customWidth="1"/>
    <col min="4099" max="4099" width="19.7109375" style="350" customWidth="1"/>
    <col min="4100" max="4100" width="15.5703125" style="350" customWidth="1"/>
    <col min="4101" max="4102" width="1.85546875" style="350" customWidth="1"/>
    <col min="4103" max="4351" width="9.140625" style="350"/>
    <col min="4352" max="4352" width="1.140625" style="350" customWidth="1"/>
    <col min="4353" max="4353" width="1.85546875" style="350" customWidth="1"/>
    <col min="4354" max="4354" width="60.85546875" style="350" customWidth="1"/>
    <col min="4355" max="4355" width="19.7109375" style="350" customWidth="1"/>
    <col min="4356" max="4356" width="15.5703125" style="350" customWidth="1"/>
    <col min="4357" max="4358" width="1.85546875" style="350" customWidth="1"/>
    <col min="4359" max="4607" width="9.140625" style="350"/>
    <col min="4608" max="4608" width="1.140625" style="350" customWidth="1"/>
    <col min="4609" max="4609" width="1.85546875" style="350" customWidth="1"/>
    <col min="4610" max="4610" width="60.85546875" style="350" customWidth="1"/>
    <col min="4611" max="4611" width="19.7109375" style="350" customWidth="1"/>
    <col min="4612" max="4612" width="15.5703125" style="350" customWidth="1"/>
    <col min="4613" max="4614" width="1.85546875" style="350" customWidth="1"/>
    <col min="4615" max="4863" width="9.140625" style="350"/>
    <col min="4864" max="4864" width="1.140625" style="350" customWidth="1"/>
    <col min="4865" max="4865" width="1.85546875" style="350" customWidth="1"/>
    <col min="4866" max="4866" width="60.85546875" style="350" customWidth="1"/>
    <col min="4867" max="4867" width="19.7109375" style="350" customWidth="1"/>
    <col min="4868" max="4868" width="15.5703125" style="350" customWidth="1"/>
    <col min="4869" max="4870" width="1.85546875" style="350" customWidth="1"/>
    <col min="4871" max="5119" width="9.140625" style="350"/>
    <col min="5120" max="5120" width="1.140625" style="350" customWidth="1"/>
    <col min="5121" max="5121" width="1.85546875" style="350" customWidth="1"/>
    <col min="5122" max="5122" width="60.85546875" style="350" customWidth="1"/>
    <col min="5123" max="5123" width="19.7109375" style="350" customWidth="1"/>
    <col min="5124" max="5124" width="15.5703125" style="350" customWidth="1"/>
    <col min="5125" max="5126" width="1.85546875" style="350" customWidth="1"/>
    <col min="5127" max="5375" width="9.140625" style="350"/>
    <col min="5376" max="5376" width="1.140625" style="350" customWidth="1"/>
    <col min="5377" max="5377" width="1.85546875" style="350" customWidth="1"/>
    <col min="5378" max="5378" width="60.85546875" style="350" customWidth="1"/>
    <col min="5379" max="5379" width="19.7109375" style="350" customWidth="1"/>
    <col min="5380" max="5380" width="15.5703125" style="350" customWidth="1"/>
    <col min="5381" max="5382" width="1.85546875" style="350" customWidth="1"/>
    <col min="5383" max="5631" width="9.140625" style="350"/>
    <col min="5632" max="5632" width="1.140625" style="350" customWidth="1"/>
    <col min="5633" max="5633" width="1.85546875" style="350" customWidth="1"/>
    <col min="5634" max="5634" width="60.85546875" style="350" customWidth="1"/>
    <col min="5635" max="5635" width="19.7109375" style="350" customWidth="1"/>
    <col min="5636" max="5636" width="15.5703125" style="350" customWidth="1"/>
    <col min="5637" max="5638" width="1.85546875" style="350" customWidth="1"/>
    <col min="5639" max="5887" width="9.140625" style="350"/>
    <col min="5888" max="5888" width="1.140625" style="350" customWidth="1"/>
    <col min="5889" max="5889" width="1.85546875" style="350" customWidth="1"/>
    <col min="5890" max="5890" width="60.85546875" style="350" customWidth="1"/>
    <col min="5891" max="5891" width="19.7109375" style="350" customWidth="1"/>
    <col min="5892" max="5892" width="15.5703125" style="350" customWidth="1"/>
    <col min="5893" max="5894" width="1.85546875" style="350" customWidth="1"/>
    <col min="5895" max="6143" width="9.140625" style="350"/>
    <col min="6144" max="6144" width="1.140625" style="350" customWidth="1"/>
    <col min="6145" max="6145" width="1.85546875" style="350" customWidth="1"/>
    <col min="6146" max="6146" width="60.85546875" style="350" customWidth="1"/>
    <col min="6147" max="6147" width="19.7109375" style="350" customWidth="1"/>
    <col min="6148" max="6148" width="15.5703125" style="350" customWidth="1"/>
    <col min="6149" max="6150" width="1.85546875" style="350" customWidth="1"/>
    <col min="6151" max="6399" width="9.140625" style="350"/>
    <col min="6400" max="6400" width="1.140625" style="350" customWidth="1"/>
    <col min="6401" max="6401" width="1.85546875" style="350" customWidth="1"/>
    <col min="6402" max="6402" width="60.85546875" style="350" customWidth="1"/>
    <col min="6403" max="6403" width="19.7109375" style="350" customWidth="1"/>
    <col min="6404" max="6404" width="15.5703125" style="350" customWidth="1"/>
    <col min="6405" max="6406" width="1.85546875" style="350" customWidth="1"/>
    <col min="6407" max="6655" width="9.140625" style="350"/>
    <col min="6656" max="6656" width="1.140625" style="350" customWidth="1"/>
    <col min="6657" max="6657" width="1.85546875" style="350" customWidth="1"/>
    <col min="6658" max="6658" width="60.85546875" style="350" customWidth="1"/>
    <col min="6659" max="6659" width="19.7109375" style="350" customWidth="1"/>
    <col min="6660" max="6660" width="15.5703125" style="350" customWidth="1"/>
    <col min="6661" max="6662" width="1.85546875" style="350" customWidth="1"/>
    <col min="6663" max="6911" width="9.140625" style="350"/>
    <col min="6912" max="6912" width="1.140625" style="350" customWidth="1"/>
    <col min="6913" max="6913" width="1.85546875" style="350" customWidth="1"/>
    <col min="6914" max="6914" width="60.85546875" style="350" customWidth="1"/>
    <col min="6915" max="6915" width="19.7109375" style="350" customWidth="1"/>
    <col min="6916" max="6916" width="15.5703125" style="350" customWidth="1"/>
    <col min="6917" max="6918" width="1.85546875" style="350" customWidth="1"/>
    <col min="6919" max="7167" width="9.140625" style="350"/>
    <col min="7168" max="7168" width="1.140625" style="350" customWidth="1"/>
    <col min="7169" max="7169" width="1.85546875" style="350" customWidth="1"/>
    <col min="7170" max="7170" width="60.85546875" style="350" customWidth="1"/>
    <col min="7171" max="7171" width="19.7109375" style="350" customWidth="1"/>
    <col min="7172" max="7172" width="15.5703125" style="350" customWidth="1"/>
    <col min="7173" max="7174" width="1.85546875" style="350" customWidth="1"/>
    <col min="7175" max="7423" width="9.140625" style="350"/>
    <col min="7424" max="7424" width="1.140625" style="350" customWidth="1"/>
    <col min="7425" max="7425" width="1.85546875" style="350" customWidth="1"/>
    <col min="7426" max="7426" width="60.85546875" style="350" customWidth="1"/>
    <col min="7427" max="7427" width="19.7109375" style="350" customWidth="1"/>
    <col min="7428" max="7428" width="15.5703125" style="350" customWidth="1"/>
    <col min="7429" max="7430" width="1.85546875" style="350" customWidth="1"/>
    <col min="7431" max="7679" width="9.140625" style="350"/>
    <col min="7680" max="7680" width="1.140625" style="350" customWidth="1"/>
    <col min="7681" max="7681" width="1.85546875" style="350" customWidth="1"/>
    <col min="7682" max="7682" width="60.85546875" style="350" customWidth="1"/>
    <col min="7683" max="7683" width="19.7109375" style="350" customWidth="1"/>
    <col min="7684" max="7684" width="15.5703125" style="350" customWidth="1"/>
    <col min="7685" max="7686" width="1.85546875" style="350" customWidth="1"/>
    <col min="7687" max="7935" width="9.140625" style="350"/>
    <col min="7936" max="7936" width="1.140625" style="350" customWidth="1"/>
    <col min="7937" max="7937" width="1.85546875" style="350" customWidth="1"/>
    <col min="7938" max="7938" width="60.85546875" style="350" customWidth="1"/>
    <col min="7939" max="7939" width="19.7109375" style="350" customWidth="1"/>
    <col min="7940" max="7940" width="15.5703125" style="350" customWidth="1"/>
    <col min="7941" max="7942" width="1.85546875" style="350" customWidth="1"/>
    <col min="7943" max="8191" width="9.140625" style="350"/>
    <col min="8192" max="8192" width="1.140625" style="350" customWidth="1"/>
    <col min="8193" max="8193" width="1.85546875" style="350" customWidth="1"/>
    <col min="8194" max="8194" width="60.85546875" style="350" customWidth="1"/>
    <col min="8195" max="8195" width="19.7109375" style="350" customWidth="1"/>
    <col min="8196" max="8196" width="15.5703125" style="350" customWidth="1"/>
    <col min="8197" max="8198" width="1.85546875" style="350" customWidth="1"/>
    <col min="8199" max="8447" width="9.140625" style="350"/>
    <col min="8448" max="8448" width="1.140625" style="350" customWidth="1"/>
    <col min="8449" max="8449" width="1.85546875" style="350" customWidth="1"/>
    <col min="8450" max="8450" width="60.85546875" style="350" customWidth="1"/>
    <col min="8451" max="8451" width="19.7109375" style="350" customWidth="1"/>
    <col min="8452" max="8452" width="15.5703125" style="350" customWidth="1"/>
    <col min="8453" max="8454" width="1.85546875" style="350" customWidth="1"/>
    <col min="8455" max="8703" width="9.140625" style="350"/>
    <col min="8704" max="8704" width="1.140625" style="350" customWidth="1"/>
    <col min="8705" max="8705" width="1.85546875" style="350" customWidth="1"/>
    <col min="8706" max="8706" width="60.85546875" style="350" customWidth="1"/>
    <col min="8707" max="8707" width="19.7109375" style="350" customWidth="1"/>
    <col min="8708" max="8708" width="15.5703125" style="350" customWidth="1"/>
    <col min="8709" max="8710" width="1.85546875" style="350" customWidth="1"/>
    <col min="8711" max="8959" width="9.140625" style="350"/>
    <col min="8960" max="8960" width="1.140625" style="350" customWidth="1"/>
    <col min="8961" max="8961" width="1.85546875" style="350" customWidth="1"/>
    <col min="8962" max="8962" width="60.85546875" style="350" customWidth="1"/>
    <col min="8963" max="8963" width="19.7109375" style="350" customWidth="1"/>
    <col min="8964" max="8964" width="15.5703125" style="350" customWidth="1"/>
    <col min="8965" max="8966" width="1.85546875" style="350" customWidth="1"/>
    <col min="8967" max="9215" width="9.140625" style="350"/>
    <col min="9216" max="9216" width="1.140625" style="350" customWidth="1"/>
    <col min="9217" max="9217" width="1.85546875" style="350" customWidth="1"/>
    <col min="9218" max="9218" width="60.85546875" style="350" customWidth="1"/>
    <col min="9219" max="9219" width="19.7109375" style="350" customWidth="1"/>
    <col min="9220" max="9220" width="15.5703125" style="350" customWidth="1"/>
    <col min="9221" max="9222" width="1.85546875" style="350" customWidth="1"/>
    <col min="9223" max="9471" width="9.140625" style="350"/>
    <col min="9472" max="9472" width="1.140625" style="350" customWidth="1"/>
    <col min="9473" max="9473" width="1.85546875" style="350" customWidth="1"/>
    <col min="9474" max="9474" width="60.85546875" style="350" customWidth="1"/>
    <col min="9475" max="9475" width="19.7109375" style="350" customWidth="1"/>
    <col min="9476" max="9476" width="15.5703125" style="350" customWidth="1"/>
    <col min="9477" max="9478" width="1.85546875" style="350" customWidth="1"/>
    <col min="9479" max="9727" width="9.140625" style="350"/>
    <col min="9728" max="9728" width="1.140625" style="350" customWidth="1"/>
    <col min="9729" max="9729" width="1.85546875" style="350" customWidth="1"/>
    <col min="9730" max="9730" width="60.85546875" style="350" customWidth="1"/>
    <col min="9731" max="9731" width="19.7109375" style="350" customWidth="1"/>
    <col min="9732" max="9732" width="15.5703125" style="350" customWidth="1"/>
    <col min="9733" max="9734" width="1.85546875" style="350" customWidth="1"/>
    <col min="9735" max="9983" width="9.140625" style="350"/>
    <col min="9984" max="9984" width="1.140625" style="350" customWidth="1"/>
    <col min="9985" max="9985" width="1.85546875" style="350" customWidth="1"/>
    <col min="9986" max="9986" width="60.85546875" style="350" customWidth="1"/>
    <col min="9987" max="9987" width="19.7109375" style="350" customWidth="1"/>
    <col min="9988" max="9988" width="15.5703125" style="350" customWidth="1"/>
    <col min="9989" max="9990" width="1.85546875" style="350" customWidth="1"/>
    <col min="9991" max="10239" width="9.140625" style="350"/>
    <col min="10240" max="10240" width="1.140625" style="350" customWidth="1"/>
    <col min="10241" max="10241" width="1.85546875" style="350" customWidth="1"/>
    <col min="10242" max="10242" width="60.85546875" style="350" customWidth="1"/>
    <col min="10243" max="10243" width="19.7109375" style="350" customWidth="1"/>
    <col min="10244" max="10244" width="15.5703125" style="350" customWidth="1"/>
    <col min="10245" max="10246" width="1.85546875" style="350" customWidth="1"/>
    <col min="10247" max="10495" width="9.140625" style="350"/>
    <col min="10496" max="10496" width="1.140625" style="350" customWidth="1"/>
    <col min="10497" max="10497" width="1.85546875" style="350" customWidth="1"/>
    <col min="10498" max="10498" width="60.85546875" style="350" customWidth="1"/>
    <col min="10499" max="10499" width="19.7109375" style="350" customWidth="1"/>
    <col min="10500" max="10500" width="15.5703125" style="350" customWidth="1"/>
    <col min="10501" max="10502" width="1.85546875" style="350" customWidth="1"/>
    <col min="10503" max="10751" width="9.140625" style="350"/>
    <col min="10752" max="10752" width="1.140625" style="350" customWidth="1"/>
    <col min="10753" max="10753" width="1.85546875" style="350" customWidth="1"/>
    <col min="10754" max="10754" width="60.85546875" style="350" customWidth="1"/>
    <col min="10755" max="10755" width="19.7109375" style="350" customWidth="1"/>
    <col min="10756" max="10756" width="15.5703125" style="350" customWidth="1"/>
    <col min="10757" max="10758" width="1.85546875" style="350" customWidth="1"/>
    <col min="10759" max="11007" width="9.140625" style="350"/>
    <col min="11008" max="11008" width="1.140625" style="350" customWidth="1"/>
    <col min="11009" max="11009" width="1.85546875" style="350" customWidth="1"/>
    <col min="11010" max="11010" width="60.85546875" style="350" customWidth="1"/>
    <col min="11011" max="11011" width="19.7109375" style="350" customWidth="1"/>
    <col min="11012" max="11012" width="15.5703125" style="350" customWidth="1"/>
    <col min="11013" max="11014" width="1.85546875" style="350" customWidth="1"/>
    <col min="11015" max="11263" width="9.140625" style="350"/>
    <col min="11264" max="11264" width="1.140625" style="350" customWidth="1"/>
    <col min="11265" max="11265" width="1.85546875" style="350" customWidth="1"/>
    <col min="11266" max="11266" width="60.85546875" style="350" customWidth="1"/>
    <col min="11267" max="11267" width="19.7109375" style="350" customWidth="1"/>
    <col min="11268" max="11268" width="15.5703125" style="350" customWidth="1"/>
    <col min="11269" max="11270" width="1.85546875" style="350" customWidth="1"/>
    <col min="11271" max="11519" width="9.140625" style="350"/>
    <col min="11520" max="11520" width="1.140625" style="350" customWidth="1"/>
    <col min="11521" max="11521" width="1.85546875" style="350" customWidth="1"/>
    <col min="11522" max="11522" width="60.85546875" style="350" customWidth="1"/>
    <col min="11523" max="11523" width="19.7109375" style="350" customWidth="1"/>
    <col min="11524" max="11524" width="15.5703125" style="350" customWidth="1"/>
    <col min="11525" max="11526" width="1.85546875" style="350" customWidth="1"/>
    <col min="11527" max="11775" width="9.140625" style="350"/>
    <col min="11776" max="11776" width="1.140625" style="350" customWidth="1"/>
    <col min="11777" max="11777" width="1.85546875" style="350" customWidth="1"/>
    <col min="11778" max="11778" width="60.85546875" style="350" customWidth="1"/>
    <col min="11779" max="11779" width="19.7109375" style="350" customWidth="1"/>
    <col min="11780" max="11780" width="15.5703125" style="350" customWidth="1"/>
    <col min="11781" max="11782" width="1.85546875" style="350" customWidth="1"/>
    <col min="11783" max="12031" width="9.140625" style="350"/>
    <col min="12032" max="12032" width="1.140625" style="350" customWidth="1"/>
    <col min="12033" max="12033" width="1.85546875" style="350" customWidth="1"/>
    <col min="12034" max="12034" width="60.85546875" style="350" customWidth="1"/>
    <col min="12035" max="12035" width="19.7109375" style="350" customWidth="1"/>
    <col min="12036" max="12036" width="15.5703125" style="350" customWidth="1"/>
    <col min="12037" max="12038" width="1.85546875" style="350" customWidth="1"/>
    <col min="12039" max="12287" width="9.140625" style="350"/>
    <col min="12288" max="12288" width="1.140625" style="350" customWidth="1"/>
    <col min="12289" max="12289" width="1.85546875" style="350" customWidth="1"/>
    <col min="12290" max="12290" width="60.85546875" style="350" customWidth="1"/>
    <col min="12291" max="12291" width="19.7109375" style="350" customWidth="1"/>
    <col min="12292" max="12292" width="15.5703125" style="350" customWidth="1"/>
    <col min="12293" max="12294" width="1.85546875" style="350" customWidth="1"/>
    <col min="12295" max="12543" width="9.140625" style="350"/>
    <col min="12544" max="12544" width="1.140625" style="350" customWidth="1"/>
    <col min="12545" max="12545" width="1.85546875" style="350" customWidth="1"/>
    <col min="12546" max="12546" width="60.85546875" style="350" customWidth="1"/>
    <col min="12547" max="12547" width="19.7109375" style="350" customWidth="1"/>
    <col min="12548" max="12548" width="15.5703125" style="350" customWidth="1"/>
    <col min="12549" max="12550" width="1.85546875" style="350" customWidth="1"/>
    <col min="12551" max="12799" width="9.140625" style="350"/>
    <col min="12800" max="12800" width="1.140625" style="350" customWidth="1"/>
    <col min="12801" max="12801" width="1.85546875" style="350" customWidth="1"/>
    <col min="12802" max="12802" width="60.85546875" style="350" customWidth="1"/>
    <col min="12803" max="12803" width="19.7109375" style="350" customWidth="1"/>
    <col min="12804" max="12804" width="15.5703125" style="350" customWidth="1"/>
    <col min="12805" max="12806" width="1.85546875" style="350" customWidth="1"/>
    <col min="12807" max="13055" width="9.140625" style="350"/>
    <col min="13056" max="13056" width="1.140625" style="350" customWidth="1"/>
    <col min="13057" max="13057" width="1.85546875" style="350" customWidth="1"/>
    <col min="13058" max="13058" width="60.85546875" style="350" customWidth="1"/>
    <col min="13059" max="13059" width="19.7109375" style="350" customWidth="1"/>
    <col min="13060" max="13060" width="15.5703125" style="350" customWidth="1"/>
    <col min="13061" max="13062" width="1.85546875" style="350" customWidth="1"/>
    <col min="13063" max="13311" width="9.140625" style="350"/>
    <col min="13312" max="13312" width="1.140625" style="350" customWidth="1"/>
    <col min="13313" max="13313" width="1.85546875" style="350" customWidth="1"/>
    <col min="13314" max="13314" width="60.85546875" style="350" customWidth="1"/>
    <col min="13315" max="13315" width="19.7109375" style="350" customWidth="1"/>
    <col min="13316" max="13316" width="15.5703125" style="350" customWidth="1"/>
    <col min="13317" max="13318" width="1.85546875" style="350" customWidth="1"/>
    <col min="13319" max="13567" width="9.140625" style="350"/>
    <col min="13568" max="13568" width="1.140625" style="350" customWidth="1"/>
    <col min="13569" max="13569" width="1.85546875" style="350" customWidth="1"/>
    <col min="13570" max="13570" width="60.85546875" style="350" customWidth="1"/>
    <col min="13571" max="13571" width="19.7109375" style="350" customWidth="1"/>
    <col min="13572" max="13572" width="15.5703125" style="350" customWidth="1"/>
    <col min="13573" max="13574" width="1.85546875" style="350" customWidth="1"/>
    <col min="13575" max="13823" width="9.140625" style="350"/>
    <col min="13824" max="13824" width="1.140625" style="350" customWidth="1"/>
    <col min="13825" max="13825" width="1.85546875" style="350" customWidth="1"/>
    <col min="13826" max="13826" width="60.85546875" style="350" customWidth="1"/>
    <col min="13827" max="13827" width="19.7109375" style="350" customWidth="1"/>
    <col min="13828" max="13828" width="15.5703125" style="350" customWidth="1"/>
    <col min="13829" max="13830" width="1.85546875" style="350" customWidth="1"/>
    <col min="13831" max="14079" width="9.140625" style="350"/>
    <col min="14080" max="14080" width="1.140625" style="350" customWidth="1"/>
    <col min="14081" max="14081" width="1.85546875" style="350" customWidth="1"/>
    <col min="14082" max="14082" width="60.85546875" style="350" customWidth="1"/>
    <col min="14083" max="14083" width="19.7109375" style="350" customWidth="1"/>
    <col min="14084" max="14084" width="15.5703125" style="350" customWidth="1"/>
    <col min="14085" max="14086" width="1.85546875" style="350" customWidth="1"/>
    <col min="14087" max="14335" width="9.140625" style="350"/>
    <col min="14336" max="14336" width="1.140625" style="350" customWidth="1"/>
    <col min="14337" max="14337" width="1.85546875" style="350" customWidth="1"/>
    <col min="14338" max="14338" width="60.85546875" style="350" customWidth="1"/>
    <col min="14339" max="14339" width="19.7109375" style="350" customWidth="1"/>
    <col min="14340" max="14340" width="15.5703125" style="350" customWidth="1"/>
    <col min="14341" max="14342" width="1.85546875" style="350" customWidth="1"/>
    <col min="14343" max="14591" width="9.140625" style="350"/>
    <col min="14592" max="14592" width="1.140625" style="350" customWidth="1"/>
    <col min="14593" max="14593" width="1.85546875" style="350" customWidth="1"/>
    <col min="14594" max="14594" width="60.85546875" style="350" customWidth="1"/>
    <col min="14595" max="14595" width="19.7109375" style="350" customWidth="1"/>
    <col min="14596" max="14596" width="15.5703125" style="350" customWidth="1"/>
    <col min="14597" max="14598" width="1.85546875" style="350" customWidth="1"/>
    <col min="14599" max="14847" width="9.140625" style="350"/>
    <col min="14848" max="14848" width="1.140625" style="350" customWidth="1"/>
    <col min="14849" max="14849" width="1.85546875" style="350" customWidth="1"/>
    <col min="14850" max="14850" width="60.85546875" style="350" customWidth="1"/>
    <col min="14851" max="14851" width="19.7109375" style="350" customWidth="1"/>
    <col min="14852" max="14852" width="15.5703125" style="350" customWidth="1"/>
    <col min="14853" max="14854" width="1.85546875" style="350" customWidth="1"/>
    <col min="14855" max="15103" width="9.140625" style="350"/>
    <col min="15104" max="15104" width="1.140625" style="350" customWidth="1"/>
    <col min="15105" max="15105" width="1.85546875" style="350" customWidth="1"/>
    <col min="15106" max="15106" width="60.85546875" style="350" customWidth="1"/>
    <col min="15107" max="15107" width="19.7109375" style="350" customWidth="1"/>
    <col min="15108" max="15108" width="15.5703125" style="350" customWidth="1"/>
    <col min="15109" max="15110" width="1.85546875" style="350" customWidth="1"/>
    <col min="15111" max="15359" width="9.140625" style="350"/>
    <col min="15360" max="15360" width="1.140625" style="350" customWidth="1"/>
    <col min="15361" max="15361" width="1.85546875" style="350" customWidth="1"/>
    <col min="15362" max="15362" width="60.85546875" style="350" customWidth="1"/>
    <col min="15363" max="15363" width="19.7109375" style="350" customWidth="1"/>
    <col min="15364" max="15364" width="15.5703125" style="350" customWidth="1"/>
    <col min="15365" max="15366" width="1.85546875" style="350" customWidth="1"/>
    <col min="15367" max="15615" width="9.140625" style="350"/>
    <col min="15616" max="15616" width="1.140625" style="350" customWidth="1"/>
    <col min="15617" max="15617" width="1.85546875" style="350" customWidth="1"/>
    <col min="15618" max="15618" width="60.85546875" style="350" customWidth="1"/>
    <col min="15619" max="15619" width="19.7109375" style="350" customWidth="1"/>
    <col min="15620" max="15620" width="15.5703125" style="350" customWidth="1"/>
    <col min="15621" max="15622" width="1.85546875" style="350" customWidth="1"/>
    <col min="15623" max="15871" width="9.140625" style="350"/>
    <col min="15872" max="15872" width="1.140625" style="350" customWidth="1"/>
    <col min="15873" max="15873" width="1.85546875" style="350" customWidth="1"/>
    <col min="15874" max="15874" width="60.85546875" style="350" customWidth="1"/>
    <col min="15875" max="15875" width="19.7109375" style="350" customWidth="1"/>
    <col min="15876" max="15876" width="15.5703125" style="350" customWidth="1"/>
    <col min="15877" max="15878" width="1.85546875" style="350" customWidth="1"/>
    <col min="15879" max="16127" width="9.140625" style="350"/>
    <col min="16128" max="16128" width="1.140625" style="350" customWidth="1"/>
    <col min="16129" max="16129" width="1.85546875" style="350" customWidth="1"/>
    <col min="16130" max="16130" width="60.85546875" style="350" customWidth="1"/>
    <col min="16131" max="16131" width="19.7109375" style="350" customWidth="1"/>
    <col min="16132" max="16132" width="15.5703125" style="350" customWidth="1"/>
    <col min="16133" max="16134" width="1.85546875" style="350" customWidth="1"/>
    <col min="16135" max="16384" width="9.140625" style="350"/>
  </cols>
  <sheetData>
    <row r="1" spans="1:11" ht="15">
      <c r="A1" s="578" t="str">
        <f>'Attachment O, page 1'!A1:G1</f>
        <v>Rochester Public Utilities</v>
      </c>
      <c r="B1" s="578"/>
      <c r="C1" s="578"/>
      <c r="D1" s="578"/>
      <c r="E1" s="578"/>
      <c r="F1" s="578"/>
      <c r="G1" s="578"/>
      <c r="H1" s="349"/>
    </row>
    <row r="2" spans="1:11" ht="15">
      <c r="A2" s="578" t="str">
        <f>'Attachment O, page 1'!A2:G2</f>
        <v>For the Year ended 12/31/2013</v>
      </c>
      <c r="B2" s="578"/>
      <c r="C2" s="578"/>
      <c r="D2" s="578"/>
      <c r="E2" s="578"/>
      <c r="F2" s="578"/>
      <c r="G2" s="578"/>
      <c r="H2" s="349"/>
    </row>
    <row r="3" spans="1:11">
      <c r="A3" s="351"/>
      <c r="B3" s="351"/>
      <c r="C3" s="352"/>
      <c r="D3" s="351"/>
      <c r="E3" s="351"/>
    </row>
    <row r="4" spans="1:11" ht="15.75">
      <c r="A4" s="351"/>
      <c r="B4" s="353" t="s">
        <v>746</v>
      </c>
      <c r="C4" s="354" t="s">
        <v>747</v>
      </c>
      <c r="D4" s="355" t="s">
        <v>748</v>
      </c>
      <c r="E4" s="351"/>
    </row>
    <row r="5" spans="1:11" ht="15.75">
      <c r="A5" s="351"/>
      <c r="B5" s="353"/>
      <c r="C5" s="354" t="s">
        <v>788</v>
      </c>
      <c r="D5" s="355" t="s">
        <v>524</v>
      </c>
      <c r="E5" s="351"/>
    </row>
    <row r="6" spans="1:11">
      <c r="A6" s="351"/>
      <c r="B6" s="351"/>
      <c r="D6" s="352"/>
      <c r="E6" s="351"/>
    </row>
    <row r="7" spans="1:11">
      <c r="A7" s="351"/>
      <c r="B7" s="362" t="s">
        <v>792</v>
      </c>
      <c r="C7" s="441">
        <v>38370000</v>
      </c>
      <c r="D7" s="442">
        <v>1049959.44</v>
      </c>
      <c r="E7" s="351"/>
      <c r="H7" s="357"/>
      <c r="I7" s="358"/>
      <c r="J7" s="358"/>
      <c r="K7" s="358"/>
    </row>
    <row r="8" spans="1:11">
      <c r="A8" s="351"/>
      <c r="B8" s="443"/>
      <c r="C8" s="444">
        <v>0</v>
      </c>
      <c r="D8" s="445">
        <v>0</v>
      </c>
      <c r="E8" s="351"/>
      <c r="H8" s="358"/>
      <c r="I8" s="358"/>
      <c r="J8" s="358"/>
      <c r="K8" s="358"/>
    </row>
    <row r="9" spans="1:11" ht="15">
      <c r="A9" s="351"/>
      <c r="B9" s="443"/>
      <c r="C9" s="446">
        <v>0</v>
      </c>
      <c r="D9" s="447">
        <v>0</v>
      </c>
      <c r="E9" s="351"/>
    </row>
    <row r="10" spans="1:11">
      <c r="A10" s="351"/>
      <c r="B10" s="448" t="s">
        <v>141</v>
      </c>
      <c r="C10" s="449">
        <f>SUM(C7:C9)</f>
        <v>38370000</v>
      </c>
      <c r="D10" s="450">
        <f>SUM(D7:D9)</f>
        <v>1049959.44</v>
      </c>
      <c r="E10" s="351"/>
    </row>
    <row r="11" spans="1:11">
      <c r="A11" s="351"/>
      <c r="B11" s="451"/>
      <c r="C11" s="452"/>
      <c r="D11" s="453"/>
      <c r="E11" s="351"/>
    </row>
    <row r="12" spans="1:11">
      <c r="A12" s="351"/>
      <c r="B12" s="451"/>
      <c r="C12" s="452"/>
      <c r="D12" s="453"/>
      <c r="E12" s="351"/>
    </row>
    <row r="13" spans="1:11">
      <c r="A13" s="351"/>
      <c r="B13" s="362" t="s">
        <v>793</v>
      </c>
      <c r="C13" s="441">
        <f>71945000-1285000*0</f>
        <v>71945000</v>
      </c>
      <c r="D13" s="442">
        <v>3356358.34</v>
      </c>
      <c r="E13" s="351"/>
    </row>
    <row r="14" spans="1:11">
      <c r="A14" s="351"/>
      <c r="B14" s="443"/>
      <c r="C14" s="444">
        <v>0</v>
      </c>
      <c r="D14" s="445">
        <v>0</v>
      </c>
      <c r="E14" s="351"/>
    </row>
    <row r="15" spans="1:11" ht="15">
      <c r="A15" s="351"/>
      <c r="B15" s="443"/>
      <c r="C15" s="446">
        <v>0</v>
      </c>
      <c r="D15" s="447">
        <v>0</v>
      </c>
      <c r="E15" s="351"/>
    </row>
    <row r="16" spans="1:11">
      <c r="A16" s="351"/>
      <c r="B16" s="448" t="s">
        <v>141</v>
      </c>
      <c r="C16" s="449">
        <f>SUM(C13:C15)</f>
        <v>71945000</v>
      </c>
      <c r="D16" s="450">
        <f>SUM(D13:D15)</f>
        <v>3356358.34</v>
      </c>
      <c r="E16" s="351"/>
    </row>
    <row r="17" spans="1:5">
      <c r="A17" s="351"/>
      <c r="B17" s="451"/>
      <c r="C17" s="452"/>
      <c r="D17" s="453"/>
      <c r="E17" s="351"/>
    </row>
    <row r="18" spans="1:5">
      <c r="A18" s="351"/>
      <c r="B18" s="451"/>
      <c r="C18" s="452"/>
      <c r="D18" s="453"/>
      <c r="E18" s="351"/>
    </row>
    <row r="19" spans="1:5">
      <c r="A19" s="351"/>
      <c r="B19" s="362" t="s">
        <v>794</v>
      </c>
      <c r="C19" s="441">
        <f>3175000-780000*0</f>
        <v>3175000</v>
      </c>
      <c r="D19" s="442">
        <v>65791.67</v>
      </c>
      <c r="E19" s="351"/>
    </row>
    <row r="20" spans="1:5">
      <c r="A20" s="351"/>
      <c r="B20" s="443"/>
      <c r="C20" s="444">
        <v>0</v>
      </c>
      <c r="D20" s="445">
        <v>0</v>
      </c>
      <c r="E20" s="351"/>
    </row>
    <row r="21" spans="1:5" ht="15">
      <c r="A21" s="351"/>
      <c r="B21" s="443"/>
      <c r="C21" s="446">
        <v>0</v>
      </c>
      <c r="D21" s="447">
        <v>0</v>
      </c>
      <c r="E21" s="351"/>
    </row>
    <row r="22" spans="1:5">
      <c r="A22" s="351"/>
      <c r="B22" s="448" t="s">
        <v>141</v>
      </c>
      <c r="C22" s="449">
        <f>SUM(C19:C21)</f>
        <v>3175000</v>
      </c>
      <c r="D22" s="450">
        <f>SUM(D19:D21)</f>
        <v>65791.67</v>
      </c>
      <c r="E22" s="351"/>
    </row>
    <row r="23" spans="1:5">
      <c r="A23" s="351"/>
      <c r="B23" s="443"/>
      <c r="C23" s="452"/>
      <c r="D23" s="453"/>
      <c r="E23" s="351"/>
    </row>
    <row r="24" spans="1:5">
      <c r="A24" s="351"/>
      <c r="B24" s="362"/>
      <c r="C24" s="452"/>
      <c r="D24" s="453"/>
      <c r="E24" s="351"/>
    </row>
    <row r="25" spans="1:5">
      <c r="A25" s="351"/>
      <c r="B25" s="362" t="s">
        <v>796</v>
      </c>
      <c r="C25" s="449">
        <f>880000-880000*0</f>
        <v>880000</v>
      </c>
      <c r="D25" s="442">
        <f>2050.73*4+2681.32*6+605.78*2</f>
        <v>25502.400000000005</v>
      </c>
      <c r="E25" s="351"/>
    </row>
    <row r="26" spans="1:5">
      <c r="A26" s="351"/>
      <c r="B26" s="443"/>
      <c r="C26" s="454">
        <v>0</v>
      </c>
      <c r="D26" s="455">
        <v>0</v>
      </c>
      <c r="E26" s="351"/>
    </row>
    <row r="27" spans="1:5" ht="15">
      <c r="A27" s="351"/>
      <c r="B27" s="443"/>
      <c r="C27" s="456">
        <v>0</v>
      </c>
      <c r="D27" s="457">
        <v>0</v>
      </c>
      <c r="E27" s="351"/>
    </row>
    <row r="28" spans="1:5">
      <c r="A28" s="351"/>
      <c r="B28" s="448" t="s">
        <v>141</v>
      </c>
      <c r="C28" s="449">
        <f>SUM(C25:C27)</f>
        <v>880000</v>
      </c>
      <c r="D28" s="450">
        <f>SUM(D25:D27)</f>
        <v>25502.400000000005</v>
      </c>
      <c r="E28" s="351"/>
    </row>
    <row r="29" spans="1:5">
      <c r="A29" s="351"/>
      <c r="B29" s="448"/>
      <c r="C29" s="452"/>
      <c r="D29" s="458"/>
      <c r="E29" s="351"/>
    </row>
    <row r="30" spans="1:5">
      <c r="A30" s="351"/>
      <c r="B30" s="448"/>
      <c r="C30" s="452"/>
      <c r="D30" s="458"/>
      <c r="E30" s="351"/>
    </row>
    <row r="31" spans="1:5">
      <c r="A31" s="351"/>
      <c r="B31" s="362" t="s">
        <v>797</v>
      </c>
      <c r="C31" s="441">
        <f>1355000-30000*0-1325000*0</f>
        <v>1355000</v>
      </c>
      <c r="D31" s="442">
        <f>6802.87*4+8873.9*6+0.02+5209.04*2-75000</f>
        <v>15872.979999999996</v>
      </c>
      <c r="E31" s="351"/>
    </row>
    <row r="32" spans="1:5">
      <c r="A32" s="351"/>
      <c r="B32" s="443"/>
      <c r="C32" s="444">
        <v>0</v>
      </c>
      <c r="D32" s="445">
        <v>0</v>
      </c>
      <c r="E32" s="351"/>
    </row>
    <row r="33" spans="1:7" ht="15">
      <c r="A33" s="351"/>
      <c r="B33" s="443"/>
      <c r="C33" s="446">
        <v>0</v>
      </c>
      <c r="D33" s="447">
        <v>0</v>
      </c>
      <c r="E33" s="351"/>
    </row>
    <row r="34" spans="1:7">
      <c r="A34" s="351"/>
      <c r="B34" s="448" t="s">
        <v>141</v>
      </c>
      <c r="C34" s="449">
        <f>SUM(C31:C33)</f>
        <v>1355000</v>
      </c>
      <c r="D34" s="450">
        <f>SUM(D31:D33)</f>
        <v>15872.979999999996</v>
      </c>
      <c r="E34" s="351"/>
    </row>
    <row r="35" spans="1:7">
      <c r="A35" s="351"/>
      <c r="B35" s="448"/>
      <c r="C35" s="452"/>
      <c r="D35" s="458"/>
      <c r="E35" s="351"/>
    </row>
    <row r="36" spans="1:7">
      <c r="A36" s="351"/>
      <c r="B36" s="451"/>
      <c r="C36" s="452"/>
      <c r="D36" s="453"/>
      <c r="E36" s="351"/>
    </row>
    <row r="37" spans="1:7">
      <c r="A37" s="351"/>
      <c r="B37" s="362" t="s">
        <v>795</v>
      </c>
      <c r="C37" s="449">
        <f>880000-880000</f>
        <v>0</v>
      </c>
      <c r="D37" s="442">
        <v>48951.57</v>
      </c>
      <c r="E37" s="351"/>
    </row>
    <row r="38" spans="1:7">
      <c r="A38" s="351"/>
      <c r="B38" s="443"/>
      <c r="C38" s="454">
        <v>0</v>
      </c>
      <c r="D38" s="455">
        <v>0</v>
      </c>
      <c r="E38" s="351"/>
    </row>
    <row r="39" spans="1:7" ht="15">
      <c r="A39" s="351"/>
      <c r="B39" s="443"/>
      <c r="C39" s="456">
        <v>0</v>
      </c>
      <c r="D39" s="457">
        <v>0</v>
      </c>
      <c r="E39" s="351"/>
    </row>
    <row r="40" spans="1:7">
      <c r="A40" s="351"/>
      <c r="B40" s="448" t="s">
        <v>141</v>
      </c>
      <c r="C40" s="449">
        <f>SUM(C37:C39)</f>
        <v>0</v>
      </c>
      <c r="D40" s="450">
        <f>SUM(D37:D39)</f>
        <v>48951.57</v>
      </c>
      <c r="E40" s="351"/>
    </row>
    <row r="41" spans="1:7">
      <c r="A41" s="351"/>
      <c r="B41" s="448"/>
      <c r="C41" s="452"/>
      <c r="D41" s="458"/>
      <c r="E41" s="351"/>
    </row>
    <row r="42" spans="1:7">
      <c r="A42" s="351"/>
      <c r="B42" s="360"/>
      <c r="C42" s="352"/>
      <c r="D42" s="408"/>
      <c r="E42" s="351"/>
    </row>
    <row r="43" spans="1:7">
      <c r="A43" s="351"/>
      <c r="B43" s="359" t="s">
        <v>749</v>
      </c>
      <c r="C43" s="361">
        <f>+C10+C16+C22+C40+C28+C34</f>
        <v>115725000</v>
      </c>
      <c r="D43" s="406">
        <f>+D10+D16+D22+D40+D28+D34</f>
        <v>4562436.4000000004</v>
      </c>
      <c r="E43" s="351"/>
    </row>
    <row r="44" spans="1:7">
      <c r="A44" s="351"/>
      <c r="B44" s="351"/>
      <c r="C44" s="352"/>
      <c r="D44" s="407"/>
      <c r="E44" s="351"/>
      <c r="G44" s="363"/>
    </row>
    <row r="45" spans="1:7">
      <c r="A45" s="351"/>
      <c r="B45" s="351"/>
      <c r="C45" s="352"/>
      <c r="D45" s="351"/>
      <c r="E45" s="351"/>
      <c r="G45" s="363"/>
    </row>
    <row r="46" spans="1:7">
      <c r="D46" s="391"/>
      <c r="G46" s="363"/>
    </row>
    <row r="47" spans="1:7">
      <c r="C47" s="352"/>
      <c r="D47" s="351"/>
      <c r="G47" s="363"/>
    </row>
    <row r="48" spans="1:7">
      <c r="B48" s="364"/>
      <c r="D48" s="351"/>
      <c r="G48" s="363"/>
    </row>
    <row r="50" spans="2:2">
      <c r="B50" s="409"/>
    </row>
    <row r="51" spans="2:2">
      <c r="B51" s="409"/>
    </row>
  </sheetData>
  <mergeCells count="2">
    <mergeCell ref="A1:G1"/>
    <mergeCell ref="A2:G2"/>
  </mergeCells>
  <pageMargins left="0.5" right="0.25" top="0.5" bottom="0.5" header="0.25" footer="0.5"/>
  <pageSetup scale="65"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2"/>
  <sheetViews>
    <sheetView zoomScale="80" zoomScaleNormal="80" workbookViewId="0">
      <selection activeCell="J28" sqref="J28"/>
    </sheetView>
  </sheetViews>
  <sheetFormatPr defaultColWidth="9.140625" defaultRowHeight="12.75"/>
  <cols>
    <col min="1" max="1" width="5.7109375" style="462" customWidth="1"/>
    <col min="2" max="2" width="8.7109375" style="462" customWidth="1"/>
    <col min="3" max="3" width="12.5703125" style="462" bestFit="1" customWidth="1"/>
    <col min="4" max="4" width="14" style="462" customWidth="1"/>
    <col min="5" max="5" width="10.7109375" style="462" bestFit="1" customWidth="1"/>
    <col min="6" max="6" width="9.140625" style="462"/>
    <col min="7" max="7" width="12.140625" style="462" customWidth="1"/>
    <col min="8" max="8" width="9.140625" style="462"/>
    <col min="9" max="9" width="14.7109375" style="462" customWidth="1"/>
    <col min="10" max="10" width="14.7109375" style="462" bestFit="1" customWidth="1"/>
    <col min="11" max="11" width="13.85546875" style="462" bestFit="1" customWidth="1"/>
    <col min="12" max="12" width="5.85546875" style="462" customWidth="1"/>
    <col min="13" max="13" width="3.85546875" style="462" customWidth="1"/>
    <col min="14" max="14" width="5.7109375" style="462" customWidth="1"/>
    <col min="15" max="15" width="33.28515625" style="462" customWidth="1"/>
    <col min="16" max="16" width="37.5703125" style="462" customWidth="1"/>
    <col min="17" max="18" width="25.42578125" style="462" customWidth="1"/>
    <col min="19" max="19" width="11" style="462" bestFit="1" customWidth="1"/>
    <col min="20" max="20" width="10.85546875" style="462" bestFit="1" customWidth="1"/>
    <col min="21" max="21" width="8.7109375" style="462" bestFit="1" customWidth="1"/>
    <col min="22" max="22" width="4.42578125" style="462" customWidth="1"/>
    <col min="23" max="23" width="9.85546875" style="462" bestFit="1" customWidth="1"/>
    <col min="24" max="24" width="10.28515625" style="462" bestFit="1" customWidth="1"/>
    <col min="25" max="25" width="4.85546875" style="462" customWidth="1"/>
    <col min="26" max="26" width="9.140625" style="462"/>
    <col min="27" max="27" width="9" style="462" bestFit="1" customWidth="1"/>
    <col min="28" max="28" width="4.85546875" style="462" customWidth="1"/>
    <col min="29" max="29" width="9.140625" style="462"/>
    <col min="30" max="30" width="10.28515625" style="462" bestFit="1" customWidth="1"/>
    <col min="31" max="31" width="4.85546875" style="462" customWidth="1"/>
    <col min="32" max="32" width="9.140625" style="462"/>
    <col min="33" max="33" width="10.28515625" style="462" bestFit="1" customWidth="1"/>
    <col min="34" max="34" width="4.85546875" style="462" customWidth="1"/>
    <col min="35" max="35" width="9.140625" style="462"/>
    <col min="36" max="36" width="10.28515625" style="462" bestFit="1" customWidth="1"/>
    <col min="37" max="37" width="4.85546875" style="462" customWidth="1"/>
    <col min="38" max="38" width="9.140625" style="462"/>
    <col min="39" max="39" width="10.28515625" style="462" bestFit="1" customWidth="1"/>
    <col min="40" max="40" width="4.85546875" style="462" customWidth="1"/>
    <col min="41" max="41" width="9.140625" style="462"/>
    <col min="42" max="42" width="10.28515625" style="462" bestFit="1" customWidth="1"/>
    <col min="43" max="43" width="4.85546875" style="462" customWidth="1"/>
    <col min="44" max="44" width="9.140625" style="462"/>
    <col min="45" max="45" width="10.28515625" style="462" bestFit="1" customWidth="1"/>
    <col min="46" max="46" width="4.85546875" style="462" customWidth="1"/>
    <col min="47" max="47" width="9.140625" style="462"/>
    <col min="48" max="48" width="10.28515625" style="462" bestFit="1" customWidth="1"/>
    <col min="49" max="49" width="4.85546875" style="462" customWidth="1"/>
    <col min="50" max="50" width="12.7109375" style="462" bestFit="1" customWidth="1"/>
    <col min="51" max="51" width="10.28515625" style="462" bestFit="1" customWidth="1"/>
    <col min="52" max="52" width="4.85546875" style="462" customWidth="1"/>
    <col min="53" max="53" width="12.7109375" style="462" bestFit="1" customWidth="1"/>
    <col min="54" max="54" width="10.28515625" style="462" bestFit="1" customWidth="1"/>
    <col min="55" max="55" width="4.85546875" style="462" customWidth="1"/>
    <col min="56" max="56" width="12.7109375" style="462" bestFit="1" customWidth="1"/>
    <col min="57" max="57" width="10.28515625" style="462" bestFit="1" customWidth="1"/>
    <col min="58" max="58" width="4.85546875" style="462" customWidth="1"/>
    <col min="59" max="59" width="9.140625" style="462"/>
    <col min="60" max="60" width="9" style="462" bestFit="1" customWidth="1"/>
    <col min="61" max="61" width="4.85546875" style="462" customWidth="1"/>
    <col min="62" max="62" width="9.140625" style="462"/>
    <col min="63" max="63" width="10.28515625" style="462" bestFit="1" customWidth="1"/>
    <col min="64" max="64" width="4.85546875" style="462" customWidth="1"/>
    <col min="65" max="65" width="9.140625" style="462"/>
    <col min="66" max="66" width="10.28515625" style="462" bestFit="1" customWidth="1"/>
    <col min="67" max="67" width="4.85546875" style="462" customWidth="1"/>
    <col min="68" max="68" width="9.140625" style="462"/>
    <col min="69" max="69" width="10.28515625" style="462" bestFit="1" customWidth="1"/>
    <col min="70" max="70" width="4.85546875" style="462" customWidth="1"/>
    <col min="71" max="71" width="9.140625" style="462"/>
    <col min="72" max="72" width="10.28515625" style="462" bestFit="1" customWidth="1"/>
    <col min="73" max="73" width="4.85546875" style="462" customWidth="1"/>
    <col min="74" max="74" width="9.140625" style="462"/>
    <col min="75" max="75" width="10.28515625" style="462" bestFit="1" customWidth="1"/>
    <col min="76" max="76" width="4.85546875" style="462" customWidth="1"/>
    <col min="77" max="77" width="9.140625" style="462"/>
    <col min="78" max="78" width="10.28515625" style="462" bestFit="1" customWidth="1"/>
    <col min="79" max="79" width="4.85546875" style="462" customWidth="1"/>
    <col min="80" max="80" width="9.140625" style="462"/>
    <col min="81" max="81" width="10.28515625" style="462" bestFit="1" customWidth="1"/>
    <col min="82" max="16384" width="9.140625" style="462"/>
  </cols>
  <sheetData>
    <row r="1" spans="1:25" ht="15.75">
      <c r="L1" s="463" t="str">
        <f>'Nonlevelized-EIA 412'!K4</f>
        <v>For the 12 months ended 12/31/2013</v>
      </c>
      <c r="N1"/>
      <c r="O1"/>
      <c r="P1"/>
      <c r="Q1"/>
      <c r="R1"/>
      <c r="S1"/>
      <c r="T1"/>
      <c r="U1"/>
      <c r="V1"/>
    </row>
    <row r="2" spans="1:25" ht="15.75">
      <c r="L2" s="464" t="s">
        <v>862</v>
      </c>
      <c r="N2"/>
      <c r="O2"/>
      <c r="P2"/>
      <c r="Q2"/>
      <c r="R2"/>
      <c r="S2"/>
      <c r="T2"/>
      <c r="U2"/>
      <c r="V2"/>
    </row>
    <row r="3" spans="1:25">
      <c r="N3"/>
      <c r="O3"/>
      <c r="P3"/>
      <c r="Q3"/>
      <c r="R3"/>
      <c r="S3"/>
      <c r="T3"/>
      <c r="U3"/>
      <c r="V3"/>
    </row>
    <row r="4" spans="1:25" ht="15.75">
      <c r="A4" s="559" t="s">
        <v>180</v>
      </c>
      <c r="B4" s="559"/>
      <c r="C4" s="559"/>
      <c r="D4" s="559"/>
      <c r="E4" s="559"/>
      <c r="F4" s="559"/>
      <c r="G4" s="559"/>
      <c r="H4" s="559"/>
      <c r="I4" s="559"/>
      <c r="J4" s="559"/>
      <c r="K4" s="559"/>
      <c r="L4" s="559"/>
      <c r="N4"/>
      <c r="O4"/>
      <c r="P4"/>
      <c r="Q4"/>
      <c r="R4"/>
      <c r="S4"/>
      <c r="T4"/>
      <c r="U4"/>
      <c r="V4"/>
    </row>
    <row r="5" spans="1:25" ht="15.75">
      <c r="A5" s="559" t="s">
        <v>819</v>
      </c>
      <c r="B5" s="559"/>
      <c r="C5" s="559"/>
      <c r="D5" s="559"/>
      <c r="E5" s="559"/>
      <c r="F5" s="559"/>
      <c r="G5" s="559"/>
      <c r="H5" s="559"/>
      <c r="I5" s="559"/>
      <c r="J5" s="559"/>
      <c r="K5" s="559"/>
      <c r="L5" s="559"/>
      <c r="N5"/>
      <c r="O5"/>
      <c r="P5"/>
      <c r="Q5"/>
      <c r="R5"/>
      <c r="S5"/>
      <c r="T5"/>
      <c r="U5"/>
      <c r="V5"/>
    </row>
    <row r="6" spans="1:25" ht="15.75">
      <c r="A6" s="559" t="s">
        <v>820</v>
      </c>
      <c r="B6" s="559"/>
      <c r="C6" s="559"/>
      <c r="D6" s="559"/>
      <c r="E6" s="559"/>
      <c r="F6" s="559"/>
      <c r="G6" s="559"/>
      <c r="H6" s="559"/>
      <c r="I6" s="559"/>
      <c r="J6" s="559"/>
      <c r="K6" s="559"/>
      <c r="L6" s="559"/>
      <c r="N6"/>
      <c r="O6"/>
      <c r="P6"/>
      <c r="Q6"/>
      <c r="R6"/>
      <c r="S6"/>
      <c r="T6"/>
      <c r="U6"/>
      <c r="V6"/>
    </row>
    <row r="7" spans="1:25">
      <c r="A7" s="465"/>
      <c r="B7" s="465"/>
      <c r="C7" s="465"/>
      <c r="D7" s="465"/>
      <c r="E7" s="465"/>
      <c r="F7" s="465"/>
      <c r="G7" s="465"/>
      <c r="H7" s="465"/>
      <c r="I7" s="465"/>
      <c r="J7" s="465"/>
      <c r="K7" s="465"/>
      <c r="L7" s="465"/>
      <c r="N7"/>
      <c r="O7"/>
      <c r="P7"/>
      <c r="Q7"/>
      <c r="R7"/>
      <c r="S7"/>
      <c r="T7"/>
      <c r="U7"/>
      <c r="V7"/>
    </row>
    <row r="8" spans="1:25" ht="15.75">
      <c r="A8" s="560" t="s">
        <v>864</v>
      </c>
      <c r="B8" s="560"/>
      <c r="C8" s="560"/>
      <c r="D8" s="560"/>
      <c r="E8" s="560"/>
      <c r="F8" s="560"/>
      <c r="G8" s="560"/>
      <c r="H8" s="560"/>
      <c r="I8" s="560"/>
      <c r="J8" s="560"/>
      <c r="K8" s="560"/>
      <c r="L8" s="560"/>
      <c r="N8"/>
      <c r="O8"/>
      <c r="P8"/>
      <c r="Q8"/>
      <c r="R8"/>
      <c r="S8"/>
      <c r="T8"/>
      <c r="U8"/>
      <c r="V8"/>
    </row>
    <row r="9" spans="1:25">
      <c r="N9"/>
      <c r="O9"/>
      <c r="P9"/>
      <c r="Q9"/>
      <c r="R9"/>
      <c r="S9"/>
      <c r="T9"/>
      <c r="U9"/>
      <c r="V9"/>
    </row>
    <row r="10" spans="1:25" ht="31.5">
      <c r="A10" s="466" t="s">
        <v>821</v>
      </c>
      <c r="N10"/>
      <c r="O10"/>
      <c r="P10"/>
      <c r="Q10"/>
      <c r="R10"/>
      <c r="S10"/>
      <c r="T10"/>
      <c r="U10"/>
      <c r="V10"/>
    </row>
    <row r="11" spans="1:25" ht="15.75">
      <c r="A11" s="468"/>
      <c r="C11" s="566" t="s">
        <v>822</v>
      </c>
      <c r="D11" s="566"/>
      <c r="E11" s="566"/>
      <c r="F11" s="566"/>
      <c r="G11" s="566"/>
      <c r="H11" s="566"/>
      <c r="I11" s="566"/>
      <c r="J11" s="566"/>
      <c r="N11"/>
      <c r="O11"/>
      <c r="P11"/>
      <c r="Q11"/>
      <c r="R11"/>
      <c r="S11"/>
      <c r="T11"/>
      <c r="U11"/>
      <c r="V11"/>
      <c r="W11" s="469"/>
      <c r="Y11" s="469"/>
    </row>
    <row r="12" spans="1:25" ht="15.75">
      <c r="A12" s="470">
        <v>1</v>
      </c>
      <c r="C12" s="563" t="s">
        <v>865</v>
      </c>
      <c r="D12" s="563"/>
      <c r="E12" s="563"/>
      <c r="F12" s="563"/>
      <c r="G12" s="563"/>
      <c r="H12" s="563"/>
      <c r="I12"/>
      <c r="J12" s="520">
        <f>'Nonlevelized-EIA 412'!I20</f>
        <v>3668172.3429913223</v>
      </c>
      <c r="N12"/>
      <c r="O12"/>
      <c r="P12"/>
      <c r="Q12"/>
      <c r="R12"/>
      <c r="S12"/>
      <c r="T12"/>
      <c r="U12"/>
      <c r="V12"/>
      <c r="W12" s="467"/>
      <c r="Y12" s="467"/>
    </row>
    <row r="13" spans="1:25" ht="15.75">
      <c r="A13" s="470">
        <f t="shared" ref="A13:A14" si="0">A12+1</f>
        <v>2</v>
      </c>
      <c r="C13" s="563" t="s">
        <v>867</v>
      </c>
      <c r="D13" s="563"/>
      <c r="E13" s="563"/>
      <c r="F13" s="563"/>
      <c r="G13" s="563"/>
      <c r="H13" s="563"/>
      <c r="I13"/>
      <c r="J13" s="474">
        <v>4332801.1399999997</v>
      </c>
      <c r="N13"/>
      <c r="O13"/>
      <c r="P13"/>
      <c r="Q13"/>
      <c r="R13"/>
      <c r="S13"/>
      <c r="T13"/>
      <c r="U13"/>
      <c r="V13"/>
      <c r="W13" s="473"/>
      <c r="Y13" s="473"/>
    </row>
    <row r="14" spans="1:25" ht="15.75">
      <c r="A14" s="470">
        <f t="shared" si="0"/>
        <v>3</v>
      </c>
      <c r="C14" s="558" t="s">
        <v>866</v>
      </c>
      <c r="D14" s="558"/>
      <c r="E14" s="558"/>
      <c r="F14" s="558"/>
      <c r="G14" s="558"/>
      <c r="H14" s="558"/>
      <c r="I14"/>
      <c r="J14" s="477">
        <f>J12-J13</f>
        <v>-664628.79700867739</v>
      </c>
      <c r="N14"/>
      <c r="O14"/>
      <c r="P14"/>
      <c r="Q14"/>
      <c r="R14"/>
      <c r="S14"/>
      <c r="T14"/>
      <c r="U14"/>
      <c r="V14"/>
      <c r="W14" s="475"/>
      <c r="Y14" s="475"/>
    </row>
    <row r="15" spans="1:25" ht="15.75">
      <c r="I15"/>
      <c r="N15"/>
      <c r="O15"/>
      <c r="P15"/>
      <c r="Q15"/>
      <c r="R15"/>
      <c r="S15"/>
      <c r="T15"/>
      <c r="U15"/>
      <c r="V15"/>
      <c r="W15" s="475"/>
      <c r="Y15" s="475"/>
    </row>
    <row r="16" spans="1:25" ht="15.75">
      <c r="A16" s="470">
        <f>A14+1</f>
        <v>4</v>
      </c>
      <c r="C16" s="558" t="s">
        <v>868</v>
      </c>
      <c r="D16" s="558"/>
      <c r="E16" s="558"/>
      <c r="F16" s="558"/>
      <c r="G16" s="558"/>
      <c r="H16" s="558"/>
      <c r="I16"/>
      <c r="J16" s="478">
        <f>'Nonlevelized-EIA 412'!I23</f>
        <v>13583.333333333334</v>
      </c>
      <c r="N16"/>
      <c r="O16"/>
      <c r="P16"/>
      <c r="Q16"/>
      <c r="R16"/>
      <c r="S16"/>
      <c r="T16"/>
      <c r="U16"/>
      <c r="V16"/>
      <c r="W16" s="473"/>
      <c r="Y16" s="473"/>
    </row>
    <row r="17" spans="1:25" ht="15.75">
      <c r="A17" s="470">
        <f>A16+1</f>
        <v>5</v>
      </c>
      <c r="C17" s="562" t="s">
        <v>869</v>
      </c>
      <c r="D17" s="562"/>
      <c r="E17" s="562"/>
      <c r="F17" s="562"/>
      <c r="G17" s="562"/>
      <c r="H17" s="562"/>
      <c r="I17"/>
      <c r="J17" s="479">
        <v>13583.333333333334</v>
      </c>
      <c r="N17"/>
      <c r="O17"/>
      <c r="P17"/>
      <c r="Q17"/>
      <c r="R17"/>
      <c r="S17"/>
      <c r="T17"/>
      <c r="U17"/>
      <c r="V17"/>
      <c r="W17" s="475"/>
      <c r="Y17" s="475"/>
    </row>
    <row r="18" spans="1:25" ht="15.75">
      <c r="A18" s="470">
        <f>A17+1</f>
        <v>6</v>
      </c>
      <c r="C18" s="563" t="s">
        <v>872</v>
      </c>
      <c r="D18" s="563"/>
      <c r="E18" s="563"/>
      <c r="F18" s="563"/>
      <c r="G18" s="563"/>
      <c r="H18" s="563"/>
      <c r="I18"/>
      <c r="J18" s="482">
        <f>J17-J16</f>
        <v>0</v>
      </c>
      <c r="N18"/>
      <c r="O18"/>
      <c r="P18"/>
      <c r="Q18"/>
      <c r="R18"/>
      <c r="S18"/>
      <c r="T18"/>
      <c r="U18"/>
      <c r="V18"/>
      <c r="W18" s="483"/>
      <c r="Y18" s="473"/>
    </row>
    <row r="19" spans="1:25" ht="15.75">
      <c r="A19" s="470">
        <f>A18+1</f>
        <v>7</v>
      </c>
      <c r="C19" s="563" t="s">
        <v>870</v>
      </c>
      <c r="D19" s="563"/>
      <c r="E19" s="563"/>
      <c r="F19" s="563"/>
      <c r="G19" s="563"/>
      <c r="H19" s="563"/>
      <c r="I19"/>
      <c r="J19" s="484">
        <f>ROUND(J13/J17,3)</f>
        <v>318.97899999999998</v>
      </c>
      <c r="N19"/>
      <c r="O19"/>
      <c r="P19"/>
      <c r="Q19"/>
      <c r="R19"/>
      <c r="S19"/>
      <c r="T19"/>
      <c r="U19"/>
      <c r="V19"/>
      <c r="W19" s="486"/>
      <c r="Y19" s="475"/>
    </row>
    <row r="20" spans="1:25" ht="15.75">
      <c r="A20" s="470">
        <f>A19+1</f>
        <v>8</v>
      </c>
      <c r="C20" s="563" t="s">
        <v>871</v>
      </c>
      <c r="D20" s="563"/>
      <c r="E20" s="563"/>
      <c r="F20" s="563"/>
      <c r="G20" s="563"/>
      <c r="H20" s="563"/>
      <c r="I20"/>
      <c r="J20" s="487">
        <f>ROUND(J18*J19,2)</f>
        <v>0</v>
      </c>
      <c r="N20"/>
      <c r="O20"/>
      <c r="P20"/>
      <c r="Q20"/>
      <c r="R20"/>
      <c r="S20"/>
      <c r="T20"/>
      <c r="U20"/>
      <c r="V20"/>
      <c r="W20" s="485"/>
      <c r="Y20" s="489"/>
    </row>
    <row r="21" spans="1:25" ht="16.5" thickBot="1">
      <c r="A21" s="470">
        <f>A20+1</f>
        <v>9</v>
      </c>
      <c r="C21" s="468" t="s">
        <v>873</v>
      </c>
      <c r="D21" s="468"/>
      <c r="E21" s="468"/>
      <c r="F21" s="468"/>
      <c r="G21" s="468"/>
      <c r="H21" s="468"/>
      <c r="I21"/>
      <c r="J21" s="490">
        <f>J14+J20</f>
        <v>-664628.79700867739</v>
      </c>
      <c r="N21"/>
      <c r="O21"/>
      <c r="P21"/>
      <c r="Q21"/>
      <c r="R21"/>
      <c r="S21"/>
      <c r="T21"/>
      <c r="U21"/>
      <c r="V21"/>
      <c r="W21" s="480"/>
      <c r="Y21" s="472"/>
    </row>
    <row r="22" spans="1:25" ht="16.5" thickTop="1">
      <c r="I22"/>
      <c r="N22"/>
      <c r="O22"/>
      <c r="P22"/>
      <c r="Q22"/>
      <c r="R22"/>
      <c r="S22"/>
      <c r="T22"/>
      <c r="U22"/>
      <c r="V22"/>
      <c r="W22" s="483"/>
      <c r="Y22" s="489"/>
    </row>
    <row r="23" spans="1:25" ht="15.95" customHeight="1">
      <c r="A23" s="470">
        <f>A21+1</f>
        <v>10</v>
      </c>
      <c r="C23" s="471" t="s">
        <v>859</v>
      </c>
      <c r="D23" s="471"/>
      <c r="E23" s="471"/>
      <c r="F23" s="471"/>
      <c r="G23" s="471"/>
      <c r="H23" s="471"/>
      <c r="I23" s="517"/>
      <c r="J23" s="493">
        <f>IF(J21&lt;0,I79,K79)</f>
        <v>2.7809523809523805E-3</v>
      </c>
      <c r="N23"/>
      <c r="O23"/>
      <c r="P23"/>
      <c r="Q23"/>
      <c r="R23"/>
      <c r="S23"/>
      <c r="T23"/>
      <c r="U23"/>
      <c r="V23"/>
      <c r="W23" s="475"/>
      <c r="Y23" s="472"/>
    </row>
    <row r="24" spans="1:25" ht="15.95" customHeight="1">
      <c r="A24" s="470">
        <f>A23+1</f>
        <v>11</v>
      </c>
      <c r="C24" s="471" t="s">
        <v>860</v>
      </c>
      <c r="D24" s="471"/>
      <c r="E24" s="471"/>
      <c r="F24" s="471"/>
      <c r="G24" s="471"/>
      <c r="H24" s="471"/>
      <c r="I24" s="471"/>
      <c r="J24" s="475">
        <v>25</v>
      </c>
      <c r="N24"/>
      <c r="O24"/>
      <c r="P24"/>
      <c r="Q24"/>
      <c r="R24"/>
      <c r="S24"/>
      <c r="T24"/>
      <c r="U24"/>
      <c r="V24"/>
      <c r="W24" s="481"/>
      <c r="Y24" s="481"/>
    </row>
    <row r="25" spans="1:25" ht="15.95" customHeight="1" thickBot="1">
      <c r="A25" s="470">
        <f>A24+1</f>
        <v>12</v>
      </c>
      <c r="C25" s="471" t="s">
        <v>858</v>
      </c>
      <c r="D25" s="471"/>
      <c r="E25" s="471"/>
      <c r="F25" s="471"/>
      <c r="G25" s="471"/>
      <c r="H25" s="471"/>
      <c r="I25" s="471"/>
      <c r="J25" s="490">
        <f>ROUND(J21*J23*J24,2)</f>
        <v>-46207.53</v>
      </c>
      <c r="N25"/>
      <c r="O25"/>
      <c r="P25"/>
      <c r="Q25"/>
      <c r="R25"/>
      <c r="S25"/>
      <c r="T25"/>
      <c r="U25"/>
      <c r="V25"/>
      <c r="W25" s="472"/>
      <c r="Y25" s="472"/>
    </row>
    <row r="26" spans="1:25" ht="16.5" thickTop="1">
      <c r="I26"/>
      <c r="N26"/>
      <c r="O26"/>
      <c r="P26"/>
      <c r="Q26"/>
      <c r="R26"/>
      <c r="S26"/>
      <c r="T26"/>
      <c r="U26"/>
      <c r="V26"/>
      <c r="W26" s="481"/>
      <c r="Y26" s="481"/>
    </row>
    <row r="27" spans="1:25" ht="15.75">
      <c r="A27" s="470">
        <f>A25+1</f>
        <v>13</v>
      </c>
      <c r="C27" s="476" t="s">
        <v>874</v>
      </c>
      <c r="I27" s="464" t="s">
        <v>875</v>
      </c>
      <c r="J27" s="477">
        <f>J21+J25</f>
        <v>-710836.32700867741</v>
      </c>
      <c r="N27"/>
      <c r="O27"/>
      <c r="P27"/>
      <c r="Q27"/>
      <c r="R27"/>
      <c r="S27"/>
      <c r="T27"/>
      <c r="U27"/>
      <c r="V27"/>
      <c r="W27" s="481"/>
      <c r="Y27" s="481"/>
    </row>
    <row r="28" spans="1:25" ht="15.75">
      <c r="A28" s="470">
        <f>A27+1</f>
        <v>14</v>
      </c>
      <c r="C28" s="476" t="s">
        <v>876</v>
      </c>
      <c r="I28"/>
      <c r="J28" s="475">
        <v>12</v>
      </c>
      <c r="N28"/>
      <c r="O28"/>
      <c r="P28"/>
      <c r="Q28"/>
      <c r="R28"/>
      <c r="S28"/>
      <c r="T28"/>
      <c r="U28"/>
      <c r="V28"/>
      <c r="W28" s="481"/>
      <c r="Y28" s="481"/>
    </row>
    <row r="29" spans="1:25" ht="16.5" thickBot="1">
      <c r="A29" s="470">
        <f>A28+1</f>
        <v>15</v>
      </c>
      <c r="C29" s="476" t="s">
        <v>878</v>
      </c>
      <c r="I29"/>
      <c r="J29" s="492">
        <f>J27/J28</f>
        <v>-59236.360584056449</v>
      </c>
      <c r="N29"/>
      <c r="O29"/>
      <c r="P29"/>
      <c r="Q29"/>
      <c r="R29"/>
      <c r="S29"/>
      <c r="T29"/>
      <c r="U29"/>
      <c r="V29"/>
      <c r="W29" s="481"/>
      <c r="Y29" s="481"/>
    </row>
    <row r="30" spans="1:25" ht="16.5" thickTop="1">
      <c r="A30" s="470"/>
      <c r="N30"/>
      <c r="O30"/>
      <c r="P30"/>
      <c r="Q30"/>
      <c r="R30"/>
      <c r="S30"/>
      <c r="T30"/>
      <c r="U30"/>
      <c r="V30"/>
      <c r="W30" s="472"/>
      <c r="X30" s="472"/>
      <c r="Y30" s="472"/>
    </row>
    <row r="31" spans="1:25" ht="15.75">
      <c r="A31" s="470"/>
      <c r="N31"/>
      <c r="O31"/>
      <c r="P31"/>
      <c r="Q31"/>
      <c r="R31"/>
      <c r="S31"/>
      <c r="T31"/>
      <c r="U31"/>
      <c r="V31"/>
      <c r="W31" s="472"/>
      <c r="X31" s="472"/>
      <c r="Y31" s="472"/>
    </row>
    <row r="32" spans="1:25" ht="15.75">
      <c r="A32" s="470"/>
      <c r="B32" s="564" t="s">
        <v>823</v>
      </c>
      <c r="C32" s="564"/>
      <c r="D32" s="564"/>
      <c r="E32" s="564"/>
      <c r="F32" s="564"/>
      <c r="G32" s="564"/>
      <c r="H32" s="564"/>
      <c r="I32" s="564"/>
      <c r="J32" s="564"/>
      <c r="N32"/>
      <c r="O32"/>
      <c r="P32"/>
      <c r="Q32"/>
      <c r="R32"/>
      <c r="S32"/>
      <c r="T32"/>
      <c r="U32"/>
      <c r="V32"/>
      <c r="W32" s="472"/>
      <c r="X32" s="472"/>
      <c r="Y32" s="472"/>
    </row>
    <row r="33" spans="1:74" ht="15.75">
      <c r="A33" s="470"/>
      <c r="B33" s="519" t="s">
        <v>879</v>
      </c>
      <c r="C33" s="468"/>
      <c r="D33" s="468"/>
      <c r="E33" s="468"/>
      <c r="F33" s="468"/>
      <c r="G33" s="468"/>
      <c r="H33" s="468"/>
      <c r="I33" s="468"/>
      <c r="J33" s="468"/>
      <c r="K33" s="468"/>
      <c r="L33" s="468"/>
      <c r="N33"/>
      <c r="O33"/>
      <c r="P33"/>
      <c r="Q33"/>
      <c r="R33"/>
      <c r="S33"/>
      <c r="T33"/>
      <c r="U33"/>
      <c r="V33"/>
      <c r="W33" s="472"/>
      <c r="X33" s="472"/>
      <c r="Y33" s="472"/>
    </row>
    <row r="34" spans="1:74" ht="15.75">
      <c r="A34" s="470"/>
      <c r="B34" s="468" t="s">
        <v>855</v>
      </c>
      <c r="C34" s="468"/>
      <c r="D34" s="468"/>
      <c r="E34" s="468"/>
      <c r="F34" s="468"/>
      <c r="G34" s="468"/>
      <c r="H34" s="468"/>
      <c r="I34" s="468"/>
      <c r="J34" s="468"/>
      <c r="K34" s="468"/>
      <c r="L34" s="468"/>
      <c r="N34"/>
      <c r="O34"/>
      <c r="P34"/>
      <c r="Q34"/>
      <c r="R34"/>
      <c r="S34"/>
      <c r="T34"/>
      <c r="U34"/>
      <c r="V34"/>
    </row>
    <row r="35" spans="1:74" ht="15.75">
      <c r="A35" s="470"/>
      <c r="B35" s="468" t="s">
        <v>856</v>
      </c>
      <c r="C35" s="468"/>
      <c r="D35" s="468"/>
      <c r="E35" s="468"/>
      <c r="F35" s="468"/>
      <c r="G35" s="468"/>
      <c r="H35" s="468"/>
      <c r="I35" s="468"/>
      <c r="J35" s="468"/>
      <c r="K35" s="468"/>
      <c r="L35" s="468"/>
      <c r="N35"/>
      <c r="O35"/>
      <c r="P35"/>
      <c r="Q35"/>
      <c r="R35"/>
      <c r="S35"/>
      <c r="T35"/>
      <c r="U35"/>
      <c r="V35"/>
      <c r="W35" s="472"/>
      <c r="X35" s="472"/>
      <c r="Y35" s="472"/>
      <c r="AA35" s="468"/>
    </row>
    <row r="36" spans="1:74" ht="15.75">
      <c r="A36" s="470"/>
      <c r="B36" s="468" t="s">
        <v>857</v>
      </c>
      <c r="C36" s="468"/>
      <c r="D36" s="468"/>
      <c r="E36" s="468"/>
      <c r="F36" s="468"/>
      <c r="G36" s="468"/>
      <c r="H36" s="468"/>
      <c r="I36" s="468"/>
      <c r="J36" s="468"/>
      <c r="K36" s="468"/>
      <c r="L36" s="468"/>
      <c r="N36"/>
      <c r="O36"/>
      <c r="P36"/>
      <c r="Q36"/>
      <c r="R36"/>
      <c r="S36"/>
      <c r="T36"/>
      <c r="U36"/>
      <c r="V36"/>
      <c r="W36" s="472"/>
      <c r="X36" s="472"/>
      <c r="Y36" s="472"/>
    </row>
    <row r="37" spans="1:74" ht="15.75">
      <c r="A37" s="470"/>
      <c r="B37" s="468" t="s">
        <v>861</v>
      </c>
      <c r="C37" s="468"/>
      <c r="D37" s="468"/>
      <c r="E37" s="468"/>
      <c r="F37" s="468"/>
      <c r="G37" s="468"/>
      <c r="H37" s="468"/>
      <c r="I37" s="468"/>
      <c r="J37" s="468"/>
      <c r="K37" s="468"/>
      <c r="L37" s="468"/>
      <c r="N37"/>
      <c r="O37"/>
      <c r="P37"/>
      <c r="Q37"/>
      <c r="R37"/>
      <c r="S37"/>
      <c r="T37"/>
      <c r="U37"/>
      <c r="V37"/>
      <c r="W37" s="472"/>
      <c r="X37" s="472"/>
      <c r="Y37" s="472"/>
    </row>
    <row r="38" spans="1:74" ht="15.75">
      <c r="A38" s="470"/>
      <c r="B38" s="565" t="s">
        <v>824</v>
      </c>
      <c r="C38" s="565"/>
      <c r="D38" s="565"/>
      <c r="E38" s="565"/>
      <c r="F38" s="565"/>
      <c r="G38" s="565"/>
      <c r="H38" s="565"/>
      <c r="I38" s="565"/>
      <c r="J38" s="565"/>
      <c r="K38" s="565"/>
      <c r="L38" s="565"/>
      <c r="N38"/>
      <c r="O38"/>
      <c r="P38"/>
      <c r="Q38"/>
      <c r="R38"/>
      <c r="S38"/>
      <c r="T38"/>
      <c r="U38"/>
      <c r="V38"/>
      <c r="W38" s="472"/>
      <c r="X38" s="488"/>
      <c r="Y38" s="472"/>
    </row>
    <row r="39" spans="1:74" ht="15.75">
      <c r="A39" s="470"/>
      <c r="B39" s="561" t="s">
        <v>825</v>
      </c>
      <c r="C39" s="558"/>
      <c r="D39" s="558"/>
      <c r="E39" s="558"/>
      <c r="F39" s="558"/>
      <c r="G39" s="558"/>
      <c r="H39" s="558"/>
      <c r="I39" s="558"/>
      <c r="J39" s="558"/>
      <c r="K39" s="558"/>
      <c r="L39" s="558"/>
      <c r="N39"/>
      <c r="O39"/>
      <c r="P39"/>
      <c r="Q39"/>
      <c r="R39"/>
      <c r="S39"/>
      <c r="T39"/>
      <c r="U39"/>
      <c r="V39"/>
      <c r="W39" s="472"/>
      <c r="X39" s="488"/>
      <c r="Y39" s="472"/>
    </row>
    <row r="40" spans="1:74" ht="15.75">
      <c r="A40" s="470"/>
      <c r="B40" s="558" t="s">
        <v>826</v>
      </c>
      <c r="C40" s="558"/>
      <c r="D40" s="558"/>
      <c r="E40" s="558"/>
      <c r="F40" s="558"/>
      <c r="G40" s="558"/>
      <c r="H40" s="558"/>
      <c r="I40" s="558"/>
      <c r="J40" s="558"/>
      <c r="K40" s="558"/>
      <c r="L40" s="558"/>
      <c r="N40"/>
      <c r="O40"/>
      <c r="P40"/>
      <c r="Q40"/>
      <c r="R40"/>
      <c r="S40"/>
      <c r="T40"/>
      <c r="U40"/>
      <c r="V40"/>
      <c r="W40" s="472"/>
      <c r="X40" s="472"/>
      <c r="Y40" s="472"/>
    </row>
    <row r="41" spans="1:74" ht="15.75">
      <c r="A41" s="470"/>
      <c r="B41" s="558" t="s">
        <v>827</v>
      </c>
      <c r="C41" s="558"/>
      <c r="D41" s="558"/>
      <c r="E41" s="558"/>
      <c r="F41" s="558"/>
      <c r="G41" s="558"/>
      <c r="H41" s="558"/>
      <c r="I41" s="558"/>
      <c r="J41" s="558"/>
      <c r="K41" s="558"/>
      <c r="L41" s="558"/>
      <c r="N41"/>
      <c r="O41"/>
      <c r="P41"/>
      <c r="Q41"/>
      <c r="R41"/>
      <c r="S41"/>
      <c r="T41"/>
      <c r="U41"/>
      <c r="V41"/>
      <c r="W41" s="472"/>
      <c r="X41" s="472"/>
      <c r="Y41" s="472"/>
    </row>
    <row r="42" spans="1:74" ht="15.75">
      <c r="A42" s="470"/>
      <c r="B42" s="471" t="s">
        <v>914</v>
      </c>
      <c r="C42" s="518"/>
      <c r="D42" s="518"/>
      <c r="E42" s="518"/>
      <c r="F42" s="518"/>
      <c r="G42" s="518"/>
      <c r="H42" s="518"/>
      <c r="I42" s="518"/>
      <c r="J42" s="518"/>
      <c r="N42"/>
      <c r="O42"/>
      <c r="P42"/>
      <c r="Q42"/>
      <c r="R42"/>
      <c r="S42"/>
      <c r="T42"/>
      <c r="U42"/>
      <c r="V42"/>
    </row>
    <row r="43" spans="1:74" ht="15.75">
      <c r="A43" s="470"/>
      <c r="B43" s="471" t="s">
        <v>877</v>
      </c>
      <c r="C43" s="518"/>
      <c r="D43" s="518"/>
      <c r="E43" s="518"/>
      <c r="F43" s="518"/>
      <c r="G43" s="518"/>
      <c r="H43" s="518"/>
      <c r="I43" s="518"/>
      <c r="J43" s="518"/>
      <c r="N43"/>
      <c r="O43"/>
      <c r="P43"/>
      <c r="Q43"/>
      <c r="R43"/>
      <c r="S43"/>
      <c r="T43"/>
      <c r="U43"/>
      <c r="V43"/>
    </row>
    <row r="44" spans="1:74">
      <c r="N44"/>
      <c r="O44"/>
      <c r="P44"/>
      <c r="Q44"/>
      <c r="R44"/>
      <c r="S44"/>
      <c r="T44"/>
      <c r="U44"/>
      <c r="V44"/>
    </row>
    <row r="45" spans="1:74">
      <c r="N45"/>
      <c r="O45"/>
      <c r="P45"/>
      <c r="Q45"/>
      <c r="R45"/>
      <c r="S45"/>
      <c r="T45"/>
      <c r="U45"/>
      <c r="V45"/>
    </row>
    <row r="46" spans="1:74">
      <c r="N46"/>
      <c r="O46"/>
      <c r="P46"/>
      <c r="Q46"/>
      <c r="R46"/>
      <c r="S46"/>
      <c r="T46"/>
      <c r="U46"/>
      <c r="V46"/>
    </row>
    <row r="47" spans="1:74" ht="15.75">
      <c r="A47" s="495"/>
      <c r="B47" s="495"/>
      <c r="C47" s="495"/>
      <c r="D47" s="495"/>
      <c r="E47" s="495"/>
      <c r="F47" s="495"/>
      <c r="G47" s="495"/>
      <c r="H47" s="495"/>
      <c r="I47" s="495"/>
      <c r="J47" s="495"/>
      <c r="K47" s="495"/>
      <c r="L47" s="463" t="str">
        <f>L1</f>
        <v>For the 12 months ended 12/31/2013</v>
      </c>
      <c r="M47" s="465"/>
      <c r="N47"/>
      <c r="O47"/>
      <c r="P47"/>
      <c r="Q47"/>
      <c r="R47"/>
      <c r="S47"/>
      <c r="T47"/>
      <c r="U47"/>
      <c r="V47"/>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5"/>
      <c r="BP47" s="465"/>
      <c r="BQ47" s="465"/>
      <c r="BR47" s="465"/>
      <c r="BS47" s="465"/>
      <c r="BT47" s="465"/>
      <c r="BU47" s="465"/>
      <c r="BV47" s="465"/>
    </row>
    <row r="48" spans="1:74" ht="15.75">
      <c r="A48" s="495"/>
      <c r="B48" s="495"/>
      <c r="C48" s="495"/>
      <c r="D48" s="495"/>
      <c r="E48" s="495"/>
      <c r="F48" s="495"/>
      <c r="G48" s="495"/>
      <c r="H48" s="495"/>
      <c r="I48" s="495"/>
      <c r="J48" s="495"/>
      <c r="K48" s="495"/>
      <c r="L48" s="464" t="s">
        <v>863</v>
      </c>
      <c r="M48" s="465"/>
      <c r="N48"/>
      <c r="O48"/>
      <c r="P48"/>
      <c r="Q48"/>
      <c r="R48"/>
      <c r="S48"/>
      <c r="T48"/>
      <c r="U48"/>
      <c r="V48"/>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5"/>
    </row>
    <row r="49" spans="1:82" ht="15.75">
      <c r="A49" s="559" t="s">
        <v>180</v>
      </c>
      <c r="B49" s="559"/>
      <c r="C49" s="559"/>
      <c r="D49" s="559"/>
      <c r="E49" s="559"/>
      <c r="F49" s="559"/>
      <c r="G49" s="559"/>
      <c r="H49" s="559"/>
      <c r="I49" s="559"/>
      <c r="J49" s="559"/>
      <c r="K49" s="559"/>
      <c r="L49" s="559"/>
      <c r="M49" s="465"/>
      <c r="N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5"/>
      <c r="AY49" s="465"/>
      <c r="AZ49" s="465"/>
      <c r="BA49" s="465"/>
      <c r="BB49" s="465"/>
      <c r="BC49" s="465"/>
      <c r="BD49" s="465"/>
      <c r="BE49" s="465"/>
      <c r="BF49" s="465"/>
      <c r="BG49" s="465"/>
      <c r="BH49" s="465"/>
      <c r="BI49" s="465"/>
      <c r="BJ49" s="465"/>
      <c r="BK49" s="465"/>
      <c r="BL49" s="465"/>
      <c r="BM49" s="465"/>
      <c r="BN49" s="465"/>
      <c r="BO49" s="465"/>
      <c r="BP49" s="465"/>
      <c r="BQ49" s="465"/>
      <c r="BR49" s="465"/>
      <c r="BS49" s="465"/>
      <c r="BT49" s="465"/>
      <c r="BU49" s="465"/>
      <c r="BV49" s="465"/>
    </row>
    <row r="50" spans="1:82" ht="15.75">
      <c r="A50" s="559" t="s">
        <v>819</v>
      </c>
      <c r="B50" s="559"/>
      <c r="C50" s="559"/>
      <c r="D50" s="559"/>
      <c r="E50" s="559"/>
      <c r="F50" s="559"/>
      <c r="G50" s="559"/>
      <c r="H50" s="559"/>
      <c r="I50" s="559"/>
      <c r="J50" s="559"/>
      <c r="K50" s="559"/>
      <c r="L50" s="559"/>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5"/>
      <c r="AY50" s="465"/>
      <c r="AZ50" s="465"/>
      <c r="BA50" s="465"/>
      <c r="BB50" s="465"/>
      <c r="BC50" s="465"/>
      <c r="BD50" s="465"/>
      <c r="BE50" s="465"/>
      <c r="BF50" s="465"/>
      <c r="BG50" s="465"/>
      <c r="BH50" s="465"/>
      <c r="BI50" s="465"/>
      <c r="BJ50" s="465"/>
      <c r="BK50" s="465"/>
      <c r="BL50" s="465"/>
      <c r="BM50" s="465"/>
      <c r="BN50" s="465"/>
      <c r="BO50" s="465"/>
      <c r="BP50" s="465"/>
      <c r="BQ50" s="465"/>
      <c r="BR50" s="465"/>
      <c r="BS50" s="465"/>
      <c r="BT50" s="465"/>
      <c r="BU50" s="465"/>
      <c r="BV50" s="465"/>
    </row>
    <row r="51" spans="1:82" ht="15.75">
      <c r="A51" s="559" t="s">
        <v>828</v>
      </c>
      <c r="B51" s="559"/>
      <c r="C51" s="559"/>
      <c r="D51" s="559"/>
      <c r="E51" s="559"/>
      <c r="F51" s="559"/>
      <c r="G51" s="559"/>
      <c r="H51" s="559"/>
      <c r="I51" s="559"/>
      <c r="J51" s="559"/>
      <c r="K51" s="559"/>
      <c r="L51" s="559"/>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5"/>
      <c r="AY51" s="46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row>
    <row r="52" spans="1:82">
      <c r="A52" s="465"/>
      <c r="B52" s="465"/>
      <c r="C52" s="465"/>
      <c r="D52" s="465"/>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row>
    <row r="53" spans="1:82" ht="15.75">
      <c r="A53" s="560" t="s">
        <v>829</v>
      </c>
      <c r="B53" s="560"/>
      <c r="C53" s="560"/>
      <c r="D53" s="560"/>
      <c r="E53" s="560"/>
      <c r="F53" s="560"/>
      <c r="G53" s="560"/>
      <c r="H53" s="560"/>
      <c r="I53" s="560"/>
      <c r="J53" s="560"/>
      <c r="K53" s="560"/>
      <c r="L53" s="560"/>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465"/>
      <c r="BN53" s="465"/>
      <c r="BO53" s="465"/>
      <c r="BP53" s="465"/>
      <c r="BQ53" s="465"/>
      <c r="BR53" s="465"/>
      <c r="BS53" s="465"/>
      <c r="BT53" s="465"/>
      <c r="BU53" s="465"/>
      <c r="BV53" s="465"/>
    </row>
    <row r="54" spans="1:82">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row>
    <row r="55" spans="1:82" ht="15.75">
      <c r="A55" s="465"/>
      <c r="B55" s="465"/>
      <c r="C55" s="465"/>
      <c r="D55" s="465"/>
      <c r="E55" s="465"/>
      <c r="F55" s="465"/>
      <c r="G55" s="465"/>
      <c r="H55" s="465"/>
      <c r="I55" s="496" t="s">
        <v>748</v>
      </c>
      <c r="J55" s="497"/>
      <c r="K55" s="496" t="s">
        <v>748</v>
      </c>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row>
    <row r="56" spans="1:82" ht="63">
      <c r="A56" s="466" t="s">
        <v>821</v>
      </c>
      <c r="B56" s="498" t="s">
        <v>830</v>
      </c>
      <c r="C56" s="498" t="s">
        <v>831</v>
      </c>
      <c r="D56" s="468"/>
      <c r="E56" s="499" t="s">
        <v>832</v>
      </c>
      <c r="F56" s="465"/>
      <c r="G56" s="499" t="s">
        <v>833</v>
      </c>
      <c r="H56" s="465"/>
      <c r="I56" s="499" t="s">
        <v>834</v>
      </c>
      <c r="J56" s="465"/>
      <c r="K56" s="499" t="s">
        <v>835</v>
      </c>
      <c r="L56" s="465"/>
      <c r="M56" s="500"/>
      <c r="W56" s="501"/>
      <c r="X56" s="502"/>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465"/>
      <c r="CB56" s="465"/>
      <c r="CC56" s="465"/>
      <c r="CD56" s="465"/>
    </row>
    <row r="57" spans="1:82" ht="15.75">
      <c r="A57" s="468"/>
      <c r="B57" s="468"/>
      <c r="C57" s="468"/>
      <c r="D57" s="468"/>
      <c r="E57" s="468"/>
      <c r="F57" s="465"/>
      <c r="G57" s="494"/>
      <c r="H57" s="465"/>
      <c r="I57" s="494"/>
      <c r="J57" s="465"/>
      <c r="K57" s="468"/>
      <c r="L57" s="465"/>
      <c r="M57" s="471"/>
      <c r="T57" s="465"/>
      <c r="U57" s="502">
        <f>ROUND(AVERAGE(U58:U80),4)</f>
        <v>0.16309999999999999</v>
      </c>
      <c r="V57" s="465"/>
      <c r="W57" s="465"/>
      <c r="X57" s="502">
        <f>ROUND(AVERAGE(X58:X80),4)</f>
        <v>0.1681</v>
      </c>
      <c r="Y57" s="465"/>
      <c r="Z57" s="465"/>
      <c r="AA57" s="502">
        <f>ROUND(AVERAGE(AA58:AA80),4)</f>
        <v>0.1721</v>
      </c>
      <c r="AB57" s="465"/>
      <c r="AC57" s="465"/>
      <c r="AD57" s="502">
        <f>ROUND(AVERAGE(AD58:AD80),4)</f>
        <v>0.17560000000000001</v>
      </c>
      <c r="AE57" s="465"/>
      <c r="AF57" s="465"/>
      <c r="AG57" s="502">
        <f>ROUND(AVERAGE(AG58:AG80),4)</f>
        <v>0.18079999999999999</v>
      </c>
      <c r="AH57" s="465"/>
      <c r="AI57" s="465"/>
      <c r="AJ57" s="502">
        <f>ROUND(AVERAGE(AJ58:AJ80),4)</f>
        <v>0.1842</v>
      </c>
      <c r="AK57" s="465"/>
      <c r="AL57" s="465"/>
      <c r="AM57" s="502">
        <f>ROUND(AVERAGE(AM58:AM80),4)</f>
        <v>0.18590000000000001</v>
      </c>
      <c r="AN57" s="465"/>
      <c r="AO57" s="465"/>
      <c r="AP57" s="502">
        <f>ROUND(AVERAGE(AP58:AP80),4)</f>
        <v>0.18820000000000001</v>
      </c>
      <c r="AQ57" s="465"/>
      <c r="AR57" s="465"/>
      <c r="AS57" s="502">
        <f>ROUND(AVERAGE(AS58:AS80),4)</f>
        <v>0.19670000000000001</v>
      </c>
      <c r="AT57" s="465"/>
      <c r="AU57" s="465"/>
      <c r="AV57" s="502">
        <f>ROUND(AVERAGE(AV58:AV80),4)</f>
        <v>0.2011</v>
      </c>
      <c r="AW57" s="465"/>
      <c r="AX57" s="465"/>
      <c r="AY57" s="502">
        <f>ROUND(AVERAGE(AY58:AY80),4)</f>
        <v>0.19450000000000001</v>
      </c>
      <c r="AZ57" s="465"/>
      <c r="BA57" s="465"/>
      <c r="BB57" s="502">
        <f>ROUND(AVERAGE(BB58:BB80),4)</f>
        <v>0.2084</v>
      </c>
      <c r="BC57" s="465"/>
      <c r="BD57" s="465"/>
      <c r="BE57" s="502">
        <f>ROUND(AVERAGE(BE58:BE80),4)</f>
        <v>0.3523</v>
      </c>
      <c r="BF57" s="465"/>
      <c r="BG57" s="465"/>
      <c r="BH57" s="502">
        <f>ROUND(AVERAGE(BH58:BH80),4)</f>
        <v>0.42549999999999999</v>
      </c>
      <c r="BI57" s="465"/>
      <c r="BJ57" s="465"/>
      <c r="BK57" s="502">
        <f>ROUND(AVERAGE(BK58:BK80),4)</f>
        <v>0.43130000000000002</v>
      </c>
      <c r="BL57" s="465"/>
      <c r="BM57" s="465"/>
      <c r="BN57" s="502">
        <f>ROUND(AVERAGE(BN58:BN80),4)</f>
        <v>0.43640000000000001</v>
      </c>
      <c r="BO57" s="465"/>
      <c r="BP57" s="465"/>
      <c r="BQ57" s="502">
        <f>ROUND(AVERAGE(BQ58:BQ80),4)</f>
        <v>0.43740000000000001</v>
      </c>
      <c r="BR57" s="465"/>
      <c r="BS57" s="465"/>
      <c r="BT57" s="502">
        <f>ROUND(AVERAGE(BT58:BT80),4)</f>
        <v>0.4425</v>
      </c>
      <c r="BU57" s="465"/>
      <c r="BV57" s="465"/>
      <c r="BW57" s="502">
        <f>ROUND(AVERAGE(BW58:BW80),4)</f>
        <v>0.45269999999999999</v>
      </c>
      <c r="BX57" s="465"/>
      <c r="BY57" s="465"/>
      <c r="BZ57" s="502">
        <f>ROUND(AVERAGE(BZ58:BZ80),4)</f>
        <v>0.4829</v>
      </c>
      <c r="CA57" s="465"/>
      <c r="CB57" s="465"/>
      <c r="CC57" s="502">
        <f>ROUND(AVERAGE(CC58:CC80),4)</f>
        <v>0.51219999999999999</v>
      </c>
    </row>
    <row r="58" spans="1:82" ht="15.75">
      <c r="A58" s="470">
        <v>1</v>
      </c>
      <c r="B58" s="503">
        <v>2014</v>
      </c>
      <c r="C58" s="504" t="s">
        <v>846</v>
      </c>
      <c r="D58" s="468"/>
      <c r="E58" s="505">
        <v>2.8E-3</v>
      </c>
      <c r="F58" s="465"/>
      <c r="G58" s="506">
        <f>U$57/100</f>
        <v>1.6309999999999999E-3</v>
      </c>
      <c r="H58" s="465"/>
      <c r="I58" s="507">
        <f t="shared" ref="I58" si="1">E58</f>
        <v>2.8E-3</v>
      </c>
      <c r="J58" s="465"/>
      <c r="K58" s="507">
        <f t="shared" ref="K58" si="2">IF(E58&lt;G58,E58,G58)</f>
        <v>1.6309999999999999E-3</v>
      </c>
      <c r="L58" s="465"/>
      <c r="M58" s="471"/>
      <c r="T58" s="508">
        <v>41974</v>
      </c>
      <c r="U58" s="511">
        <v>0.15775</v>
      </c>
      <c r="V58" s="510"/>
      <c r="W58" s="508">
        <v>42005</v>
      </c>
      <c r="X58" s="509"/>
      <c r="Y58" s="510"/>
      <c r="Z58" s="508">
        <v>42037</v>
      </c>
      <c r="AA58" s="511">
        <v>0.16950000000000001</v>
      </c>
      <c r="AB58" s="510"/>
      <c r="AC58" s="508">
        <v>42065</v>
      </c>
      <c r="AD58" s="511">
        <v>0.17269999999999999</v>
      </c>
      <c r="AE58" s="510"/>
      <c r="AF58" s="508">
        <v>42095</v>
      </c>
      <c r="AG58" s="511">
        <v>0.17755000000000001</v>
      </c>
      <c r="AH58" s="510"/>
      <c r="AI58" s="508">
        <v>42125</v>
      </c>
      <c r="AJ58" s="511">
        <v>0.18225</v>
      </c>
      <c r="AK58" s="510"/>
      <c r="AL58" s="508">
        <v>42156</v>
      </c>
      <c r="AM58" s="511">
        <v>0.183</v>
      </c>
      <c r="AN58" s="510"/>
      <c r="AO58" s="508">
        <v>42186</v>
      </c>
      <c r="AP58" s="511">
        <v>0.185</v>
      </c>
      <c r="AQ58" s="510"/>
      <c r="AR58" s="508">
        <v>42219</v>
      </c>
      <c r="AS58" s="511">
        <v>0.1905</v>
      </c>
      <c r="AT58" s="510"/>
      <c r="AU58" s="508">
        <v>42248</v>
      </c>
      <c r="AV58" s="511">
        <v>0.20119999999999999</v>
      </c>
      <c r="AW58" s="510"/>
      <c r="AX58" s="508">
        <v>42278</v>
      </c>
      <c r="AY58" s="511">
        <v>0.19400000000000001</v>
      </c>
      <c r="AZ58" s="510"/>
      <c r="BA58" s="508">
        <v>42310</v>
      </c>
      <c r="BB58" s="511">
        <v>0.19</v>
      </c>
      <c r="BC58" s="510"/>
      <c r="BD58" s="508">
        <v>42339</v>
      </c>
      <c r="BE58" s="511">
        <v>0.24374999999999999</v>
      </c>
      <c r="BF58" s="510"/>
      <c r="BG58" s="508">
        <v>42370</v>
      </c>
      <c r="BH58" s="511"/>
      <c r="BI58" s="510"/>
      <c r="BJ58" s="508">
        <v>42401</v>
      </c>
      <c r="BK58" s="509">
        <v>0.42699999999999999</v>
      </c>
      <c r="BL58" s="510"/>
      <c r="BM58" s="508">
        <v>42430</v>
      </c>
      <c r="BN58" s="511">
        <v>0.43525000000000003</v>
      </c>
      <c r="BO58" s="510"/>
      <c r="BP58" s="508">
        <v>42461</v>
      </c>
      <c r="BQ58" s="511">
        <v>0.43735000000000002</v>
      </c>
      <c r="BR58" s="510"/>
      <c r="BS58" s="508">
        <v>42492</v>
      </c>
      <c r="BT58" s="511"/>
      <c r="BU58" s="510"/>
      <c r="BV58" s="508">
        <v>42522</v>
      </c>
      <c r="BW58" s="511">
        <v>0.46955000000000002</v>
      </c>
      <c r="BX58" s="510"/>
      <c r="BY58" s="508">
        <v>42552</v>
      </c>
      <c r="BZ58" s="511">
        <v>0.46755000000000002</v>
      </c>
      <c r="CA58" s="510"/>
      <c r="CB58" s="508">
        <v>42583</v>
      </c>
      <c r="CC58" s="511">
        <v>0.49390000000000001</v>
      </c>
    </row>
    <row r="59" spans="1:82" ht="15.75">
      <c r="A59" s="470">
        <f t="shared" ref="A59:A79" si="3">A58+1</f>
        <v>2</v>
      </c>
      <c r="B59" s="503">
        <v>2015</v>
      </c>
      <c r="C59" s="504" t="s">
        <v>836</v>
      </c>
      <c r="D59" s="546"/>
      <c r="E59" s="505">
        <v>2.8E-3</v>
      </c>
      <c r="F59" s="465"/>
      <c r="G59" s="506">
        <f>X$57/100</f>
        <v>1.681E-3</v>
      </c>
      <c r="H59" s="465"/>
      <c r="I59" s="507">
        <f t="shared" ref="I59:I78" si="4">E59</f>
        <v>2.8E-3</v>
      </c>
      <c r="J59" s="465"/>
      <c r="K59" s="507">
        <f t="shared" ref="K59:K78" si="5">IF(E59&lt;G59,E59,G59)</f>
        <v>1.681E-3</v>
      </c>
      <c r="L59" s="465"/>
      <c r="M59" s="471"/>
      <c r="T59" s="508">
        <v>41975</v>
      </c>
      <c r="U59" s="511">
        <v>0.15825</v>
      </c>
      <c r="V59" s="510"/>
      <c r="W59" s="508">
        <v>42006</v>
      </c>
      <c r="X59" s="511">
        <v>0.16750000000000001</v>
      </c>
      <c r="Y59" s="510"/>
      <c r="Z59" s="508">
        <v>42038</v>
      </c>
      <c r="AA59" s="511">
        <v>0.17100000000000001</v>
      </c>
      <c r="AB59" s="510"/>
      <c r="AC59" s="508">
        <v>42066</v>
      </c>
      <c r="AD59" s="511">
        <v>0.17299999999999999</v>
      </c>
      <c r="AE59" s="510"/>
      <c r="AF59" s="508">
        <v>42096</v>
      </c>
      <c r="AG59" s="511">
        <v>0.17974999999999999</v>
      </c>
      <c r="AH59" s="510"/>
      <c r="AI59" s="508">
        <v>42128</v>
      </c>
      <c r="AJ59" s="511"/>
      <c r="AK59" s="510"/>
      <c r="AL59" s="508">
        <v>42157</v>
      </c>
      <c r="AM59" s="511">
        <v>0.18479999999999999</v>
      </c>
      <c r="AN59" s="510"/>
      <c r="AO59" s="508">
        <v>42187</v>
      </c>
      <c r="AP59" s="511">
        <v>0.18815000000000001</v>
      </c>
      <c r="AQ59" s="510"/>
      <c r="AR59" s="508">
        <v>42220</v>
      </c>
      <c r="AS59" s="511">
        <v>0.19075</v>
      </c>
      <c r="AT59" s="510"/>
      <c r="AU59" s="508">
        <v>42249</v>
      </c>
      <c r="AV59" s="511">
        <v>0.20280000000000001</v>
      </c>
      <c r="AW59" s="510"/>
      <c r="AX59" s="508">
        <v>42279</v>
      </c>
      <c r="AY59" s="511">
        <v>0.19470000000000001</v>
      </c>
      <c r="AZ59" s="510"/>
      <c r="BA59" s="508">
        <v>42311</v>
      </c>
      <c r="BB59" s="511">
        <v>0.19220000000000001</v>
      </c>
      <c r="BC59" s="510"/>
      <c r="BD59" s="508">
        <v>42340</v>
      </c>
      <c r="BE59" s="511">
        <v>0.251</v>
      </c>
      <c r="BF59" s="510"/>
      <c r="BG59" s="508">
        <v>42373</v>
      </c>
      <c r="BH59" s="511">
        <v>0.42249999999999999</v>
      </c>
      <c r="BI59" s="510"/>
      <c r="BJ59" s="508">
        <v>42402</v>
      </c>
      <c r="BK59" s="511">
        <v>0.42849999999999999</v>
      </c>
      <c r="BL59" s="510"/>
      <c r="BM59" s="508">
        <v>42431</v>
      </c>
      <c r="BN59" s="511">
        <v>0.43759999999999999</v>
      </c>
      <c r="BO59" s="510"/>
      <c r="BP59" s="508">
        <v>42464</v>
      </c>
      <c r="BQ59" s="511">
        <v>0.44019999999999998</v>
      </c>
      <c r="BR59" s="510"/>
      <c r="BS59" s="508">
        <v>42493</v>
      </c>
      <c r="BT59" s="511">
        <v>0.43590000000000001</v>
      </c>
      <c r="BU59" s="510"/>
      <c r="BV59" s="508">
        <v>42523</v>
      </c>
      <c r="BW59" s="511">
        <v>0.46305000000000002</v>
      </c>
      <c r="BX59" s="510"/>
      <c r="BY59" s="508">
        <v>42555</v>
      </c>
      <c r="BZ59" s="511">
        <v>0.46955000000000002</v>
      </c>
      <c r="CA59" s="510"/>
      <c r="CB59" s="508">
        <v>42584</v>
      </c>
      <c r="CC59" s="511">
        <v>0.49390000000000001</v>
      </c>
    </row>
    <row r="60" spans="1:82" ht="15.75">
      <c r="A60" s="470">
        <f t="shared" si="3"/>
        <v>3</v>
      </c>
      <c r="B60" s="546"/>
      <c r="C60" s="504" t="s">
        <v>837</v>
      </c>
      <c r="D60" s="546"/>
      <c r="E60" s="505">
        <v>2.5000000000000001E-3</v>
      </c>
      <c r="F60" s="465"/>
      <c r="G60" s="506">
        <f>AA$57/100</f>
        <v>1.7210000000000001E-3</v>
      </c>
      <c r="H60" s="465"/>
      <c r="I60" s="507">
        <f t="shared" si="4"/>
        <v>2.5000000000000001E-3</v>
      </c>
      <c r="J60" s="465"/>
      <c r="K60" s="507">
        <f t="shared" si="5"/>
        <v>1.7210000000000001E-3</v>
      </c>
      <c r="L60" s="465"/>
      <c r="M60" s="471"/>
      <c r="T60" s="508">
        <v>41976</v>
      </c>
      <c r="U60" s="511">
        <v>0.157</v>
      </c>
      <c r="V60" s="510"/>
      <c r="W60" s="508">
        <v>42009</v>
      </c>
      <c r="X60" s="511">
        <v>0.16800000000000001</v>
      </c>
      <c r="Y60" s="510"/>
      <c r="Z60" s="508">
        <v>42039</v>
      </c>
      <c r="AA60" s="511">
        <v>0.17349999999999999</v>
      </c>
      <c r="AB60" s="510"/>
      <c r="AC60" s="508">
        <v>42067</v>
      </c>
      <c r="AD60" s="511">
        <v>0.17499999999999999</v>
      </c>
      <c r="AE60" s="510"/>
      <c r="AF60" s="508">
        <v>42097</v>
      </c>
      <c r="AG60" s="511"/>
      <c r="AH60" s="510"/>
      <c r="AI60" s="508">
        <v>42129</v>
      </c>
      <c r="AJ60" s="511">
        <v>0.18049999999999999</v>
      </c>
      <c r="AK60" s="510"/>
      <c r="AL60" s="508">
        <v>42158</v>
      </c>
      <c r="AM60" s="509">
        <v>0.185</v>
      </c>
      <c r="AN60" s="510"/>
      <c r="AO60" s="508">
        <v>42188</v>
      </c>
      <c r="AP60" s="511">
        <v>0.18840000000000001</v>
      </c>
      <c r="AQ60" s="510"/>
      <c r="AR60" s="508">
        <v>42221</v>
      </c>
      <c r="AS60" s="511">
        <v>0.19350000000000001</v>
      </c>
      <c r="AT60" s="510"/>
      <c r="AU60" s="508">
        <v>42250</v>
      </c>
      <c r="AV60" s="511">
        <v>0.20430000000000001</v>
      </c>
      <c r="AW60" s="510"/>
      <c r="AX60" s="508">
        <v>42282</v>
      </c>
      <c r="AY60" s="511">
        <v>0.19375000000000001</v>
      </c>
      <c r="AZ60" s="510"/>
      <c r="BA60" s="508">
        <v>42312</v>
      </c>
      <c r="BB60" s="511">
        <v>0.19320000000000001</v>
      </c>
      <c r="BC60" s="510"/>
      <c r="BD60" s="508">
        <v>42341</v>
      </c>
      <c r="BE60" s="511">
        <v>0.26860000000000001</v>
      </c>
      <c r="BF60" s="510"/>
      <c r="BG60" s="508">
        <v>42374</v>
      </c>
      <c r="BH60" s="511">
        <v>0.42199999999999999</v>
      </c>
      <c r="BI60" s="510"/>
      <c r="BJ60" s="508">
        <v>42403</v>
      </c>
      <c r="BK60" s="511">
        <v>0.42849999999999999</v>
      </c>
      <c r="BL60" s="510"/>
      <c r="BM60" s="508">
        <v>42432</v>
      </c>
      <c r="BN60" s="511">
        <v>0.4405</v>
      </c>
      <c r="BO60" s="510"/>
      <c r="BP60" s="508">
        <v>42465</v>
      </c>
      <c r="BQ60" s="511">
        <v>0.4385</v>
      </c>
      <c r="BR60" s="510"/>
      <c r="BS60" s="508">
        <v>42494</v>
      </c>
      <c r="BT60" s="511">
        <v>0.43590000000000001</v>
      </c>
      <c r="BU60" s="510"/>
      <c r="BV60" s="508">
        <v>42524</v>
      </c>
      <c r="BW60" s="511">
        <v>0.46479999999999999</v>
      </c>
      <c r="BX60" s="510"/>
      <c r="BY60" s="508">
        <v>42556</v>
      </c>
      <c r="BZ60" s="511">
        <v>0.4703</v>
      </c>
      <c r="CA60" s="510"/>
      <c r="CB60" s="508">
        <v>42585</v>
      </c>
      <c r="CC60" s="511">
        <v>0.49690000000000001</v>
      </c>
    </row>
    <row r="61" spans="1:82" ht="15.75">
      <c r="A61" s="470">
        <f t="shared" si="3"/>
        <v>4</v>
      </c>
      <c r="B61" s="546"/>
      <c r="C61" s="504" t="s">
        <v>838</v>
      </c>
      <c r="D61" s="546"/>
      <c r="E61" s="505">
        <v>2.8E-3</v>
      </c>
      <c r="F61" s="465"/>
      <c r="G61" s="506">
        <f>AD$57/100</f>
        <v>1.756E-3</v>
      </c>
      <c r="H61" s="465"/>
      <c r="I61" s="507">
        <f t="shared" si="4"/>
        <v>2.8E-3</v>
      </c>
      <c r="J61" s="465"/>
      <c r="K61" s="507">
        <f t="shared" si="5"/>
        <v>1.756E-3</v>
      </c>
      <c r="L61" s="465"/>
      <c r="M61" s="471"/>
      <c r="T61" s="508">
        <v>41977</v>
      </c>
      <c r="U61" s="511">
        <v>0.15720000000000001</v>
      </c>
      <c r="V61" s="510"/>
      <c r="W61" s="508">
        <v>42010</v>
      </c>
      <c r="X61" s="511">
        <v>0.16775000000000001</v>
      </c>
      <c r="Y61" s="510"/>
      <c r="Z61" s="508">
        <v>42040</v>
      </c>
      <c r="AA61" s="511">
        <v>0.17100000000000001</v>
      </c>
      <c r="AB61" s="510"/>
      <c r="AC61" s="508">
        <v>42068</v>
      </c>
      <c r="AD61" s="511">
        <v>0.17499999999999999</v>
      </c>
      <c r="AE61" s="510"/>
      <c r="AF61" s="508">
        <v>42100</v>
      </c>
      <c r="AG61" s="511"/>
      <c r="AH61" s="510"/>
      <c r="AI61" s="508">
        <v>42130</v>
      </c>
      <c r="AJ61" s="511">
        <v>0.18024999999999999</v>
      </c>
      <c r="AK61" s="510"/>
      <c r="AL61" s="508">
        <v>42159</v>
      </c>
      <c r="AM61" s="511">
        <v>0.18404999999999999</v>
      </c>
      <c r="AN61" s="510"/>
      <c r="AO61" s="508">
        <v>42191</v>
      </c>
      <c r="AP61" s="511">
        <v>0.1865</v>
      </c>
      <c r="AQ61" s="510"/>
      <c r="AR61" s="508">
        <v>42222</v>
      </c>
      <c r="AS61" s="511">
        <v>0.1915</v>
      </c>
      <c r="AT61" s="510"/>
      <c r="AU61" s="508">
        <v>42251</v>
      </c>
      <c r="AV61" s="511">
        <v>0.19925000000000001</v>
      </c>
      <c r="AW61" s="510"/>
      <c r="AX61" s="508">
        <v>42283</v>
      </c>
      <c r="AY61" s="511">
        <v>0.19409999999999999</v>
      </c>
      <c r="AZ61" s="510"/>
      <c r="BA61" s="508">
        <v>42313</v>
      </c>
      <c r="BB61" s="511">
        <v>0.19475000000000001</v>
      </c>
      <c r="BC61" s="510"/>
      <c r="BD61" s="508">
        <v>42342</v>
      </c>
      <c r="BE61" s="511">
        <v>0.27550000000000002</v>
      </c>
      <c r="BF61" s="510"/>
      <c r="BG61" s="508">
        <v>42375</v>
      </c>
      <c r="BH61" s="511">
        <v>0.42349999999999999</v>
      </c>
      <c r="BI61" s="510"/>
      <c r="BJ61" s="508">
        <v>42404</v>
      </c>
      <c r="BK61" s="511">
        <v>0.42770000000000002</v>
      </c>
      <c r="BL61" s="510"/>
      <c r="BM61" s="508">
        <v>42433</v>
      </c>
      <c r="BN61" s="511">
        <v>0.438</v>
      </c>
      <c r="BO61" s="510"/>
      <c r="BP61" s="508">
        <v>42466</v>
      </c>
      <c r="BQ61" s="511">
        <v>0.439</v>
      </c>
      <c r="BR61" s="510"/>
      <c r="BS61" s="508">
        <v>42495</v>
      </c>
      <c r="BT61" s="511">
        <v>0.43714999999999998</v>
      </c>
      <c r="BU61" s="510"/>
      <c r="BV61" s="508">
        <v>42527</v>
      </c>
      <c r="BW61" s="511">
        <v>0.44705</v>
      </c>
      <c r="BX61" s="510"/>
      <c r="BY61" s="508">
        <v>42557</v>
      </c>
      <c r="BZ61" s="511">
        <v>0.47255000000000003</v>
      </c>
      <c r="CA61" s="510"/>
      <c r="CB61" s="508">
        <v>42586</v>
      </c>
      <c r="CC61" s="511">
        <v>0.49840000000000001</v>
      </c>
    </row>
    <row r="62" spans="1:82" ht="15.75">
      <c r="A62" s="470">
        <f t="shared" si="3"/>
        <v>5</v>
      </c>
      <c r="B62" s="546"/>
      <c r="C62" s="504" t="s">
        <v>839</v>
      </c>
      <c r="D62" s="546"/>
      <c r="E62" s="505">
        <v>2.7000000000000001E-3</v>
      </c>
      <c r="F62" s="465"/>
      <c r="G62" s="506">
        <f>AG$57/100</f>
        <v>1.8079999999999999E-3</v>
      </c>
      <c r="H62" s="465"/>
      <c r="I62" s="507">
        <f t="shared" si="4"/>
        <v>2.7000000000000001E-3</v>
      </c>
      <c r="J62" s="465"/>
      <c r="K62" s="507">
        <f t="shared" si="5"/>
        <v>1.8079999999999999E-3</v>
      </c>
      <c r="L62" s="465"/>
      <c r="M62" s="471"/>
      <c r="T62" s="508">
        <v>41978</v>
      </c>
      <c r="U62" s="511">
        <v>0.158</v>
      </c>
      <c r="V62" s="510"/>
      <c r="W62" s="508">
        <v>42011</v>
      </c>
      <c r="X62" s="511">
        <v>0.16650000000000001</v>
      </c>
      <c r="Y62" s="510"/>
      <c r="Z62" s="508">
        <v>42041</v>
      </c>
      <c r="AA62" s="511">
        <v>0.17150000000000001</v>
      </c>
      <c r="AB62" s="510"/>
      <c r="AC62" s="508">
        <v>42069</v>
      </c>
      <c r="AD62" s="511">
        <v>0.17499999999999999</v>
      </c>
      <c r="AE62" s="510"/>
      <c r="AF62" s="508">
        <v>42101</v>
      </c>
      <c r="AG62" s="511">
        <v>0.18015</v>
      </c>
      <c r="AH62" s="510"/>
      <c r="AI62" s="508">
        <v>42131</v>
      </c>
      <c r="AJ62" s="511">
        <v>0.18149999999999999</v>
      </c>
      <c r="AK62" s="510"/>
      <c r="AL62" s="508">
        <v>42160</v>
      </c>
      <c r="AM62" s="511">
        <v>0.183</v>
      </c>
      <c r="AN62" s="510"/>
      <c r="AO62" s="508">
        <v>42192</v>
      </c>
      <c r="AP62" s="511">
        <v>0.1895</v>
      </c>
      <c r="AQ62" s="510"/>
      <c r="AR62" s="508">
        <v>42223</v>
      </c>
      <c r="AS62" s="511">
        <v>0.19125</v>
      </c>
      <c r="AT62" s="510"/>
      <c r="AU62" s="508">
        <v>42254</v>
      </c>
      <c r="AV62" s="511">
        <v>0.20269999999999999</v>
      </c>
      <c r="AW62" s="510"/>
      <c r="AX62" s="508">
        <v>42284</v>
      </c>
      <c r="AY62" s="511">
        <v>0.19605</v>
      </c>
      <c r="AZ62" s="510"/>
      <c r="BA62" s="508">
        <v>42314</v>
      </c>
      <c r="BB62" s="511">
        <v>0.19450000000000001</v>
      </c>
      <c r="BC62" s="510"/>
      <c r="BD62" s="508">
        <v>42345</v>
      </c>
      <c r="BE62" s="511">
        <v>0.28699999999999998</v>
      </c>
      <c r="BF62" s="510"/>
      <c r="BG62" s="508">
        <v>42376</v>
      </c>
      <c r="BH62" s="511">
        <v>0.42349999999999999</v>
      </c>
      <c r="BI62" s="510"/>
      <c r="BJ62" s="508">
        <v>42405</v>
      </c>
      <c r="BK62" s="511">
        <v>0.4289</v>
      </c>
      <c r="BL62" s="510"/>
      <c r="BM62" s="508">
        <v>42436</v>
      </c>
      <c r="BN62" s="511">
        <v>0.4405</v>
      </c>
      <c r="BO62" s="510"/>
      <c r="BP62" s="508">
        <v>42467</v>
      </c>
      <c r="BQ62" s="511">
        <v>0.43645</v>
      </c>
      <c r="BR62" s="510"/>
      <c r="BS62" s="508">
        <v>42496</v>
      </c>
      <c r="BT62" s="511"/>
      <c r="BU62" s="510"/>
      <c r="BV62" s="508">
        <v>42528</v>
      </c>
      <c r="BW62" s="511">
        <v>0.44579999999999997</v>
      </c>
      <c r="BX62" s="510"/>
      <c r="BY62" s="508">
        <v>42558</v>
      </c>
      <c r="BZ62" s="511">
        <v>0.4743</v>
      </c>
      <c r="CA62" s="510"/>
      <c r="CB62" s="508">
        <v>42587</v>
      </c>
      <c r="CC62" s="511">
        <v>0.50390000000000001</v>
      </c>
    </row>
    <row r="63" spans="1:82" ht="15.75">
      <c r="A63" s="470">
        <f t="shared" si="3"/>
        <v>6</v>
      </c>
      <c r="B63" s="503"/>
      <c r="C63" s="504" t="s">
        <v>507</v>
      </c>
      <c r="D63" s="546"/>
      <c r="E63" s="505">
        <v>2.8E-3</v>
      </c>
      <c r="F63" s="465"/>
      <c r="G63" s="506">
        <f>AJ$57/100</f>
        <v>1.8420000000000001E-3</v>
      </c>
      <c r="H63" s="465"/>
      <c r="I63" s="507">
        <f t="shared" si="4"/>
        <v>2.8E-3</v>
      </c>
      <c r="J63" s="465"/>
      <c r="K63" s="507">
        <f t="shared" si="5"/>
        <v>1.8420000000000001E-3</v>
      </c>
      <c r="L63" s="465"/>
      <c r="M63" s="471"/>
      <c r="T63" s="508">
        <v>41981</v>
      </c>
      <c r="U63" s="511">
        <v>0.16170000000000001</v>
      </c>
      <c r="V63" s="510"/>
      <c r="W63" s="508">
        <v>42012</v>
      </c>
      <c r="X63" s="511">
        <v>0.16625000000000001</v>
      </c>
      <c r="Y63" s="510"/>
      <c r="Z63" s="508">
        <v>42044</v>
      </c>
      <c r="AA63" s="511">
        <v>0.17219999999999999</v>
      </c>
      <c r="AB63" s="510"/>
      <c r="AC63" s="508">
        <v>42072</v>
      </c>
      <c r="AD63" s="511">
        <v>0.17649999999999999</v>
      </c>
      <c r="AE63" s="510"/>
      <c r="AF63" s="508">
        <v>42102</v>
      </c>
      <c r="AG63" s="511">
        <v>0.18095</v>
      </c>
      <c r="AH63" s="510"/>
      <c r="AI63" s="508">
        <v>42132</v>
      </c>
      <c r="AJ63" s="511">
        <v>0.18475</v>
      </c>
      <c r="AK63" s="510"/>
      <c r="AL63" s="508">
        <v>42163</v>
      </c>
      <c r="AM63" s="511">
        <v>0.18540000000000001</v>
      </c>
      <c r="AN63" s="510"/>
      <c r="AO63" s="508">
        <v>42193</v>
      </c>
      <c r="AP63" s="511">
        <v>0.1885</v>
      </c>
      <c r="AQ63" s="510"/>
      <c r="AR63" s="508">
        <v>42226</v>
      </c>
      <c r="AS63" s="511">
        <v>0.19255</v>
      </c>
      <c r="AT63" s="510"/>
      <c r="AU63" s="508">
        <v>42255</v>
      </c>
      <c r="AV63" s="511">
        <v>0.20300000000000001</v>
      </c>
      <c r="AW63" s="510"/>
      <c r="AX63" s="508">
        <v>42285</v>
      </c>
      <c r="AY63" s="511">
        <v>0.19545000000000001</v>
      </c>
      <c r="AZ63" s="510"/>
      <c r="BA63" s="508">
        <v>42317</v>
      </c>
      <c r="BB63" s="511">
        <v>0.19700000000000001</v>
      </c>
      <c r="BC63" s="510"/>
      <c r="BD63" s="508">
        <v>42346</v>
      </c>
      <c r="BE63" s="511">
        <v>0.29310000000000003</v>
      </c>
      <c r="BF63" s="510"/>
      <c r="BG63" s="508">
        <v>42377</v>
      </c>
      <c r="BH63" s="511">
        <v>0.42380000000000001</v>
      </c>
      <c r="BI63" s="510"/>
      <c r="BJ63" s="508">
        <v>42408</v>
      </c>
      <c r="BK63" s="511">
        <v>0.42925000000000002</v>
      </c>
      <c r="BL63" s="510"/>
      <c r="BM63" s="508">
        <v>42437</v>
      </c>
      <c r="BN63" s="511">
        <v>0.44185000000000002</v>
      </c>
      <c r="BO63" s="510"/>
      <c r="BP63" s="508">
        <v>42468</v>
      </c>
      <c r="BQ63" s="511">
        <v>0.43469999999999998</v>
      </c>
      <c r="BR63" s="510"/>
      <c r="BS63" s="508">
        <v>42499</v>
      </c>
      <c r="BT63" s="511">
        <v>0.43864999999999998</v>
      </c>
      <c r="BU63" s="510"/>
      <c r="BV63" s="508">
        <v>42529</v>
      </c>
      <c r="BW63" s="511">
        <v>0.44529999999999997</v>
      </c>
      <c r="BX63" s="510"/>
      <c r="BY63" s="508">
        <v>42559</v>
      </c>
      <c r="BZ63" s="511">
        <v>0.4758</v>
      </c>
      <c r="CA63" s="510"/>
      <c r="CB63" s="508">
        <v>42590</v>
      </c>
      <c r="CC63" s="511">
        <v>0.51190000000000002</v>
      </c>
    </row>
    <row r="64" spans="1:82" ht="15.75">
      <c r="A64" s="470">
        <f t="shared" si="3"/>
        <v>7</v>
      </c>
      <c r="B64" s="546"/>
      <c r="C64" s="504" t="s">
        <v>840</v>
      </c>
      <c r="D64" s="546"/>
      <c r="E64" s="505">
        <v>2.7000000000000001E-3</v>
      </c>
      <c r="F64" s="465"/>
      <c r="G64" s="506">
        <f>AM$57/100</f>
        <v>1.8590000000000002E-3</v>
      </c>
      <c r="H64" s="465"/>
      <c r="I64" s="507">
        <f t="shared" si="4"/>
        <v>2.7000000000000001E-3</v>
      </c>
      <c r="J64" s="465"/>
      <c r="K64" s="507">
        <f t="shared" si="5"/>
        <v>1.8590000000000002E-3</v>
      </c>
      <c r="L64" s="465"/>
      <c r="M64" s="471"/>
      <c r="T64" s="508">
        <v>41982</v>
      </c>
      <c r="U64" s="511">
        <v>0.1585</v>
      </c>
      <c r="V64" s="510"/>
      <c r="W64" s="508">
        <v>42013</v>
      </c>
      <c r="X64" s="511">
        <v>0.16675000000000001</v>
      </c>
      <c r="Y64" s="510"/>
      <c r="Z64" s="508">
        <v>42045</v>
      </c>
      <c r="AA64" s="511">
        <v>0.17169999999999999</v>
      </c>
      <c r="AB64" s="510"/>
      <c r="AC64" s="508">
        <v>42073</v>
      </c>
      <c r="AD64" s="511">
        <v>0.1779</v>
      </c>
      <c r="AE64" s="510"/>
      <c r="AF64" s="508">
        <v>42103</v>
      </c>
      <c r="AG64" s="511">
        <v>0.18</v>
      </c>
      <c r="AH64" s="510"/>
      <c r="AI64" s="508">
        <v>42135</v>
      </c>
      <c r="AJ64" s="511">
        <v>0.18559999999999999</v>
      </c>
      <c r="AK64" s="510"/>
      <c r="AL64" s="508">
        <v>42164</v>
      </c>
      <c r="AM64" s="511">
        <v>0.1875</v>
      </c>
      <c r="AN64" s="510"/>
      <c r="AO64" s="508">
        <v>42194</v>
      </c>
      <c r="AP64" s="511">
        <v>0.1867</v>
      </c>
      <c r="AQ64" s="510"/>
      <c r="AR64" s="508">
        <v>42227</v>
      </c>
      <c r="AS64" s="511">
        <v>0.19345000000000001</v>
      </c>
      <c r="AT64" s="510"/>
      <c r="AU64" s="508">
        <v>42256</v>
      </c>
      <c r="AV64" s="511">
        <v>0.20399999999999999</v>
      </c>
      <c r="AW64" s="510"/>
      <c r="AX64" s="508">
        <v>42286</v>
      </c>
      <c r="AY64" s="511">
        <v>0.19685</v>
      </c>
      <c r="AZ64" s="510"/>
      <c r="BA64" s="508">
        <v>42318</v>
      </c>
      <c r="BB64" s="511">
        <v>0.19550000000000001</v>
      </c>
      <c r="BC64" s="510"/>
      <c r="BD64" s="508">
        <v>42347</v>
      </c>
      <c r="BE64" s="511">
        <v>0.30049999999999999</v>
      </c>
      <c r="BF64" s="510"/>
      <c r="BG64" s="508">
        <v>42380</v>
      </c>
      <c r="BH64" s="511">
        <v>0.42399999999999999</v>
      </c>
      <c r="BI64" s="510"/>
      <c r="BJ64" s="508">
        <v>42409</v>
      </c>
      <c r="BK64" s="511">
        <v>0.42849999999999999</v>
      </c>
      <c r="BL64" s="510"/>
      <c r="BM64" s="508">
        <v>42438</v>
      </c>
      <c r="BN64" s="511">
        <v>0.438</v>
      </c>
      <c r="BO64" s="510"/>
      <c r="BP64" s="508">
        <v>42471</v>
      </c>
      <c r="BQ64" s="511">
        <v>0.43590000000000001</v>
      </c>
      <c r="BR64" s="510"/>
      <c r="BS64" s="508">
        <v>42500</v>
      </c>
      <c r="BT64" s="511">
        <v>0.43730000000000002</v>
      </c>
      <c r="BU64" s="510"/>
      <c r="BV64" s="508">
        <v>42530</v>
      </c>
      <c r="BW64" s="511">
        <v>0.44705</v>
      </c>
      <c r="BX64" s="510"/>
      <c r="BY64" s="508">
        <v>42562</v>
      </c>
      <c r="BZ64" s="511">
        <v>0.47785</v>
      </c>
      <c r="CA64" s="510"/>
      <c r="CB64" s="508">
        <v>42591</v>
      </c>
      <c r="CC64" s="511">
        <v>0.51315</v>
      </c>
    </row>
    <row r="65" spans="1:81" ht="15.75">
      <c r="A65" s="470">
        <f t="shared" si="3"/>
        <v>8</v>
      </c>
      <c r="B65" s="546"/>
      <c r="C65" s="504" t="s">
        <v>841</v>
      </c>
      <c r="D65" s="546"/>
      <c r="E65" s="505">
        <v>2.8E-3</v>
      </c>
      <c r="F65" s="465"/>
      <c r="G65" s="506">
        <f>AP$57/100</f>
        <v>1.882E-3</v>
      </c>
      <c r="H65" s="465"/>
      <c r="I65" s="507">
        <f t="shared" si="4"/>
        <v>2.8E-3</v>
      </c>
      <c r="J65" s="465"/>
      <c r="K65" s="507">
        <f t="shared" si="5"/>
        <v>1.882E-3</v>
      </c>
      <c r="L65" s="465"/>
      <c r="M65" s="471"/>
      <c r="T65" s="508">
        <v>41983</v>
      </c>
      <c r="U65" s="511">
        <v>0.1608</v>
      </c>
      <c r="V65" s="510"/>
      <c r="W65" s="508">
        <v>42016</v>
      </c>
      <c r="X65" s="511">
        <v>0.16650000000000001</v>
      </c>
      <c r="Y65" s="510"/>
      <c r="Z65" s="508">
        <v>42046</v>
      </c>
      <c r="AA65" s="511">
        <v>0.17169999999999999</v>
      </c>
      <c r="AB65" s="510"/>
      <c r="AC65" s="508">
        <v>42074</v>
      </c>
      <c r="AD65" s="511">
        <v>0.17599999999999999</v>
      </c>
      <c r="AE65" s="510"/>
      <c r="AF65" s="508">
        <v>42104</v>
      </c>
      <c r="AG65" s="511">
        <v>0.17849999999999999</v>
      </c>
      <c r="AH65" s="510"/>
      <c r="AI65" s="508">
        <v>42136</v>
      </c>
      <c r="AJ65" s="511">
        <v>0.18559999999999999</v>
      </c>
      <c r="AK65" s="510"/>
      <c r="AL65" s="508">
        <v>42165</v>
      </c>
      <c r="AM65" s="511">
        <v>0.18875</v>
      </c>
      <c r="AN65" s="510"/>
      <c r="AO65" s="508">
        <v>42195</v>
      </c>
      <c r="AP65" s="511">
        <v>0.186</v>
      </c>
      <c r="AQ65" s="510"/>
      <c r="AR65" s="508">
        <v>42228</v>
      </c>
      <c r="AS65" s="511">
        <v>0.19400000000000001</v>
      </c>
      <c r="AT65" s="510"/>
      <c r="AU65" s="508">
        <v>42257</v>
      </c>
      <c r="AV65" s="511">
        <v>0.20635000000000001</v>
      </c>
      <c r="AW65" s="510"/>
      <c r="AX65" s="508">
        <v>42289</v>
      </c>
      <c r="AY65" s="511">
        <v>0.19325000000000001</v>
      </c>
      <c r="AZ65" s="510"/>
      <c r="BA65" s="508">
        <v>42319</v>
      </c>
      <c r="BB65" s="511">
        <v>0.19575000000000001</v>
      </c>
      <c r="BC65" s="510"/>
      <c r="BD65" s="508">
        <v>42348</v>
      </c>
      <c r="BE65" s="511">
        <v>0.317</v>
      </c>
      <c r="BF65" s="510"/>
      <c r="BG65" s="508">
        <v>42381</v>
      </c>
      <c r="BH65" s="511">
        <v>0.42449999999999999</v>
      </c>
      <c r="BI65" s="510"/>
      <c r="BJ65" s="508">
        <v>42410</v>
      </c>
      <c r="BK65" s="511">
        <v>0.42649999999999999</v>
      </c>
      <c r="BL65" s="510"/>
      <c r="BM65" s="508">
        <v>42439</v>
      </c>
      <c r="BN65" s="511">
        <v>0.43809999999999999</v>
      </c>
      <c r="BO65" s="510"/>
      <c r="BP65" s="508">
        <v>42472</v>
      </c>
      <c r="BQ65" s="511">
        <v>0.43714999999999998</v>
      </c>
      <c r="BR65" s="510"/>
      <c r="BS65" s="508">
        <v>42501</v>
      </c>
      <c r="BT65" s="511">
        <v>0.43464999999999998</v>
      </c>
      <c r="BU65" s="510"/>
      <c r="BV65" s="508">
        <v>42531</v>
      </c>
      <c r="BW65" s="511">
        <v>0.44655</v>
      </c>
      <c r="BX65" s="510"/>
      <c r="BY65" s="508">
        <v>42563</v>
      </c>
      <c r="BZ65" s="511">
        <v>0.47935</v>
      </c>
      <c r="CA65" s="510"/>
      <c r="CB65" s="508">
        <v>42592</v>
      </c>
      <c r="CC65" s="511">
        <v>0.51765000000000005</v>
      </c>
    </row>
    <row r="66" spans="1:81" ht="15.75">
      <c r="A66" s="470">
        <f t="shared" si="3"/>
        <v>9</v>
      </c>
      <c r="B66" s="546"/>
      <c r="C66" s="504" t="s">
        <v>842</v>
      </c>
      <c r="D66" s="546"/>
      <c r="E66" s="505">
        <v>2.8E-3</v>
      </c>
      <c r="F66" s="465"/>
      <c r="G66" s="506">
        <f>AS$57/100</f>
        <v>1.967E-3</v>
      </c>
      <c r="H66" s="465"/>
      <c r="I66" s="507">
        <f t="shared" si="4"/>
        <v>2.8E-3</v>
      </c>
      <c r="J66" s="465"/>
      <c r="K66" s="507">
        <f t="shared" si="5"/>
        <v>1.967E-3</v>
      </c>
      <c r="L66" s="465"/>
      <c r="M66" s="471"/>
      <c r="T66" s="508">
        <v>41984</v>
      </c>
      <c r="U66" s="511">
        <v>0.1608</v>
      </c>
      <c r="V66" s="510"/>
      <c r="W66" s="508">
        <v>42017</v>
      </c>
      <c r="X66" s="511">
        <v>0.16650000000000001</v>
      </c>
      <c r="Y66" s="510"/>
      <c r="Z66" s="508">
        <v>42047</v>
      </c>
      <c r="AA66" s="511">
        <v>0.17199999999999999</v>
      </c>
      <c r="AB66" s="510"/>
      <c r="AC66" s="508">
        <v>42075</v>
      </c>
      <c r="AD66" s="511">
        <v>0.17449999999999999</v>
      </c>
      <c r="AE66" s="510"/>
      <c r="AF66" s="508">
        <v>42107</v>
      </c>
      <c r="AG66" s="511">
        <v>0.18149999999999999</v>
      </c>
      <c r="AH66" s="510"/>
      <c r="AI66" s="508">
        <v>42137</v>
      </c>
      <c r="AJ66" s="511">
        <v>0.18559999999999999</v>
      </c>
      <c r="AK66" s="510"/>
      <c r="AL66" s="508">
        <v>42166</v>
      </c>
      <c r="AM66" s="511">
        <v>0.1855</v>
      </c>
      <c r="AN66" s="510"/>
      <c r="AO66" s="508">
        <v>42198</v>
      </c>
      <c r="AP66" s="511">
        <v>0.18729999999999999</v>
      </c>
      <c r="AQ66" s="510"/>
      <c r="AR66" s="508">
        <v>42229</v>
      </c>
      <c r="AS66" s="511">
        <v>0.1976</v>
      </c>
      <c r="AT66" s="510"/>
      <c r="AU66" s="508">
        <v>42258</v>
      </c>
      <c r="AV66" s="511">
        <v>0.20655000000000001</v>
      </c>
      <c r="AW66" s="510"/>
      <c r="AX66" s="508">
        <v>42290</v>
      </c>
      <c r="AY66" s="511">
        <v>0.19575000000000001</v>
      </c>
      <c r="AZ66" s="510"/>
      <c r="BA66" s="508">
        <v>42320</v>
      </c>
      <c r="BB66" s="511">
        <v>0.19700000000000001</v>
      </c>
      <c r="BC66" s="510"/>
      <c r="BD66" s="508">
        <v>42349</v>
      </c>
      <c r="BE66" s="511">
        <v>0.33050000000000002</v>
      </c>
      <c r="BF66" s="510"/>
      <c r="BG66" s="508">
        <v>42382</v>
      </c>
      <c r="BH66" s="511">
        <v>0.42549999999999999</v>
      </c>
      <c r="BI66" s="510"/>
      <c r="BJ66" s="508">
        <v>42411</v>
      </c>
      <c r="BK66" s="511">
        <v>0.42699999999999999</v>
      </c>
      <c r="BL66" s="510"/>
      <c r="BM66" s="508">
        <v>42440</v>
      </c>
      <c r="BN66" s="511">
        <v>0.43619999999999998</v>
      </c>
      <c r="BO66" s="510"/>
      <c r="BP66" s="508">
        <v>42473</v>
      </c>
      <c r="BQ66" s="511">
        <v>0.43275000000000002</v>
      </c>
      <c r="BR66" s="510"/>
      <c r="BS66" s="508">
        <v>42502</v>
      </c>
      <c r="BT66" s="511">
        <v>0.43445</v>
      </c>
      <c r="BU66" s="510"/>
      <c r="BV66" s="508">
        <v>42534</v>
      </c>
      <c r="BW66" s="511">
        <v>0.44205</v>
      </c>
      <c r="BX66" s="510"/>
      <c r="BY66" s="508">
        <v>42564</v>
      </c>
      <c r="BZ66" s="511">
        <v>0.48135</v>
      </c>
      <c r="CA66" s="510"/>
      <c r="CB66" s="508">
        <v>42593</v>
      </c>
      <c r="CC66" s="511">
        <v>0.50765000000000005</v>
      </c>
    </row>
    <row r="67" spans="1:81" ht="15.75">
      <c r="A67" s="470">
        <f t="shared" si="3"/>
        <v>10</v>
      </c>
      <c r="B67" s="546"/>
      <c r="C67" s="504" t="s">
        <v>843</v>
      </c>
      <c r="D67" s="546"/>
      <c r="E67" s="505">
        <v>2.7000000000000001E-3</v>
      </c>
      <c r="F67" s="465"/>
      <c r="G67" s="506">
        <f>AV$57/100</f>
        <v>2.0110000000000002E-3</v>
      </c>
      <c r="H67" s="465"/>
      <c r="I67" s="507">
        <f t="shared" si="4"/>
        <v>2.7000000000000001E-3</v>
      </c>
      <c r="J67" s="465"/>
      <c r="K67" s="507">
        <f t="shared" si="5"/>
        <v>2.0110000000000002E-3</v>
      </c>
      <c r="L67" s="465"/>
      <c r="M67" s="471"/>
      <c r="T67" s="508">
        <v>41985</v>
      </c>
      <c r="U67" s="511">
        <v>0.161</v>
      </c>
      <c r="V67" s="510"/>
      <c r="W67" s="508">
        <v>42018</v>
      </c>
      <c r="X67" s="511">
        <v>0.16825000000000001</v>
      </c>
      <c r="Y67" s="510"/>
      <c r="Z67" s="508">
        <v>42048</v>
      </c>
      <c r="AA67" s="511">
        <v>0.17299999999999999</v>
      </c>
      <c r="AB67" s="510"/>
      <c r="AC67" s="508">
        <v>42076</v>
      </c>
      <c r="AD67" s="511">
        <v>0.17649999999999999</v>
      </c>
      <c r="AE67" s="510"/>
      <c r="AF67" s="508">
        <v>42108</v>
      </c>
      <c r="AG67" s="511">
        <v>0.1825</v>
      </c>
      <c r="AH67" s="510"/>
      <c r="AI67" s="508">
        <v>42138</v>
      </c>
      <c r="AJ67" s="511">
        <v>0.18335000000000001</v>
      </c>
      <c r="AK67" s="510"/>
      <c r="AL67" s="508">
        <v>42167</v>
      </c>
      <c r="AM67" s="511">
        <v>0.18475</v>
      </c>
      <c r="AN67" s="510"/>
      <c r="AO67" s="508">
        <v>42199</v>
      </c>
      <c r="AP67" s="511">
        <v>0.187</v>
      </c>
      <c r="AQ67" s="510"/>
      <c r="AR67" s="508">
        <v>42230</v>
      </c>
      <c r="AS67" s="511">
        <v>0.1996</v>
      </c>
      <c r="AT67" s="510"/>
      <c r="AU67" s="508">
        <v>42261</v>
      </c>
      <c r="AV67" s="511">
        <v>0.20899999999999999</v>
      </c>
      <c r="AW67" s="510"/>
      <c r="AX67" s="508">
        <v>42291</v>
      </c>
      <c r="AY67" s="511">
        <v>0.19900000000000001</v>
      </c>
      <c r="AZ67" s="510"/>
      <c r="BA67" s="508">
        <v>42321</v>
      </c>
      <c r="BB67" s="511">
        <v>0.19725000000000001</v>
      </c>
      <c r="BC67" s="510"/>
      <c r="BD67" s="508">
        <v>42352</v>
      </c>
      <c r="BE67" s="511">
        <v>0.34449999999999997</v>
      </c>
      <c r="BF67" s="510"/>
      <c r="BG67" s="508">
        <v>42383</v>
      </c>
      <c r="BH67" s="511">
        <v>0.42549999999999999</v>
      </c>
      <c r="BI67" s="510"/>
      <c r="BJ67" s="508">
        <v>42412</v>
      </c>
      <c r="BK67" s="511">
        <v>0.43049999999999999</v>
      </c>
      <c r="BL67" s="510"/>
      <c r="BM67" s="508">
        <v>42443</v>
      </c>
      <c r="BN67" s="511">
        <v>0.44130000000000003</v>
      </c>
      <c r="BO67" s="510"/>
      <c r="BP67" s="508">
        <v>42474</v>
      </c>
      <c r="BQ67" s="511">
        <v>0.43625000000000003</v>
      </c>
      <c r="BR67" s="510"/>
      <c r="BS67" s="508">
        <v>42503</v>
      </c>
      <c r="BT67" s="511">
        <v>0.43395</v>
      </c>
      <c r="BU67" s="510"/>
      <c r="BV67" s="508">
        <v>42535</v>
      </c>
      <c r="BW67" s="511">
        <v>0.44230000000000003</v>
      </c>
      <c r="BX67" s="510"/>
      <c r="BY67" s="508">
        <v>42565</v>
      </c>
      <c r="BZ67" s="511">
        <v>0.48209999999999997</v>
      </c>
      <c r="CA67" s="510"/>
      <c r="CB67" s="508">
        <v>42594</v>
      </c>
      <c r="CC67" s="511">
        <v>0.50665000000000004</v>
      </c>
    </row>
    <row r="68" spans="1:81" ht="15.75">
      <c r="A68" s="470">
        <f t="shared" si="3"/>
        <v>11</v>
      </c>
      <c r="B68" s="546"/>
      <c r="C68" s="504" t="s">
        <v>844</v>
      </c>
      <c r="D68" s="546"/>
      <c r="E68" s="505">
        <v>2.8E-3</v>
      </c>
      <c r="F68" s="465"/>
      <c r="G68" s="506">
        <f>AY$57/100</f>
        <v>1.9450000000000001E-3</v>
      </c>
      <c r="H68" s="465"/>
      <c r="I68" s="507">
        <f t="shared" si="4"/>
        <v>2.8E-3</v>
      </c>
      <c r="J68" s="465"/>
      <c r="K68" s="507">
        <f t="shared" si="5"/>
        <v>1.9450000000000001E-3</v>
      </c>
      <c r="L68" s="465"/>
      <c r="M68" s="471"/>
      <c r="T68" s="508">
        <v>41988</v>
      </c>
      <c r="U68" s="511">
        <v>0.16200000000000001</v>
      </c>
      <c r="V68" s="510"/>
      <c r="W68" s="508">
        <v>42019</v>
      </c>
      <c r="X68" s="511">
        <v>0.16800000000000001</v>
      </c>
      <c r="Y68" s="510"/>
      <c r="Z68" s="508">
        <v>42051</v>
      </c>
      <c r="AA68" s="511">
        <v>0.17299999999999999</v>
      </c>
      <c r="AB68" s="510"/>
      <c r="AC68" s="508">
        <v>42079</v>
      </c>
      <c r="AD68" s="511">
        <v>0.17699999999999999</v>
      </c>
      <c r="AE68" s="510"/>
      <c r="AF68" s="508">
        <v>42109</v>
      </c>
      <c r="AG68" s="511">
        <v>0.1804</v>
      </c>
      <c r="AH68" s="510"/>
      <c r="AI68" s="508">
        <v>42139</v>
      </c>
      <c r="AJ68" s="511">
        <v>0.1862</v>
      </c>
      <c r="AK68" s="510"/>
      <c r="AL68" s="508">
        <v>42170</v>
      </c>
      <c r="AM68" s="511">
        <v>0.18525</v>
      </c>
      <c r="AN68" s="510"/>
      <c r="AO68" s="508">
        <v>42200</v>
      </c>
      <c r="AP68" s="511">
        <v>0.186</v>
      </c>
      <c r="AQ68" s="510"/>
      <c r="AR68" s="508">
        <v>42233</v>
      </c>
      <c r="AS68" s="511">
        <v>0.2046</v>
      </c>
      <c r="AT68" s="510"/>
      <c r="AU68" s="508">
        <v>42262</v>
      </c>
      <c r="AV68" s="511">
        <v>0.20724999999999999</v>
      </c>
      <c r="AW68" s="510"/>
      <c r="AX68" s="508">
        <v>42292</v>
      </c>
      <c r="AY68" s="511">
        <v>0.19675000000000001</v>
      </c>
      <c r="AZ68" s="510"/>
      <c r="BA68" s="508">
        <v>42324</v>
      </c>
      <c r="BB68" s="511">
        <v>0.19925000000000001</v>
      </c>
      <c r="BC68" s="510"/>
      <c r="BD68" s="508">
        <v>42353</v>
      </c>
      <c r="BE68" s="511">
        <v>0.35049999999999998</v>
      </c>
      <c r="BF68" s="510"/>
      <c r="BG68" s="508">
        <v>42384</v>
      </c>
      <c r="BH68" s="511">
        <v>0.42549999999999999</v>
      </c>
      <c r="BI68" s="510"/>
      <c r="BJ68" s="508">
        <v>42415</v>
      </c>
      <c r="BK68" s="511">
        <v>0.42925000000000002</v>
      </c>
      <c r="BL68" s="510"/>
      <c r="BM68" s="508">
        <v>42444</v>
      </c>
      <c r="BN68" s="511">
        <v>0.44124999999999998</v>
      </c>
      <c r="BO68" s="510"/>
      <c r="BP68" s="508">
        <v>42475</v>
      </c>
      <c r="BQ68" s="511">
        <v>0.43625000000000003</v>
      </c>
      <c r="BR68" s="510"/>
      <c r="BS68" s="508">
        <v>42506</v>
      </c>
      <c r="BT68" s="511">
        <v>0.43619999999999998</v>
      </c>
      <c r="BU68" s="510"/>
      <c r="BV68" s="508">
        <v>42536</v>
      </c>
      <c r="BW68" s="511">
        <v>0.44605</v>
      </c>
      <c r="BX68" s="510"/>
      <c r="BY68" s="508">
        <v>42566</v>
      </c>
      <c r="BZ68" s="511">
        <v>0.48330000000000001</v>
      </c>
      <c r="CA68" s="510"/>
      <c r="CB68" s="508">
        <v>42597</v>
      </c>
      <c r="CC68" s="511">
        <v>0.50744</v>
      </c>
    </row>
    <row r="69" spans="1:81" ht="15.75">
      <c r="A69" s="470">
        <f t="shared" si="3"/>
        <v>12</v>
      </c>
      <c r="B69" s="546"/>
      <c r="C69" s="504" t="s">
        <v>845</v>
      </c>
      <c r="D69" s="546"/>
      <c r="E69" s="505">
        <v>2.7000000000000001E-3</v>
      </c>
      <c r="F69" s="465"/>
      <c r="G69" s="506">
        <f>BB$57/100</f>
        <v>2.0839999999999999E-3</v>
      </c>
      <c r="H69" s="465"/>
      <c r="I69" s="507">
        <f t="shared" si="4"/>
        <v>2.7000000000000001E-3</v>
      </c>
      <c r="J69" s="465"/>
      <c r="K69" s="507">
        <f t="shared" si="5"/>
        <v>2.0839999999999999E-3</v>
      </c>
      <c r="L69" s="465"/>
      <c r="M69" s="471"/>
      <c r="T69" s="508">
        <v>41989</v>
      </c>
      <c r="U69" s="511">
        <v>0.16200000000000001</v>
      </c>
      <c r="V69" s="510"/>
      <c r="W69" s="508">
        <v>42020</v>
      </c>
      <c r="X69" s="511">
        <v>0.16800000000000001</v>
      </c>
      <c r="Y69" s="510"/>
      <c r="Z69" s="508">
        <v>42052</v>
      </c>
      <c r="AA69" s="511">
        <v>0.17349999999999999</v>
      </c>
      <c r="AB69" s="510"/>
      <c r="AC69" s="508">
        <v>42080</v>
      </c>
      <c r="AD69" s="511">
        <v>0.17749999999999999</v>
      </c>
      <c r="AE69" s="510"/>
      <c r="AF69" s="508">
        <v>42110</v>
      </c>
      <c r="AG69" s="511">
        <v>0.18054999999999999</v>
      </c>
      <c r="AH69" s="510"/>
      <c r="AI69" s="508">
        <v>42142</v>
      </c>
      <c r="AJ69" s="511">
        <v>0.184</v>
      </c>
      <c r="AK69" s="510"/>
      <c r="AL69" s="508">
        <v>42171</v>
      </c>
      <c r="AM69" s="511">
        <v>0.185</v>
      </c>
      <c r="AN69" s="510"/>
      <c r="AO69" s="508">
        <v>42201</v>
      </c>
      <c r="AP69" s="511">
        <v>0.188</v>
      </c>
      <c r="AQ69" s="510"/>
      <c r="AR69" s="508">
        <v>42234</v>
      </c>
      <c r="AS69" s="511">
        <v>0.20275000000000001</v>
      </c>
      <c r="AT69" s="510"/>
      <c r="AU69" s="508">
        <v>42263</v>
      </c>
      <c r="AV69" s="511">
        <v>0.21279999999999999</v>
      </c>
      <c r="AW69" s="510"/>
      <c r="AX69" s="508">
        <v>42293</v>
      </c>
      <c r="AY69" s="511">
        <v>0.19425000000000001</v>
      </c>
      <c r="AZ69" s="510"/>
      <c r="BA69" s="508">
        <v>42325</v>
      </c>
      <c r="BB69" s="511">
        <v>0.20250000000000001</v>
      </c>
      <c r="BC69" s="510"/>
      <c r="BD69" s="508">
        <v>42354</v>
      </c>
      <c r="BE69" s="511">
        <v>0.36</v>
      </c>
      <c r="BF69" s="510"/>
      <c r="BG69" s="508">
        <v>42387</v>
      </c>
      <c r="BH69" s="511">
        <v>0.42599999999999999</v>
      </c>
      <c r="BI69" s="510"/>
      <c r="BJ69" s="508">
        <v>42416</v>
      </c>
      <c r="BK69" s="511">
        <v>0.42949999999999999</v>
      </c>
      <c r="BL69" s="510"/>
      <c r="BM69" s="508">
        <v>42445</v>
      </c>
      <c r="BN69" s="511">
        <v>0.43990000000000001</v>
      </c>
      <c r="BO69" s="510"/>
      <c r="BP69" s="508">
        <v>42478</v>
      </c>
      <c r="BQ69" s="511">
        <v>0.43874999999999997</v>
      </c>
      <c r="BR69" s="510"/>
      <c r="BS69" s="508">
        <v>42507</v>
      </c>
      <c r="BT69" s="511">
        <v>0.43869999999999998</v>
      </c>
      <c r="BU69" s="510"/>
      <c r="BV69" s="508">
        <v>42537</v>
      </c>
      <c r="BW69" s="511">
        <v>0.44805</v>
      </c>
      <c r="BX69" s="510"/>
      <c r="BY69" s="508">
        <v>42569</v>
      </c>
      <c r="BZ69" s="511">
        <v>0.48654999999999998</v>
      </c>
      <c r="CA69" s="510"/>
      <c r="CB69" s="508">
        <v>42598</v>
      </c>
      <c r="CC69" s="511">
        <v>0.50744</v>
      </c>
    </row>
    <row r="70" spans="1:81" ht="15.75">
      <c r="A70" s="470">
        <f t="shared" si="3"/>
        <v>13</v>
      </c>
      <c r="B70" s="546"/>
      <c r="C70" s="504" t="s">
        <v>846</v>
      </c>
      <c r="D70" s="546"/>
      <c r="E70" s="505">
        <v>2.8E-3</v>
      </c>
      <c r="F70" s="465"/>
      <c r="G70" s="506">
        <f>BE$57/100</f>
        <v>3.5230000000000001E-3</v>
      </c>
      <c r="H70" s="465"/>
      <c r="I70" s="507">
        <f t="shared" si="4"/>
        <v>2.8E-3</v>
      </c>
      <c r="J70" s="465"/>
      <c r="K70" s="507">
        <f t="shared" si="5"/>
        <v>2.8E-3</v>
      </c>
      <c r="L70" s="465"/>
      <c r="M70" s="471"/>
      <c r="T70" s="508">
        <v>41990</v>
      </c>
      <c r="U70" s="511">
        <v>0.1641</v>
      </c>
      <c r="V70" s="510"/>
      <c r="W70" s="508">
        <v>42023</v>
      </c>
      <c r="X70" s="511">
        <v>0.16875000000000001</v>
      </c>
      <c r="Y70" s="510"/>
      <c r="Z70" s="508">
        <v>42053</v>
      </c>
      <c r="AA70" s="511">
        <v>0.17349999999999999</v>
      </c>
      <c r="AB70" s="510"/>
      <c r="AC70" s="508">
        <v>42081</v>
      </c>
      <c r="AD70" s="511">
        <v>0.17599999999999999</v>
      </c>
      <c r="AE70" s="510"/>
      <c r="AF70" s="508">
        <v>42111</v>
      </c>
      <c r="AG70" s="511">
        <v>0.18024999999999999</v>
      </c>
      <c r="AH70" s="510"/>
      <c r="AI70" s="508">
        <v>42143</v>
      </c>
      <c r="AJ70" s="511">
        <v>0.18675</v>
      </c>
      <c r="AK70" s="510"/>
      <c r="AL70" s="508">
        <v>42172</v>
      </c>
      <c r="AM70" s="511">
        <v>0.1875</v>
      </c>
      <c r="AN70" s="510"/>
      <c r="AO70" s="508">
        <v>42202</v>
      </c>
      <c r="AP70" s="511">
        <v>0.1905</v>
      </c>
      <c r="AQ70" s="510"/>
      <c r="AR70" s="508">
        <v>42235</v>
      </c>
      <c r="AS70" s="511">
        <v>0.20200000000000001</v>
      </c>
      <c r="AT70" s="510"/>
      <c r="AU70" s="508">
        <v>42264</v>
      </c>
      <c r="AV70" s="511">
        <v>0.216</v>
      </c>
      <c r="AW70" s="510"/>
      <c r="AX70" s="508">
        <v>42296</v>
      </c>
      <c r="AY70" s="511">
        <v>0.19600000000000001</v>
      </c>
      <c r="AZ70" s="510"/>
      <c r="BA70" s="508">
        <v>42326</v>
      </c>
      <c r="BB70" s="511">
        <v>0.20674999999999999</v>
      </c>
      <c r="BC70" s="510"/>
      <c r="BD70" s="508">
        <v>42355</v>
      </c>
      <c r="BE70" s="511">
        <v>0.40210000000000001</v>
      </c>
      <c r="BF70" s="510"/>
      <c r="BG70" s="508">
        <v>42388</v>
      </c>
      <c r="BH70" s="511">
        <v>0.42499999999999999</v>
      </c>
      <c r="BI70" s="510"/>
      <c r="BJ70" s="508">
        <v>42417</v>
      </c>
      <c r="BK70" s="511">
        <v>0.43004999999999999</v>
      </c>
      <c r="BL70" s="510"/>
      <c r="BM70" s="508">
        <v>42446</v>
      </c>
      <c r="BN70" s="511">
        <v>0.43209999999999998</v>
      </c>
      <c r="BO70" s="510"/>
      <c r="BP70" s="508">
        <v>42479</v>
      </c>
      <c r="BQ70" s="511">
        <v>0.44114999999999999</v>
      </c>
      <c r="BR70" s="510"/>
      <c r="BS70" s="508">
        <v>42508</v>
      </c>
      <c r="BT70" s="511">
        <v>0.43845000000000001</v>
      </c>
      <c r="BU70" s="510"/>
      <c r="BV70" s="508">
        <v>42538</v>
      </c>
      <c r="BW70" s="511">
        <v>0.44779999999999998</v>
      </c>
      <c r="BX70" s="510"/>
      <c r="BY70" s="508">
        <v>42570</v>
      </c>
      <c r="BZ70" s="511">
        <v>0.48530000000000001</v>
      </c>
      <c r="CA70" s="510"/>
      <c r="CB70" s="508">
        <v>42599</v>
      </c>
      <c r="CC70" s="511">
        <v>0.51410999999999996</v>
      </c>
    </row>
    <row r="71" spans="1:81" ht="15.75">
      <c r="A71" s="470">
        <f t="shared" si="3"/>
        <v>14</v>
      </c>
      <c r="B71" s="503">
        <v>2016</v>
      </c>
      <c r="C71" s="504" t="s">
        <v>836</v>
      </c>
      <c r="D71" s="546"/>
      <c r="E71" s="505">
        <v>2.8E-3</v>
      </c>
      <c r="F71" s="465"/>
      <c r="G71" s="506">
        <f>BH$57/100</f>
        <v>4.2550000000000001E-3</v>
      </c>
      <c r="H71" s="465"/>
      <c r="I71" s="507">
        <f t="shared" si="4"/>
        <v>2.8E-3</v>
      </c>
      <c r="J71" s="465"/>
      <c r="K71" s="507">
        <f t="shared" si="5"/>
        <v>2.8E-3</v>
      </c>
      <c r="L71" s="465"/>
      <c r="M71" s="471"/>
      <c r="T71" s="508">
        <v>41991</v>
      </c>
      <c r="U71" s="511">
        <v>0.16545000000000001</v>
      </c>
      <c r="V71" s="510"/>
      <c r="W71" s="508">
        <v>42024</v>
      </c>
      <c r="X71" s="511">
        <v>0.16850000000000001</v>
      </c>
      <c r="Y71" s="510"/>
      <c r="Z71" s="508">
        <v>42054</v>
      </c>
      <c r="AA71" s="511">
        <v>0.17349999999999999</v>
      </c>
      <c r="AB71" s="510"/>
      <c r="AC71" s="508">
        <v>42082</v>
      </c>
      <c r="AD71" s="511">
        <v>0.17324999999999999</v>
      </c>
      <c r="AE71" s="510"/>
      <c r="AF71" s="508">
        <v>42114</v>
      </c>
      <c r="AG71" s="511">
        <v>0.18049999999999999</v>
      </c>
      <c r="AH71" s="510"/>
      <c r="AI71" s="508">
        <v>42144</v>
      </c>
      <c r="AJ71" s="509">
        <v>0.18475</v>
      </c>
      <c r="AK71" s="510"/>
      <c r="AL71" s="508">
        <v>42173</v>
      </c>
      <c r="AM71" s="511">
        <v>0.18675</v>
      </c>
      <c r="AN71" s="510"/>
      <c r="AO71" s="508">
        <v>42205</v>
      </c>
      <c r="AP71" s="511">
        <v>0.189</v>
      </c>
      <c r="AQ71" s="510"/>
      <c r="AR71" s="508">
        <v>42236</v>
      </c>
      <c r="AS71" s="511">
        <v>0.20039999999999999</v>
      </c>
      <c r="AT71" s="510"/>
      <c r="AU71" s="508">
        <v>42265</v>
      </c>
      <c r="AV71" s="511">
        <v>0.1958</v>
      </c>
      <c r="AW71" s="510"/>
      <c r="AX71" s="508">
        <v>42297</v>
      </c>
      <c r="AY71" s="511">
        <v>0.19650000000000001</v>
      </c>
      <c r="AZ71" s="510"/>
      <c r="BA71" s="508">
        <v>42327</v>
      </c>
      <c r="BB71" s="511">
        <v>0.21325</v>
      </c>
      <c r="BC71" s="510"/>
      <c r="BD71" s="508">
        <v>42356</v>
      </c>
      <c r="BE71" s="511">
        <v>0.41299999999999998</v>
      </c>
      <c r="BF71" s="510"/>
      <c r="BG71" s="508">
        <v>42389</v>
      </c>
      <c r="BH71" s="511">
        <v>0.42530000000000001</v>
      </c>
      <c r="BI71" s="510"/>
      <c r="BJ71" s="508">
        <v>42418</v>
      </c>
      <c r="BK71" s="511">
        <v>0.432</v>
      </c>
      <c r="BL71" s="510"/>
      <c r="BM71" s="508">
        <v>42447</v>
      </c>
      <c r="BN71" s="511">
        <v>0.42830000000000001</v>
      </c>
      <c r="BO71" s="510"/>
      <c r="BP71" s="508">
        <v>42480</v>
      </c>
      <c r="BQ71" s="511">
        <v>0.44124999999999998</v>
      </c>
      <c r="BR71" s="510"/>
      <c r="BS71" s="508">
        <v>42509</v>
      </c>
      <c r="BT71" s="511">
        <v>0.443</v>
      </c>
      <c r="BU71" s="510"/>
      <c r="BV71" s="508">
        <v>42541</v>
      </c>
      <c r="BW71" s="511">
        <v>0.44805</v>
      </c>
      <c r="BX71" s="510"/>
      <c r="BY71" s="508">
        <v>42571</v>
      </c>
      <c r="BZ71" s="511">
        <v>0.4874</v>
      </c>
      <c r="CA71" s="510"/>
      <c r="CB71" s="508">
        <v>42600</v>
      </c>
      <c r="CC71" s="511">
        <v>0.51244000000000001</v>
      </c>
    </row>
    <row r="72" spans="1:81" ht="15.75">
      <c r="A72" s="470">
        <f t="shared" si="3"/>
        <v>15</v>
      </c>
      <c r="B72" s="546"/>
      <c r="C72" s="504" t="s">
        <v>837</v>
      </c>
      <c r="D72" s="546"/>
      <c r="E72" s="505">
        <v>2.5999999999999999E-3</v>
      </c>
      <c r="F72" s="465"/>
      <c r="G72" s="506">
        <f>BK$57/100</f>
        <v>4.313E-3</v>
      </c>
      <c r="H72" s="465"/>
      <c r="I72" s="507">
        <f t="shared" si="4"/>
        <v>2.5999999999999999E-3</v>
      </c>
      <c r="J72" s="465"/>
      <c r="K72" s="507">
        <f t="shared" si="5"/>
        <v>2.5999999999999999E-3</v>
      </c>
      <c r="L72" s="465"/>
      <c r="M72" s="471"/>
      <c r="T72" s="508">
        <v>41992</v>
      </c>
      <c r="U72" s="511">
        <v>0.16425000000000001</v>
      </c>
      <c r="V72" s="510"/>
      <c r="W72" s="508">
        <v>42025</v>
      </c>
      <c r="X72" s="511">
        <v>0.16675000000000001</v>
      </c>
      <c r="Y72" s="510"/>
      <c r="Z72" s="508">
        <v>42055</v>
      </c>
      <c r="AA72" s="511">
        <v>0.17150000000000001</v>
      </c>
      <c r="AB72" s="510"/>
      <c r="AC72" s="508">
        <v>42083</v>
      </c>
      <c r="AD72" s="511">
        <v>0.17399999999999999</v>
      </c>
      <c r="AE72" s="510"/>
      <c r="AF72" s="508">
        <v>42115</v>
      </c>
      <c r="AG72" s="511">
        <v>0.18149999999999999</v>
      </c>
      <c r="AH72" s="510"/>
      <c r="AI72" s="508">
        <v>42145</v>
      </c>
      <c r="AJ72" s="509">
        <v>0.18475</v>
      </c>
      <c r="AK72" s="510"/>
      <c r="AL72" s="508">
        <v>42174</v>
      </c>
      <c r="AM72" s="511">
        <v>0.187</v>
      </c>
      <c r="AN72" s="510"/>
      <c r="AO72" s="508">
        <v>42206</v>
      </c>
      <c r="AP72" s="511">
        <v>0.185</v>
      </c>
      <c r="AQ72" s="510"/>
      <c r="AR72" s="508">
        <v>42237</v>
      </c>
      <c r="AS72" s="511">
        <v>0.19939999999999999</v>
      </c>
      <c r="AT72" s="510"/>
      <c r="AU72" s="508">
        <v>42268</v>
      </c>
      <c r="AV72" s="511">
        <v>0.19500000000000001</v>
      </c>
      <c r="AW72" s="510"/>
      <c r="AX72" s="508">
        <v>42298</v>
      </c>
      <c r="AY72" s="511">
        <v>0.1948</v>
      </c>
      <c r="AZ72" s="510"/>
      <c r="BA72" s="508">
        <v>42328</v>
      </c>
      <c r="BB72" s="511">
        <v>0.21149999999999999</v>
      </c>
      <c r="BC72" s="510"/>
      <c r="BD72" s="508">
        <v>42359</v>
      </c>
      <c r="BE72" s="511">
        <v>0.41949999999999998</v>
      </c>
      <c r="BF72" s="510"/>
      <c r="BG72" s="508">
        <v>42390</v>
      </c>
      <c r="BH72" s="511">
        <v>0.42649999999999999</v>
      </c>
      <c r="BI72" s="510"/>
      <c r="BJ72" s="508">
        <v>42419</v>
      </c>
      <c r="BK72" s="511">
        <v>0.4335</v>
      </c>
      <c r="BL72" s="510"/>
      <c r="BM72" s="508">
        <v>42450</v>
      </c>
      <c r="BN72" s="511">
        <v>0.43180000000000002</v>
      </c>
      <c r="BO72" s="510"/>
      <c r="BP72" s="508">
        <v>42481</v>
      </c>
      <c r="BQ72" s="511">
        <v>0.43885000000000002</v>
      </c>
      <c r="BR72" s="510"/>
      <c r="BS72" s="508">
        <v>42510</v>
      </c>
      <c r="BT72" s="511">
        <v>0.44324999999999998</v>
      </c>
      <c r="BU72" s="510"/>
      <c r="BV72" s="508">
        <v>42542</v>
      </c>
      <c r="BW72" s="511">
        <v>0.45079999999999998</v>
      </c>
      <c r="BX72" s="510"/>
      <c r="BY72" s="508">
        <v>42572</v>
      </c>
      <c r="BZ72" s="511">
        <v>0.4879</v>
      </c>
      <c r="CA72" s="510"/>
      <c r="CB72" s="508">
        <v>42601</v>
      </c>
      <c r="CC72" s="511">
        <v>0.52105999999999997</v>
      </c>
    </row>
    <row r="73" spans="1:81" ht="15.75">
      <c r="A73" s="470">
        <f t="shared" si="3"/>
        <v>16</v>
      </c>
      <c r="B73" s="546"/>
      <c r="C73" s="504" t="s">
        <v>838</v>
      </c>
      <c r="D73" s="546"/>
      <c r="E73" s="505">
        <v>2.8E-3</v>
      </c>
      <c r="F73" s="465"/>
      <c r="G73" s="506">
        <f>BN$57/100</f>
        <v>4.3639999999999998E-3</v>
      </c>
      <c r="H73" s="465"/>
      <c r="I73" s="507">
        <f t="shared" si="4"/>
        <v>2.8E-3</v>
      </c>
      <c r="J73" s="465"/>
      <c r="K73" s="507">
        <f t="shared" si="5"/>
        <v>2.8E-3</v>
      </c>
      <c r="L73" s="465"/>
      <c r="M73" s="471"/>
      <c r="T73" s="508">
        <v>41995</v>
      </c>
      <c r="U73" s="511">
        <v>0.16700000000000001</v>
      </c>
      <c r="V73" s="510"/>
      <c r="W73" s="508">
        <v>42026</v>
      </c>
      <c r="X73" s="511">
        <v>0.16825000000000001</v>
      </c>
      <c r="Y73" s="510"/>
      <c r="Z73" s="508">
        <v>42058</v>
      </c>
      <c r="AA73" s="511">
        <v>0.17100000000000001</v>
      </c>
      <c r="AB73" s="510"/>
      <c r="AC73" s="508">
        <v>42086</v>
      </c>
      <c r="AD73" s="511">
        <v>0.17374999999999999</v>
      </c>
      <c r="AE73" s="510"/>
      <c r="AF73" s="508">
        <v>42116</v>
      </c>
      <c r="AG73" s="511">
        <v>0.18174999999999999</v>
      </c>
      <c r="AH73" s="510"/>
      <c r="AI73" s="508">
        <v>42146</v>
      </c>
      <c r="AJ73" s="511">
        <v>0.18484999999999999</v>
      </c>
      <c r="AK73" s="510"/>
      <c r="AL73" s="508">
        <v>42177</v>
      </c>
      <c r="AM73" s="511">
        <v>0.187</v>
      </c>
      <c r="AN73" s="510"/>
      <c r="AO73" s="508">
        <v>42207</v>
      </c>
      <c r="AP73" s="511">
        <v>0.187</v>
      </c>
      <c r="AQ73" s="510"/>
      <c r="AR73" s="508">
        <v>42240</v>
      </c>
      <c r="AS73" s="511">
        <v>0.19939999999999999</v>
      </c>
      <c r="AT73" s="510"/>
      <c r="AU73" s="508">
        <v>42269</v>
      </c>
      <c r="AV73" s="511">
        <v>0.1956</v>
      </c>
      <c r="AW73" s="510"/>
      <c r="AX73" s="508">
        <v>42299</v>
      </c>
      <c r="AY73" s="511">
        <v>0.19694999999999999</v>
      </c>
      <c r="AZ73" s="510"/>
      <c r="BA73" s="508">
        <v>42331</v>
      </c>
      <c r="BB73" s="511">
        <v>0.221</v>
      </c>
      <c r="BC73" s="510"/>
      <c r="BD73" s="508">
        <v>42360</v>
      </c>
      <c r="BE73" s="511">
        <v>0.41749999999999998</v>
      </c>
      <c r="BF73" s="510"/>
      <c r="BG73" s="508">
        <v>42391</v>
      </c>
      <c r="BH73" s="511">
        <v>0.42549999999999999</v>
      </c>
      <c r="BI73" s="510"/>
      <c r="BJ73" s="508">
        <v>42422</v>
      </c>
      <c r="BK73" s="511">
        <v>0.4335</v>
      </c>
      <c r="BL73" s="510"/>
      <c r="BM73" s="508">
        <v>42451</v>
      </c>
      <c r="BN73" s="511">
        <v>0.43149999999999999</v>
      </c>
      <c r="BO73" s="510"/>
      <c r="BP73" s="508">
        <v>42482</v>
      </c>
      <c r="BQ73" s="511">
        <v>0.43645</v>
      </c>
      <c r="BR73" s="510"/>
      <c r="BS73" s="508">
        <v>42513</v>
      </c>
      <c r="BT73" s="511">
        <v>0.44600000000000001</v>
      </c>
      <c r="BU73" s="510"/>
      <c r="BV73" s="508">
        <v>42543</v>
      </c>
      <c r="BW73" s="511">
        <v>0.45205000000000001</v>
      </c>
      <c r="BX73" s="510"/>
      <c r="BY73" s="508">
        <v>42573</v>
      </c>
      <c r="BZ73" s="511">
        <v>0.4904</v>
      </c>
      <c r="CA73" s="510"/>
      <c r="CB73" s="508">
        <v>42604</v>
      </c>
      <c r="CC73" s="511">
        <v>0.52217000000000002</v>
      </c>
    </row>
    <row r="74" spans="1:81" ht="15.75">
      <c r="A74" s="470">
        <f t="shared" si="3"/>
        <v>17</v>
      </c>
      <c r="B74" s="546"/>
      <c r="C74" s="504" t="s">
        <v>839</v>
      </c>
      <c r="D74" s="546"/>
      <c r="E74" s="505">
        <v>2.8E-3</v>
      </c>
      <c r="F74" s="465"/>
      <c r="G74" s="506">
        <f>BQ$57/100</f>
        <v>4.3740000000000003E-3</v>
      </c>
      <c r="H74" s="465"/>
      <c r="I74" s="507">
        <f t="shared" si="4"/>
        <v>2.8E-3</v>
      </c>
      <c r="J74" s="465"/>
      <c r="K74" s="507">
        <f t="shared" si="5"/>
        <v>2.8E-3</v>
      </c>
      <c r="L74" s="465"/>
      <c r="M74" s="471"/>
      <c r="T74" s="508">
        <v>41996</v>
      </c>
      <c r="U74" s="511">
        <v>0.16950000000000001</v>
      </c>
      <c r="V74" s="510"/>
      <c r="W74" s="508">
        <v>42027</v>
      </c>
      <c r="X74" s="511">
        <v>0.16775000000000001</v>
      </c>
      <c r="Y74" s="510"/>
      <c r="Z74" s="508">
        <v>42059</v>
      </c>
      <c r="AA74" s="511">
        <v>0.17150000000000001</v>
      </c>
      <c r="AB74" s="510"/>
      <c r="AC74" s="508">
        <v>42087</v>
      </c>
      <c r="AD74" s="511">
        <v>0.17274999999999999</v>
      </c>
      <c r="AE74" s="510"/>
      <c r="AF74" s="508">
        <v>42117</v>
      </c>
      <c r="AG74" s="511">
        <v>0.18124999999999999</v>
      </c>
      <c r="AH74" s="510"/>
      <c r="AI74" s="508">
        <v>42149</v>
      </c>
      <c r="AJ74" s="511"/>
      <c r="AK74" s="510"/>
      <c r="AL74" s="508">
        <v>42178</v>
      </c>
      <c r="AM74" s="511">
        <v>0.187</v>
      </c>
      <c r="AN74" s="510"/>
      <c r="AO74" s="508">
        <v>42208</v>
      </c>
      <c r="AP74" s="511">
        <v>0.1905</v>
      </c>
      <c r="AQ74" s="510"/>
      <c r="AR74" s="508">
        <v>42241</v>
      </c>
      <c r="AS74" s="511">
        <v>0.19775000000000001</v>
      </c>
      <c r="AT74" s="510"/>
      <c r="AU74" s="508">
        <v>42270</v>
      </c>
      <c r="AV74" s="509">
        <v>0.19389999999999999</v>
      </c>
      <c r="AW74" s="510"/>
      <c r="AX74" s="508">
        <v>42300</v>
      </c>
      <c r="AY74" s="511">
        <v>0.19350000000000001</v>
      </c>
      <c r="AZ74" s="510"/>
      <c r="BA74" s="508">
        <v>42332</v>
      </c>
      <c r="BB74" s="511">
        <v>0.22500000000000001</v>
      </c>
      <c r="BC74" s="510"/>
      <c r="BD74" s="508">
        <v>42361</v>
      </c>
      <c r="BE74" s="511">
        <v>0.42159999999999997</v>
      </c>
      <c r="BF74" s="510"/>
      <c r="BG74" s="508">
        <v>42394</v>
      </c>
      <c r="BH74" s="511">
        <v>0.43059999999999998</v>
      </c>
      <c r="BI74" s="510"/>
      <c r="BJ74" s="508">
        <v>42423</v>
      </c>
      <c r="BK74" s="511">
        <v>0.43580000000000002</v>
      </c>
      <c r="BL74" s="510"/>
      <c r="BM74" s="508">
        <v>42452</v>
      </c>
      <c r="BN74" s="511">
        <v>0.433</v>
      </c>
      <c r="BO74" s="510"/>
      <c r="BP74" s="508">
        <v>42485</v>
      </c>
      <c r="BQ74" s="511">
        <v>0.43695000000000001</v>
      </c>
      <c r="BR74" s="510"/>
      <c r="BS74" s="508">
        <v>42514</v>
      </c>
      <c r="BT74" s="511">
        <v>0.44419999999999998</v>
      </c>
      <c r="BU74" s="510"/>
      <c r="BV74" s="508">
        <v>42544</v>
      </c>
      <c r="BW74" s="511">
        <v>0.45329999999999998</v>
      </c>
      <c r="BX74" s="510"/>
      <c r="BY74" s="508">
        <v>42576</v>
      </c>
      <c r="BZ74" s="511">
        <v>0.4909</v>
      </c>
      <c r="CA74" s="510"/>
      <c r="CB74" s="508">
        <v>42605</v>
      </c>
      <c r="CC74" s="511">
        <v>0.52439000000000002</v>
      </c>
    </row>
    <row r="75" spans="1:81" ht="15.4" customHeight="1">
      <c r="A75" s="470">
        <f t="shared" si="3"/>
        <v>18</v>
      </c>
      <c r="B75" s="546"/>
      <c r="C75" s="504" t="s">
        <v>507</v>
      </c>
      <c r="D75" s="546"/>
      <c r="E75" s="505">
        <v>2.8999999999999998E-3</v>
      </c>
      <c r="F75" s="465"/>
      <c r="G75" s="506">
        <f>BT$57/100</f>
        <v>4.4250000000000001E-3</v>
      </c>
      <c r="H75" s="465"/>
      <c r="I75" s="507">
        <f t="shared" si="4"/>
        <v>2.8999999999999998E-3</v>
      </c>
      <c r="J75" s="465"/>
      <c r="K75" s="507">
        <f t="shared" si="5"/>
        <v>2.8999999999999998E-3</v>
      </c>
      <c r="L75" s="465"/>
      <c r="M75" s="471"/>
      <c r="T75" s="508">
        <v>41997</v>
      </c>
      <c r="U75" s="511">
        <v>0.16875000000000001</v>
      </c>
      <c r="V75" s="510"/>
      <c r="W75" s="508">
        <v>42030</v>
      </c>
      <c r="X75" s="511">
        <v>0.16900000000000001</v>
      </c>
      <c r="Y75" s="510"/>
      <c r="Z75" s="508">
        <v>42060</v>
      </c>
      <c r="AA75" s="511">
        <v>0.17199999999999999</v>
      </c>
      <c r="AB75" s="510"/>
      <c r="AC75" s="508">
        <v>42088</v>
      </c>
      <c r="AD75" s="511">
        <v>0.17560000000000001</v>
      </c>
      <c r="AE75" s="510"/>
      <c r="AF75" s="508">
        <v>42118</v>
      </c>
      <c r="AG75" s="511">
        <v>0.18149999999999999</v>
      </c>
      <c r="AH75" s="510"/>
      <c r="AI75" s="508">
        <v>42150</v>
      </c>
      <c r="AJ75" s="511">
        <v>0.18629999999999999</v>
      </c>
      <c r="AK75" s="510"/>
      <c r="AL75" s="508">
        <v>42179</v>
      </c>
      <c r="AM75" s="509">
        <v>0.1865</v>
      </c>
      <c r="AN75" s="510"/>
      <c r="AO75" s="508">
        <v>42209</v>
      </c>
      <c r="AP75" s="511">
        <v>0.189</v>
      </c>
      <c r="AQ75" s="510"/>
      <c r="AR75" s="508">
        <v>42242</v>
      </c>
      <c r="AS75" s="511">
        <v>0.19800000000000001</v>
      </c>
      <c r="AT75" s="510"/>
      <c r="AU75" s="508">
        <v>42271</v>
      </c>
      <c r="AV75" s="511">
        <v>0.1943</v>
      </c>
      <c r="AW75" s="510"/>
      <c r="AX75" s="508">
        <v>42303</v>
      </c>
      <c r="AY75" s="511">
        <v>0.19355</v>
      </c>
      <c r="AZ75" s="510"/>
      <c r="BA75" s="508">
        <v>42333</v>
      </c>
      <c r="BB75" s="511">
        <v>0.23150000000000001</v>
      </c>
      <c r="BC75" s="510"/>
      <c r="BD75" s="508">
        <v>42362</v>
      </c>
      <c r="BE75" s="511">
        <v>0.4219</v>
      </c>
      <c r="BF75" s="510"/>
      <c r="BG75" s="508">
        <v>42395</v>
      </c>
      <c r="BH75" s="511">
        <v>0.43059999999999998</v>
      </c>
      <c r="BI75" s="510"/>
      <c r="BJ75" s="508">
        <v>42424</v>
      </c>
      <c r="BK75" s="511">
        <v>0.43380000000000002</v>
      </c>
      <c r="BL75" s="510"/>
      <c r="BM75" s="508">
        <v>42453</v>
      </c>
      <c r="BN75" s="511">
        <v>0.435</v>
      </c>
      <c r="BO75" s="510"/>
      <c r="BP75" s="508">
        <v>42486</v>
      </c>
      <c r="BQ75" s="511">
        <v>0.43769999999999998</v>
      </c>
      <c r="BR75" s="510"/>
      <c r="BS75" s="508">
        <v>42515</v>
      </c>
      <c r="BT75" s="511">
        <v>0.44969999999999999</v>
      </c>
      <c r="BU75" s="510"/>
      <c r="BV75" s="508">
        <v>42545</v>
      </c>
      <c r="BW75" s="511">
        <v>0.44929999999999998</v>
      </c>
      <c r="BX75" s="510"/>
      <c r="BY75" s="508">
        <v>42577</v>
      </c>
      <c r="BZ75" s="511">
        <v>0.49264999999999998</v>
      </c>
      <c r="CA75" s="510"/>
      <c r="CB75" s="508">
        <v>42606</v>
      </c>
      <c r="CC75" s="511">
        <v>0.51993999999999996</v>
      </c>
    </row>
    <row r="76" spans="1:81" ht="15.75">
      <c r="A76" s="470">
        <f t="shared" si="3"/>
        <v>19</v>
      </c>
      <c r="B76" s="546"/>
      <c r="C76" s="504" t="s">
        <v>840</v>
      </c>
      <c r="D76" s="546"/>
      <c r="E76" s="505">
        <v>2.8E-3</v>
      </c>
      <c r="F76" s="465"/>
      <c r="G76" s="506">
        <f>BW$57/100</f>
        <v>4.5269999999999998E-3</v>
      </c>
      <c r="H76" s="465"/>
      <c r="I76" s="507">
        <f t="shared" si="4"/>
        <v>2.8E-3</v>
      </c>
      <c r="J76" s="465"/>
      <c r="K76" s="507">
        <f t="shared" si="5"/>
        <v>2.8E-3</v>
      </c>
      <c r="L76" s="465"/>
      <c r="M76" s="471"/>
      <c r="T76" s="508">
        <v>41998</v>
      </c>
      <c r="U76" s="509"/>
      <c r="V76" s="510"/>
      <c r="W76" s="508">
        <v>42031</v>
      </c>
      <c r="X76" s="511">
        <v>0.16800000000000001</v>
      </c>
      <c r="Y76" s="510"/>
      <c r="Z76" s="508">
        <v>42061</v>
      </c>
      <c r="AA76" s="511">
        <v>0.1719</v>
      </c>
      <c r="AB76" s="510"/>
      <c r="AC76" s="508">
        <v>42089</v>
      </c>
      <c r="AD76" s="511">
        <v>0.17774999999999999</v>
      </c>
      <c r="AE76" s="510"/>
      <c r="AF76" s="508">
        <v>42121</v>
      </c>
      <c r="AG76" s="511">
        <v>0.18124999999999999</v>
      </c>
      <c r="AH76" s="510"/>
      <c r="AI76" s="508">
        <v>42151</v>
      </c>
      <c r="AJ76" s="511">
        <v>0.18534999999999999</v>
      </c>
      <c r="AK76" s="510"/>
      <c r="AL76" s="508">
        <v>42180</v>
      </c>
      <c r="AM76" s="511">
        <v>0.186</v>
      </c>
      <c r="AN76" s="510"/>
      <c r="AO76" s="508">
        <v>42212</v>
      </c>
      <c r="AP76" s="511">
        <v>0.189</v>
      </c>
      <c r="AQ76" s="510"/>
      <c r="AR76" s="508">
        <v>42243</v>
      </c>
      <c r="AS76" s="511">
        <v>0.19700000000000001</v>
      </c>
      <c r="AT76" s="510"/>
      <c r="AU76" s="508">
        <v>42272</v>
      </c>
      <c r="AV76" s="511">
        <v>0.1943</v>
      </c>
      <c r="AW76" s="510"/>
      <c r="AX76" s="508">
        <v>42304</v>
      </c>
      <c r="AY76" s="511">
        <v>0.19075</v>
      </c>
      <c r="AZ76" s="510"/>
      <c r="BA76" s="508">
        <v>42334</v>
      </c>
      <c r="BB76" s="511">
        <v>0.23275000000000001</v>
      </c>
      <c r="BC76" s="510"/>
      <c r="BD76" s="508">
        <v>42363</v>
      </c>
      <c r="BE76" s="511"/>
      <c r="BF76" s="510"/>
      <c r="BG76" s="508">
        <v>42396</v>
      </c>
      <c r="BH76" s="509">
        <v>0.42799999999999999</v>
      </c>
      <c r="BI76" s="510"/>
      <c r="BJ76" s="508">
        <v>42425</v>
      </c>
      <c r="BK76" s="511">
        <v>0.4385</v>
      </c>
      <c r="BL76" s="510"/>
      <c r="BM76" s="508">
        <v>42454</v>
      </c>
      <c r="BN76" s="511"/>
      <c r="BO76" s="510"/>
      <c r="BP76" s="508">
        <v>42487</v>
      </c>
      <c r="BQ76" s="511">
        <v>0.43519999999999998</v>
      </c>
      <c r="BR76" s="510"/>
      <c r="BS76" s="508">
        <v>42516</v>
      </c>
      <c r="BT76" s="511">
        <v>0.45445000000000002</v>
      </c>
      <c r="BU76" s="510"/>
      <c r="BV76" s="508">
        <v>42548</v>
      </c>
      <c r="BW76" s="511">
        <v>0.45879999999999999</v>
      </c>
      <c r="BX76" s="510"/>
      <c r="BY76" s="508">
        <v>42578</v>
      </c>
      <c r="BZ76" s="511">
        <v>0.49564999999999998</v>
      </c>
      <c r="CA76" s="510"/>
      <c r="CB76" s="508">
        <v>42607</v>
      </c>
      <c r="CC76" s="511">
        <v>0.52383000000000002</v>
      </c>
    </row>
    <row r="77" spans="1:81" ht="15.75">
      <c r="A77" s="470">
        <f t="shared" si="3"/>
        <v>20</v>
      </c>
      <c r="B77" s="546"/>
      <c r="C77" s="504" t="s">
        <v>841</v>
      </c>
      <c r="D77" s="546"/>
      <c r="E77" s="505">
        <v>3.0000000000000001E-3</v>
      </c>
      <c r="F77" s="465"/>
      <c r="G77" s="506">
        <f>BZ$57/100</f>
        <v>4.829E-3</v>
      </c>
      <c r="H77" s="465"/>
      <c r="I77" s="507">
        <f t="shared" si="4"/>
        <v>3.0000000000000001E-3</v>
      </c>
      <c r="J77" s="465"/>
      <c r="K77" s="507">
        <f t="shared" si="5"/>
        <v>3.0000000000000001E-3</v>
      </c>
      <c r="L77" s="465"/>
      <c r="M77" s="471"/>
      <c r="T77" s="508">
        <v>41999</v>
      </c>
      <c r="U77" s="509"/>
      <c r="V77" s="510"/>
      <c r="W77" s="508">
        <v>42032</v>
      </c>
      <c r="X77" s="511">
        <v>0.17050000000000001</v>
      </c>
      <c r="Y77" s="510"/>
      <c r="Z77" s="508">
        <v>42062</v>
      </c>
      <c r="AA77" s="511">
        <v>0.17299999999999999</v>
      </c>
      <c r="AB77" s="510"/>
      <c r="AC77" s="508">
        <v>42090</v>
      </c>
      <c r="AD77" s="511">
        <v>0.17799999999999999</v>
      </c>
      <c r="AE77" s="510"/>
      <c r="AF77" s="508">
        <v>42122</v>
      </c>
      <c r="AG77" s="511">
        <v>0.18425</v>
      </c>
      <c r="AH77" s="510"/>
      <c r="AI77" s="508">
        <v>42152</v>
      </c>
      <c r="AJ77" s="511">
        <v>0.184</v>
      </c>
      <c r="AK77" s="510"/>
      <c r="AL77" s="508">
        <v>42181</v>
      </c>
      <c r="AM77" s="511">
        <v>0.18659999999999999</v>
      </c>
      <c r="AN77" s="510"/>
      <c r="AO77" s="508">
        <v>42213</v>
      </c>
      <c r="AP77" s="511">
        <v>0.1908</v>
      </c>
      <c r="AQ77" s="510"/>
      <c r="AR77" s="508">
        <v>42244</v>
      </c>
      <c r="AS77" s="511">
        <v>0.19855</v>
      </c>
      <c r="AT77" s="510"/>
      <c r="AU77" s="508">
        <v>42275</v>
      </c>
      <c r="AV77" s="511">
        <v>0.19359999999999999</v>
      </c>
      <c r="AW77" s="510"/>
      <c r="AX77" s="508">
        <v>42305</v>
      </c>
      <c r="AY77" s="511">
        <v>0.1883</v>
      </c>
      <c r="AZ77" s="510"/>
      <c r="BA77" s="508">
        <v>42335</v>
      </c>
      <c r="BB77" s="511">
        <v>0.24374999999999999</v>
      </c>
      <c r="BC77" s="510"/>
      <c r="BD77" s="508">
        <v>42366</v>
      </c>
      <c r="BE77" s="511"/>
      <c r="BF77" s="510"/>
      <c r="BG77" s="508">
        <v>42397</v>
      </c>
      <c r="BH77" s="509">
        <v>0.42620000000000002</v>
      </c>
      <c r="BI77" s="510"/>
      <c r="BJ77" s="508">
        <v>42426</v>
      </c>
      <c r="BK77" s="511">
        <v>0.4385</v>
      </c>
      <c r="BL77" s="510"/>
      <c r="BM77" s="508">
        <v>42457</v>
      </c>
      <c r="BN77" s="511"/>
      <c r="BO77" s="510"/>
      <c r="BP77" s="508">
        <v>42488</v>
      </c>
      <c r="BQ77" s="511">
        <v>0.43880000000000002</v>
      </c>
      <c r="BR77" s="510"/>
      <c r="BS77" s="508">
        <v>42517</v>
      </c>
      <c r="BT77" s="511">
        <v>0.45665</v>
      </c>
      <c r="BU77" s="510"/>
      <c r="BV77" s="508">
        <v>42549</v>
      </c>
      <c r="BW77" s="511">
        <v>0.46029999999999999</v>
      </c>
      <c r="BX77" s="510"/>
      <c r="BY77" s="508">
        <v>42579</v>
      </c>
      <c r="BZ77" s="511">
        <v>0.49390000000000001</v>
      </c>
      <c r="CA77" s="510"/>
      <c r="CB77" s="508">
        <v>42608</v>
      </c>
      <c r="CC77" s="511">
        <v>0.52439000000000002</v>
      </c>
    </row>
    <row r="78" spans="1:81" ht="15.75">
      <c r="A78" s="470">
        <f t="shared" si="3"/>
        <v>21</v>
      </c>
      <c r="B78" s="546"/>
      <c r="C78" s="504" t="s">
        <v>842</v>
      </c>
      <c r="D78" s="546"/>
      <c r="E78" s="505">
        <v>3.0000000000000001E-3</v>
      </c>
      <c r="F78" s="465"/>
      <c r="G78" s="506">
        <f>CC$57/100</f>
        <v>5.1219999999999998E-3</v>
      </c>
      <c r="H78" s="465"/>
      <c r="I78" s="507">
        <f t="shared" si="4"/>
        <v>3.0000000000000001E-3</v>
      </c>
      <c r="J78" s="465"/>
      <c r="K78" s="507">
        <f t="shared" si="5"/>
        <v>3.0000000000000001E-3</v>
      </c>
      <c r="L78" s="465"/>
      <c r="M78" s="471"/>
      <c r="T78" s="508">
        <v>42002</v>
      </c>
      <c r="U78" s="511">
        <v>0.16925000000000001</v>
      </c>
      <c r="V78" s="510"/>
      <c r="W78" s="508">
        <v>42033</v>
      </c>
      <c r="X78" s="511">
        <v>0.1709</v>
      </c>
      <c r="Y78" s="510"/>
      <c r="Z78" s="510"/>
      <c r="AA78" s="510"/>
      <c r="AB78" s="510"/>
      <c r="AC78" s="508">
        <v>42093</v>
      </c>
      <c r="AD78" s="511">
        <v>0.17924999999999999</v>
      </c>
      <c r="AE78" s="510"/>
      <c r="AF78" s="508">
        <v>42123</v>
      </c>
      <c r="AG78" s="511">
        <v>0.18024999999999999</v>
      </c>
      <c r="AH78" s="510"/>
      <c r="AI78" s="508">
        <v>42153</v>
      </c>
      <c r="AJ78" s="511">
        <v>0.184</v>
      </c>
      <c r="AK78" s="510"/>
      <c r="AL78" s="508">
        <v>42184</v>
      </c>
      <c r="AM78" s="511">
        <v>0.18659999999999999</v>
      </c>
      <c r="AN78" s="510"/>
      <c r="AO78" s="508">
        <v>42214</v>
      </c>
      <c r="AP78" s="511">
        <v>0.18955</v>
      </c>
      <c r="AQ78" s="510"/>
      <c r="AR78" s="508">
        <v>42247</v>
      </c>
      <c r="AS78" s="511"/>
      <c r="AT78" s="510"/>
      <c r="AU78" s="508">
        <v>42276</v>
      </c>
      <c r="AV78" s="511">
        <v>0.193</v>
      </c>
      <c r="AW78" s="510"/>
      <c r="AX78" s="508">
        <v>42306</v>
      </c>
      <c r="AY78" s="511">
        <v>0.193</v>
      </c>
      <c r="AZ78" s="510"/>
      <c r="BA78" s="508">
        <v>42338</v>
      </c>
      <c r="BB78" s="511">
        <v>0.24299999999999999</v>
      </c>
      <c r="BC78" s="510"/>
      <c r="BD78" s="508">
        <v>42367</v>
      </c>
      <c r="BE78" s="511">
        <v>0.4239</v>
      </c>
      <c r="BF78" s="510"/>
      <c r="BG78" s="508">
        <v>42398</v>
      </c>
      <c r="BH78" s="511">
        <v>0.42499999999999999</v>
      </c>
      <c r="BI78" s="510"/>
      <c r="BJ78" s="508">
        <v>42429</v>
      </c>
      <c r="BK78" s="511">
        <v>0.4405</v>
      </c>
      <c r="BL78" s="510"/>
      <c r="BM78" s="508">
        <v>42458</v>
      </c>
      <c r="BN78" s="511">
        <v>0.43290000000000001</v>
      </c>
      <c r="BO78" s="510"/>
      <c r="BP78" s="508">
        <v>42489</v>
      </c>
      <c r="BQ78" s="511">
        <v>0.43575000000000003</v>
      </c>
      <c r="BR78" s="510"/>
      <c r="BS78" s="508">
        <v>42520</v>
      </c>
      <c r="BT78" s="511"/>
      <c r="BU78" s="510"/>
      <c r="BV78" s="508">
        <v>42550</v>
      </c>
      <c r="BW78" s="511">
        <v>0.46655000000000002</v>
      </c>
      <c r="BX78" s="510"/>
      <c r="BY78" s="508">
        <v>42580</v>
      </c>
      <c r="BZ78" s="511">
        <v>0.49590000000000001</v>
      </c>
      <c r="CA78" s="510"/>
      <c r="CB78" s="508">
        <v>42611</v>
      </c>
      <c r="CC78" s="511"/>
    </row>
    <row r="79" spans="1:81" ht="16.5" thickBot="1">
      <c r="A79" s="470">
        <f t="shared" si="3"/>
        <v>22</v>
      </c>
      <c r="B79" s="512" t="s">
        <v>915</v>
      </c>
      <c r="C79" s="546"/>
      <c r="D79" s="546"/>
      <c r="E79" s="513">
        <f>AVERAGE(E58:E78)</f>
        <v>2.7809523809523805E-3</v>
      </c>
      <c r="F79" s="491"/>
      <c r="G79" s="513">
        <f>AVERAGE(G58:G78)</f>
        <v>2.9485238095238097E-3</v>
      </c>
      <c r="H79" s="491"/>
      <c r="I79" s="513">
        <f>AVERAGE(I58:I78)</f>
        <v>2.7809523809523805E-3</v>
      </c>
      <c r="J79" s="514"/>
      <c r="K79" s="513">
        <f>AVERAGE(K58:K78)</f>
        <v>2.2708095238095235E-3</v>
      </c>
      <c r="L79" s="465"/>
      <c r="M79" s="471"/>
      <c r="T79" s="508">
        <v>42003</v>
      </c>
      <c r="U79" s="511">
        <v>0.16950000000000001</v>
      </c>
      <c r="V79" s="510"/>
      <c r="W79" s="508">
        <v>42034</v>
      </c>
      <c r="X79" s="511">
        <v>0.17125000000000001</v>
      </c>
      <c r="Y79" s="510"/>
      <c r="Z79" s="510"/>
      <c r="AA79" s="510"/>
      <c r="AB79" s="510"/>
      <c r="AC79" s="508">
        <v>42094</v>
      </c>
      <c r="AD79" s="511">
        <v>0.17624999999999999</v>
      </c>
      <c r="AE79" s="510"/>
      <c r="AF79" s="508">
        <v>42124</v>
      </c>
      <c r="AG79" s="511">
        <v>0.18099999999999999</v>
      </c>
      <c r="AH79" s="510"/>
      <c r="AI79" s="508"/>
      <c r="AJ79" s="511"/>
      <c r="AK79" s="510"/>
      <c r="AL79" s="508">
        <v>42185</v>
      </c>
      <c r="AM79" s="511">
        <v>0.1865</v>
      </c>
      <c r="AN79" s="510"/>
      <c r="AO79" s="508">
        <v>42215</v>
      </c>
      <c r="AP79" s="511">
        <v>0.1885</v>
      </c>
      <c r="AQ79" s="510"/>
      <c r="AR79" s="508"/>
      <c r="AS79" s="511"/>
      <c r="AT79" s="510"/>
      <c r="AU79" s="508">
        <v>42277</v>
      </c>
      <c r="AV79" s="511">
        <v>0.193</v>
      </c>
      <c r="AW79" s="510"/>
      <c r="AX79" s="508">
        <v>42307</v>
      </c>
      <c r="AY79" s="511">
        <v>0.192</v>
      </c>
      <c r="AZ79" s="510"/>
      <c r="BA79" s="508"/>
      <c r="BB79" s="511"/>
      <c r="BC79" s="510"/>
      <c r="BD79" s="508">
        <v>42368</v>
      </c>
      <c r="BE79" s="511">
        <v>0.42749999999999999</v>
      </c>
      <c r="BF79" s="510"/>
      <c r="BG79" s="508"/>
      <c r="BH79" s="511"/>
      <c r="BI79" s="510"/>
      <c r="BJ79" s="508"/>
      <c r="BK79" s="511"/>
      <c r="BL79" s="510"/>
      <c r="BM79" s="508">
        <v>42459</v>
      </c>
      <c r="BN79" s="511">
        <v>0.434</v>
      </c>
      <c r="BO79" s="510"/>
      <c r="BP79" s="508"/>
      <c r="BQ79" s="511"/>
      <c r="BR79" s="510"/>
      <c r="BS79" s="508">
        <v>42521</v>
      </c>
      <c r="BT79" s="511">
        <v>0.46884999999999999</v>
      </c>
      <c r="BU79" s="510"/>
      <c r="BV79" s="508">
        <v>42551</v>
      </c>
      <c r="BW79" s="511">
        <v>0.46505000000000002</v>
      </c>
      <c r="BX79" s="510"/>
      <c r="BY79" s="508"/>
      <c r="BZ79" s="511"/>
      <c r="CA79" s="510"/>
      <c r="CB79" s="508">
        <v>42612</v>
      </c>
      <c r="CC79" s="511">
        <v>0.52322000000000002</v>
      </c>
    </row>
    <row r="80" spans="1:81" ht="16.5" thickTop="1">
      <c r="A80" s="468"/>
      <c r="B80" s="494"/>
      <c r="C80" s="468"/>
      <c r="D80" s="468"/>
      <c r="E80" s="468"/>
      <c r="F80" s="468"/>
      <c r="G80" s="468"/>
      <c r="H80" s="468"/>
      <c r="I80" s="468"/>
      <c r="J80" s="468"/>
      <c r="K80" s="468"/>
      <c r="L80" s="468"/>
      <c r="M80" s="471"/>
      <c r="T80" s="508">
        <v>42004</v>
      </c>
      <c r="U80" s="511">
        <v>0.17125000000000001</v>
      </c>
      <c r="V80" s="510"/>
      <c r="W80" s="510"/>
      <c r="X80" s="510"/>
      <c r="Y80" s="510"/>
      <c r="Z80" s="510"/>
      <c r="AA80" s="510"/>
      <c r="AB80" s="510"/>
      <c r="AC80" s="510"/>
      <c r="AD80" s="510"/>
      <c r="AE80" s="510"/>
      <c r="AF80" s="510"/>
      <c r="AG80" s="510"/>
      <c r="AH80" s="510"/>
      <c r="AI80" s="510"/>
      <c r="AJ80" s="510"/>
      <c r="AK80" s="510"/>
      <c r="AL80" s="510"/>
      <c r="AM80" s="510"/>
      <c r="AN80" s="510"/>
      <c r="AO80" s="508">
        <v>42216</v>
      </c>
      <c r="AP80" s="511">
        <v>0.19175</v>
      </c>
      <c r="AQ80" s="510"/>
      <c r="AR80" s="508"/>
      <c r="AS80" s="511"/>
      <c r="AT80" s="510"/>
      <c r="AU80" s="510"/>
      <c r="AV80" s="510"/>
      <c r="AW80" s="510"/>
      <c r="AX80" s="510"/>
      <c r="AY80" s="510"/>
      <c r="AZ80" s="510"/>
      <c r="BA80" s="508"/>
      <c r="BB80" s="511"/>
      <c r="BC80" s="510"/>
      <c r="BD80" s="508">
        <v>42369</v>
      </c>
      <c r="BE80" s="511">
        <v>0.42949999999999999</v>
      </c>
      <c r="BF80" s="510"/>
      <c r="BG80" s="508"/>
      <c r="BH80" s="511"/>
      <c r="BI80" s="510"/>
      <c r="BJ80" s="510"/>
      <c r="BK80" s="510"/>
      <c r="BL80" s="510"/>
      <c r="BM80" s="508">
        <v>42460</v>
      </c>
      <c r="BN80" s="511">
        <v>0.43725000000000003</v>
      </c>
      <c r="BO80" s="510"/>
      <c r="BP80" s="508"/>
      <c r="BQ80" s="511"/>
      <c r="BR80" s="510"/>
      <c r="BS80" s="508"/>
      <c r="BT80" s="511"/>
      <c r="BU80" s="510"/>
      <c r="BV80" s="508"/>
      <c r="BW80" s="511"/>
      <c r="BX80" s="510"/>
      <c r="BY80" s="508"/>
      <c r="BZ80" s="511"/>
      <c r="CA80" s="510"/>
      <c r="CB80" s="508">
        <v>42613</v>
      </c>
      <c r="CC80" s="511">
        <v>0.52488999999999997</v>
      </c>
    </row>
    <row r="81" spans="1:82" s="518" customFormat="1" ht="15.75">
      <c r="A81" s="471"/>
      <c r="B81" s="494" t="s">
        <v>847</v>
      </c>
      <c r="C81" s="546"/>
      <c r="D81" s="546"/>
      <c r="E81" s="546"/>
      <c r="F81" s="546"/>
      <c r="G81" s="546"/>
      <c r="H81" s="546"/>
      <c r="I81" s="546"/>
      <c r="J81" s="546"/>
      <c r="K81" s="546"/>
      <c r="L81" s="546"/>
      <c r="M81" s="471"/>
      <c r="N81" s="462"/>
      <c r="T81" s="547"/>
      <c r="U81" s="548"/>
      <c r="V81" s="549"/>
      <c r="W81" s="549"/>
      <c r="X81" s="549"/>
      <c r="Y81" s="549"/>
      <c r="Z81" s="549"/>
      <c r="AA81" s="549"/>
      <c r="AB81" s="549"/>
      <c r="AC81" s="549"/>
      <c r="AD81" s="549"/>
      <c r="AE81" s="549"/>
      <c r="AF81" s="549"/>
      <c r="AG81" s="549"/>
      <c r="AH81" s="549"/>
      <c r="AI81" s="549"/>
      <c r="AJ81" s="549"/>
      <c r="AK81" s="549"/>
      <c r="AL81" s="549"/>
      <c r="AM81" s="549"/>
      <c r="AN81" s="549"/>
      <c r="AO81" s="547"/>
      <c r="AP81" s="548"/>
      <c r="AQ81" s="549"/>
      <c r="AR81" s="547"/>
      <c r="AS81" s="548"/>
      <c r="AT81" s="549"/>
      <c r="AU81" s="549"/>
      <c r="AV81" s="549"/>
      <c r="AW81" s="549"/>
      <c r="AX81" s="549"/>
      <c r="AY81" s="549"/>
      <c r="AZ81" s="549"/>
      <c r="BA81" s="547"/>
      <c r="BB81" s="548"/>
      <c r="BC81" s="549"/>
      <c r="BD81" s="547"/>
      <c r="BE81" s="548"/>
      <c r="BF81" s="549"/>
      <c r="BG81" s="547"/>
      <c r="BH81" s="548"/>
      <c r="BI81" s="549"/>
      <c r="BJ81" s="549"/>
      <c r="BK81" s="549"/>
      <c r="BL81" s="549"/>
      <c r="BM81" s="547"/>
      <c r="BN81" s="548"/>
      <c r="BO81" s="549"/>
      <c r="BP81" s="547"/>
      <c r="BQ81" s="548"/>
      <c r="BR81" s="549"/>
      <c r="BS81" s="547"/>
      <c r="BT81" s="548"/>
      <c r="BU81" s="549"/>
      <c r="BV81" s="547"/>
      <c r="BW81" s="548"/>
      <c r="BX81" s="549"/>
      <c r="BY81" s="547"/>
      <c r="BZ81" s="548"/>
      <c r="CA81" s="549"/>
      <c r="CB81" s="547"/>
      <c r="CC81" s="548"/>
    </row>
    <row r="82" spans="1:82" ht="15.75">
      <c r="A82" s="468"/>
      <c r="B82" s="557" t="s">
        <v>848</v>
      </c>
      <c r="C82" s="557"/>
      <c r="D82" s="557"/>
      <c r="E82" s="557"/>
      <c r="F82" s="557"/>
      <c r="G82" s="557"/>
      <c r="H82" s="557"/>
      <c r="I82" s="557"/>
      <c r="J82" s="557"/>
      <c r="K82" s="557"/>
      <c r="L82" s="515"/>
      <c r="M82" s="471"/>
      <c r="W82" s="501"/>
      <c r="X82" s="502"/>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5"/>
      <c r="AZ82" s="465"/>
      <c r="BA82" s="465"/>
      <c r="BB82" s="465"/>
      <c r="BC82" s="465"/>
      <c r="BD82" s="465"/>
      <c r="BE82" s="465"/>
      <c r="BF82" s="465"/>
      <c r="BG82" s="465"/>
      <c r="BH82" s="465"/>
      <c r="BI82" s="465"/>
      <c r="BJ82" s="465"/>
      <c r="BK82" s="465"/>
      <c r="BL82" s="465"/>
      <c r="BM82" s="465"/>
      <c r="BN82" s="465"/>
      <c r="BO82" s="465"/>
      <c r="BP82" s="465"/>
      <c r="BQ82" s="465"/>
      <c r="BR82" s="465"/>
      <c r="BS82" s="465"/>
      <c r="BT82" s="465"/>
      <c r="BU82" s="465"/>
      <c r="BV82" s="465"/>
      <c r="BW82" s="465"/>
      <c r="BX82" s="465"/>
      <c r="BY82" s="465"/>
      <c r="BZ82" s="465"/>
      <c r="CA82" s="465"/>
      <c r="CB82" s="465"/>
      <c r="CC82" s="465"/>
      <c r="CD82" s="465"/>
    </row>
    <row r="83" spans="1:82" ht="15.75">
      <c r="A83" s="468"/>
      <c r="B83" s="468"/>
      <c r="C83" s="516" t="s">
        <v>849</v>
      </c>
      <c r="D83" s="468"/>
      <c r="E83" s="468"/>
      <c r="F83" s="468"/>
      <c r="G83" s="468"/>
      <c r="H83" s="468"/>
      <c r="I83" s="468"/>
      <c r="J83" s="468"/>
      <c r="K83" s="468"/>
      <c r="L83" s="471"/>
      <c r="M83" s="468"/>
      <c r="W83" s="501"/>
      <c r="X83" s="502"/>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65"/>
      <c r="BZ83" s="465"/>
      <c r="CA83" s="465"/>
      <c r="CB83" s="465"/>
      <c r="CC83" s="465"/>
      <c r="CD83" s="465"/>
    </row>
    <row r="84" spans="1:82" ht="15.75">
      <c r="A84" s="468"/>
      <c r="B84" s="557" t="s">
        <v>850</v>
      </c>
      <c r="C84" s="557"/>
      <c r="D84" s="557"/>
      <c r="E84" s="557"/>
      <c r="F84" s="557"/>
      <c r="G84" s="557"/>
      <c r="H84" s="557"/>
      <c r="I84" s="557"/>
      <c r="J84" s="557"/>
      <c r="K84" s="557"/>
      <c r="L84" s="515"/>
      <c r="M84" s="468"/>
      <c r="N84" s="501"/>
      <c r="O84" s="502"/>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465"/>
      <c r="BA84" s="465"/>
      <c r="BB84" s="465"/>
      <c r="BC84" s="465"/>
      <c r="BD84" s="465"/>
      <c r="BE84" s="465"/>
      <c r="BF84" s="465"/>
      <c r="BG84" s="465"/>
      <c r="BH84" s="465"/>
      <c r="BI84" s="465"/>
      <c r="BJ84" s="465"/>
      <c r="BK84" s="465"/>
      <c r="BL84" s="465"/>
      <c r="BM84" s="465"/>
      <c r="BN84" s="465"/>
      <c r="BO84" s="465"/>
      <c r="BP84" s="465"/>
      <c r="BQ84" s="465"/>
      <c r="BR84" s="465"/>
      <c r="BS84" s="465"/>
      <c r="BT84" s="465"/>
      <c r="BU84" s="465"/>
      <c r="BV84" s="465"/>
    </row>
    <row r="85" spans="1:82" ht="15.75">
      <c r="A85" s="468"/>
      <c r="B85" s="468"/>
      <c r="C85" s="516" t="s">
        <v>851</v>
      </c>
      <c r="D85" s="468"/>
      <c r="E85" s="468"/>
      <c r="F85" s="468"/>
      <c r="G85" s="468"/>
      <c r="H85" s="468"/>
      <c r="I85" s="468"/>
      <c r="J85" s="468"/>
      <c r="K85" s="468"/>
      <c r="L85" s="471"/>
      <c r="M85" s="468"/>
      <c r="N85" s="501"/>
      <c r="O85" s="502"/>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row>
    <row r="86" spans="1:82" ht="15.4" customHeight="1">
      <c r="A86" s="468"/>
      <c r="B86" s="494" t="s">
        <v>852</v>
      </c>
      <c r="C86" s="468"/>
      <c r="D86" s="468"/>
      <c r="E86" s="468"/>
      <c r="F86" s="468"/>
      <c r="G86" s="468"/>
      <c r="H86" s="468"/>
      <c r="I86" s="468"/>
      <c r="J86" s="468"/>
      <c r="K86" s="468"/>
      <c r="L86" s="471"/>
      <c r="M86" s="515"/>
      <c r="N86" s="501"/>
      <c r="O86" s="502"/>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465"/>
      <c r="BA86" s="465"/>
      <c r="BB86" s="465"/>
      <c r="BC86" s="465"/>
      <c r="BD86" s="465"/>
      <c r="BE86" s="465"/>
      <c r="BF86" s="465"/>
      <c r="BG86" s="465"/>
      <c r="BH86" s="465"/>
      <c r="BI86" s="465"/>
      <c r="BJ86" s="465"/>
      <c r="BK86" s="465"/>
      <c r="BL86" s="465"/>
      <c r="BM86" s="465"/>
      <c r="BN86" s="465"/>
      <c r="BO86" s="465"/>
      <c r="BP86" s="465"/>
      <c r="BQ86" s="465"/>
      <c r="BR86" s="465"/>
      <c r="BS86" s="465"/>
      <c r="BT86" s="465"/>
      <c r="BU86" s="465"/>
      <c r="BV86" s="465"/>
    </row>
    <row r="87" spans="1:82" ht="15.75">
      <c r="A87" s="468"/>
      <c r="B87" s="494" t="s">
        <v>853</v>
      </c>
      <c r="C87" s="468"/>
      <c r="D87" s="468"/>
      <c r="E87" s="468"/>
      <c r="F87" s="468"/>
      <c r="G87" s="468"/>
      <c r="H87" s="468"/>
      <c r="I87" s="468"/>
      <c r="J87" s="468"/>
      <c r="K87" s="468"/>
      <c r="L87" s="471"/>
      <c r="M87" s="471"/>
      <c r="N87" s="501"/>
      <c r="O87" s="502"/>
      <c r="P87" s="465"/>
      <c r="Q87" s="465"/>
      <c r="R87" s="465"/>
      <c r="S87" s="465"/>
      <c r="T87" s="465"/>
      <c r="U87" s="465"/>
      <c r="V87" s="465"/>
      <c r="W87" s="465"/>
      <c r="X87" s="465"/>
      <c r="Y87" s="465"/>
      <c r="Z87" s="465"/>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465"/>
      <c r="AX87" s="465"/>
      <c r="AY87" s="465"/>
      <c r="AZ87" s="465"/>
      <c r="BA87" s="465"/>
      <c r="BB87" s="465"/>
      <c r="BC87" s="465"/>
      <c r="BD87" s="465"/>
      <c r="BE87" s="465"/>
      <c r="BF87" s="465"/>
      <c r="BG87" s="465"/>
      <c r="BH87" s="465"/>
      <c r="BI87" s="465"/>
      <c r="BJ87" s="465"/>
      <c r="BK87" s="465"/>
      <c r="BL87" s="465"/>
      <c r="BM87" s="465"/>
      <c r="BN87" s="465"/>
      <c r="BO87" s="465"/>
      <c r="BP87" s="465"/>
      <c r="BQ87" s="465"/>
      <c r="BR87" s="465"/>
      <c r="BS87" s="465"/>
      <c r="BT87" s="465"/>
      <c r="BU87" s="465"/>
      <c r="BV87" s="465"/>
    </row>
    <row r="88" spans="1:82" ht="15.4" customHeight="1">
      <c r="A88" s="468"/>
      <c r="B88" s="494" t="s">
        <v>854</v>
      </c>
      <c r="C88" s="468"/>
      <c r="D88" s="468"/>
      <c r="E88" s="468"/>
      <c r="F88" s="468"/>
      <c r="G88" s="468"/>
      <c r="H88" s="468"/>
      <c r="I88" s="468"/>
      <c r="J88" s="468"/>
      <c r="K88" s="468"/>
      <c r="L88" s="471"/>
      <c r="M88" s="515"/>
      <c r="N88" s="501"/>
      <c r="O88" s="502"/>
      <c r="P88" s="465"/>
      <c r="Q88" s="465"/>
      <c r="R88" s="465"/>
      <c r="S88" s="465"/>
      <c r="T88" s="465"/>
      <c r="U88" s="465"/>
      <c r="V88" s="465"/>
      <c r="W88" s="465"/>
      <c r="X88" s="465"/>
      <c r="Y88" s="465"/>
      <c r="Z88" s="465"/>
      <c r="AA88" s="465"/>
      <c r="AB88" s="465"/>
      <c r="AC88" s="465"/>
      <c r="AD88" s="465"/>
      <c r="AE88" s="465"/>
      <c r="AF88" s="465"/>
      <c r="AG88" s="465"/>
      <c r="AH88" s="465"/>
      <c r="AI88" s="465"/>
      <c r="AJ88" s="465"/>
      <c r="AK88" s="465"/>
      <c r="AL88" s="465"/>
      <c r="AM88" s="465"/>
      <c r="AN88" s="465"/>
      <c r="AO88" s="465"/>
      <c r="AP88" s="465"/>
      <c r="AQ88" s="465"/>
      <c r="AR88" s="465"/>
      <c r="AS88" s="465"/>
      <c r="AT88" s="465"/>
      <c r="AU88" s="465"/>
      <c r="AV88" s="465"/>
      <c r="AW88" s="465"/>
      <c r="AX88" s="465"/>
      <c r="AY88" s="465"/>
      <c r="AZ88" s="465"/>
      <c r="BA88" s="465"/>
      <c r="BB88" s="465"/>
      <c r="BC88" s="465"/>
      <c r="BD88" s="465"/>
      <c r="BE88" s="465"/>
      <c r="BF88" s="465"/>
      <c r="BG88" s="465"/>
      <c r="BH88" s="465"/>
      <c r="BI88" s="465"/>
      <c r="BJ88" s="465"/>
      <c r="BK88" s="465"/>
      <c r="BL88" s="465"/>
      <c r="BM88" s="465"/>
      <c r="BN88" s="465"/>
      <c r="BO88" s="465"/>
      <c r="BP88" s="465"/>
      <c r="BQ88" s="465"/>
      <c r="BR88" s="465"/>
      <c r="BS88" s="465"/>
      <c r="BT88" s="465"/>
      <c r="BU88" s="465"/>
      <c r="BV88" s="465"/>
    </row>
    <row r="89" spans="1:82" ht="15.75">
      <c r="M89" s="471"/>
      <c r="N89" s="501"/>
      <c r="O89" s="502"/>
      <c r="P89" s="465"/>
      <c r="Q89" s="465"/>
      <c r="R89" s="465"/>
      <c r="S89" s="465"/>
      <c r="T89" s="465"/>
      <c r="U89" s="465"/>
      <c r="V89" s="465"/>
      <c r="W89" s="465"/>
      <c r="X89" s="465"/>
      <c r="Y89" s="465"/>
      <c r="Z89" s="465"/>
      <c r="AA89" s="465"/>
      <c r="AB89" s="465"/>
      <c r="AC89" s="465"/>
      <c r="AD89" s="465"/>
      <c r="AE89" s="465"/>
      <c r="AF89" s="465"/>
      <c r="AG89" s="465"/>
      <c r="AH89" s="465"/>
      <c r="AI89" s="465"/>
      <c r="AJ89" s="465"/>
      <c r="AK89" s="465"/>
      <c r="AL89" s="465"/>
      <c r="AM89" s="465"/>
      <c r="AN89" s="465"/>
      <c r="AO89" s="465"/>
      <c r="AP89" s="465"/>
      <c r="AQ89" s="465"/>
      <c r="AR89" s="465"/>
      <c r="AS89" s="465"/>
      <c r="AT89" s="465"/>
      <c r="AU89" s="465"/>
      <c r="AV89" s="465"/>
      <c r="AW89" s="465"/>
      <c r="AX89" s="465"/>
      <c r="AY89" s="465"/>
      <c r="AZ89" s="465"/>
      <c r="BA89" s="465"/>
      <c r="BB89" s="465"/>
      <c r="BC89" s="465"/>
      <c r="BD89" s="465"/>
      <c r="BE89" s="465"/>
      <c r="BF89" s="465"/>
      <c r="BG89" s="465"/>
      <c r="BH89" s="465"/>
      <c r="BI89" s="465"/>
      <c r="BJ89" s="465"/>
      <c r="BK89" s="465"/>
      <c r="BL89" s="465"/>
      <c r="BM89" s="465"/>
      <c r="BN89" s="465"/>
      <c r="BO89" s="465"/>
      <c r="BP89" s="465"/>
      <c r="BQ89" s="465"/>
      <c r="BR89" s="465"/>
      <c r="BS89" s="465"/>
      <c r="BT89" s="465"/>
      <c r="BU89" s="465"/>
      <c r="BV89" s="465"/>
    </row>
    <row r="90" spans="1:82" ht="15.75">
      <c r="M90" s="471"/>
      <c r="N90" s="501"/>
      <c r="O90" s="502"/>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row>
    <row r="91" spans="1:82" ht="15.75">
      <c r="M91" s="471"/>
      <c r="N91" s="501"/>
      <c r="O91" s="502"/>
      <c r="P91" s="465"/>
      <c r="Q91" s="465"/>
      <c r="R91" s="465"/>
      <c r="S91" s="465"/>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5"/>
      <c r="AT91" s="465"/>
      <c r="AU91" s="465"/>
      <c r="AV91" s="465"/>
      <c r="AW91" s="465"/>
      <c r="AX91" s="465"/>
      <c r="AY91" s="465"/>
      <c r="AZ91" s="465"/>
      <c r="BA91" s="465"/>
      <c r="BB91" s="465"/>
      <c r="BC91" s="465"/>
      <c r="BD91" s="465"/>
      <c r="BE91" s="465"/>
      <c r="BF91" s="465"/>
      <c r="BG91" s="465"/>
      <c r="BH91" s="465"/>
      <c r="BI91" s="465"/>
      <c r="BJ91" s="465"/>
      <c r="BK91" s="465"/>
      <c r="BL91" s="465"/>
      <c r="BM91" s="465"/>
      <c r="BN91" s="465"/>
      <c r="BO91" s="465"/>
      <c r="BP91" s="465"/>
      <c r="BQ91" s="465"/>
      <c r="BR91" s="465"/>
      <c r="BS91" s="465"/>
      <c r="BT91" s="465"/>
      <c r="BU91" s="465"/>
      <c r="BV91" s="465"/>
    </row>
    <row r="92" spans="1:82" ht="15.75">
      <c r="M92" s="471"/>
      <c r="N92" s="501"/>
      <c r="O92" s="502"/>
      <c r="P92" s="465"/>
      <c r="Q92" s="465"/>
      <c r="R92" s="465"/>
      <c r="S92" s="465"/>
      <c r="T92" s="465"/>
      <c r="U92" s="465"/>
      <c r="V92" s="465"/>
      <c r="W92" s="465"/>
      <c r="X92" s="465"/>
      <c r="Y92" s="465"/>
      <c r="Z92" s="465"/>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5"/>
      <c r="AY92" s="465"/>
      <c r="AZ92" s="465"/>
      <c r="BA92" s="465"/>
      <c r="BB92" s="465"/>
      <c r="BC92" s="465"/>
      <c r="BD92" s="465"/>
      <c r="BE92" s="465"/>
      <c r="BF92" s="465"/>
      <c r="BG92" s="465"/>
      <c r="BH92" s="465"/>
      <c r="BI92" s="465"/>
      <c r="BJ92" s="465"/>
      <c r="BK92" s="465"/>
      <c r="BL92" s="465"/>
      <c r="BM92" s="465"/>
      <c r="BN92" s="465"/>
      <c r="BO92" s="465"/>
      <c r="BP92" s="465"/>
      <c r="BQ92" s="465"/>
      <c r="BR92" s="465"/>
      <c r="BS92" s="465"/>
      <c r="BT92" s="465"/>
      <c r="BU92" s="465"/>
      <c r="BV92" s="465"/>
    </row>
    <row r="93" spans="1:82">
      <c r="A93" s="465"/>
      <c r="B93" s="465"/>
      <c r="C93" s="465"/>
      <c r="D93" s="465"/>
      <c r="E93" s="465"/>
      <c r="F93" s="465"/>
      <c r="G93" s="465"/>
      <c r="H93" s="465"/>
      <c r="I93" s="465"/>
      <c r="J93" s="465"/>
      <c r="K93" s="465"/>
      <c r="L93" s="465"/>
      <c r="M93" s="465"/>
      <c r="N93" s="501"/>
      <c r="O93" s="502"/>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5"/>
      <c r="BF93" s="465"/>
      <c r="BG93" s="465"/>
      <c r="BH93" s="465"/>
      <c r="BI93" s="465"/>
      <c r="BJ93" s="465"/>
      <c r="BK93" s="465"/>
      <c r="BL93" s="465"/>
      <c r="BM93" s="465"/>
      <c r="BN93" s="465"/>
      <c r="BO93" s="465"/>
      <c r="BP93" s="465"/>
      <c r="BQ93" s="465"/>
      <c r="BR93" s="465"/>
      <c r="BS93" s="465"/>
      <c r="BT93" s="465"/>
      <c r="BU93" s="465"/>
      <c r="BV93" s="465"/>
    </row>
    <row r="94" spans="1:82">
      <c r="A94" s="465"/>
      <c r="B94" s="465"/>
      <c r="C94" s="465"/>
      <c r="D94" s="465"/>
      <c r="E94" s="465"/>
      <c r="F94" s="465"/>
      <c r="G94" s="465"/>
      <c r="H94" s="465"/>
      <c r="I94" s="465"/>
      <c r="J94" s="465"/>
      <c r="K94" s="465"/>
      <c r="L94" s="465"/>
      <c r="M94" s="465"/>
      <c r="N94" s="465"/>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c r="AN94" s="465"/>
      <c r="AO94" s="465"/>
      <c r="AP94" s="465"/>
      <c r="AQ94" s="465"/>
      <c r="AR94" s="465"/>
      <c r="AS94" s="465"/>
      <c r="AT94" s="465"/>
      <c r="AU94" s="465"/>
      <c r="AV94" s="465"/>
      <c r="AW94" s="465"/>
      <c r="AX94" s="465"/>
      <c r="AY94" s="465"/>
      <c r="AZ94" s="465"/>
      <c r="BA94" s="465"/>
      <c r="BB94" s="465"/>
      <c r="BC94" s="465"/>
      <c r="BD94" s="465"/>
      <c r="BE94" s="465"/>
      <c r="BF94" s="465"/>
      <c r="BG94" s="465"/>
      <c r="BH94" s="465"/>
      <c r="BI94" s="465"/>
      <c r="BJ94" s="465"/>
      <c r="BK94" s="465"/>
      <c r="BL94" s="465"/>
      <c r="BM94" s="465"/>
      <c r="BN94" s="465"/>
      <c r="BO94" s="465"/>
      <c r="BP94" s="465"/>
      <c r="BQ94" s="465"/>
      <c r="BR94" s="465"/>
      <c r="BS94" s="465"/>
      <c r="BT94" s="465"/>
      <c r="BU94" s="465"/>
      <c r="BV94" s="465"/>
    </row>
    <row r="95" spans="1:82">
      <c r="A95" s="465"/>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5"/>
      <c r="AY95" s="465"/>
      <c r="AZ95" s="465"/>
      <c r="BA95" s="465"/>
      <c r="BB95" s="465"/>
      <c r="BC95" s="465"/>
      <c r="BD95" s="465"/>
      <c r="BE95" s="465"/>
      <c r="BF95" s="465"/>
      <c r="BG95" s="465"/>
      <c r="BH95" s="465"/>
      <c r="BI95" s="465"/>
      <c r="BJ95" s="465"/>
      <c r="BK95" s="465"/>
      <c r="BL95" s="465"/>
      <c r="BM95" s="465"/>
      <c r="BN95" s="465"/>
      <c r="BO95" s="465"/>
      <c r="BP95" s="465"/>
      <c r="BQ95" s="465"/>
      <c r="BR95" s="465"/>
      <c r="BS95" s="465"/>
      <c r="BT95" s="465"/>
      <c r="BU95" s="465"/>
      <c r="BV95" s="465"/>
    </row>
    <row r="96" spans="1:82">
      <c r="A96" s="465"/>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5"/>
      <c r="BF96" s="465"/>
      <c r="BG96" s="465"/>
      <c r="BH96" s="465"/>
      <c r="BI96" s="465"/>
      <c r="BJ96" s="465"/>
      <c r="BK96" s="465"/>
      <c r="BL96" s="465"/>
      <c r="BM96" s="465"/>
      <c r="BN96" s="465"/>
      <c r="BO96" s="465"/>
      <c r="BP96" s="465"/>
      <c r="BQ96" s="465"/>
      <c r="BR96" s="465"/>
      <c r="BS96" s="465"/>
      <c r="BT96" s="465"/>
      <c r="BU96" s="465"/>
      <c r="BV96" s="465"/>
    </row>
    <row r="97" spans="1:74">
      <c r="A97" s="465"/>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65"/>
      <c r="BJ97" s="465"/>
      <c r="BK97" s="465"/>
      <c r="BL97" s="465"/>
      <c r="BM97" s="465"/>
      <c r="BN97" s="465"/>
      <c r="BO97" s="465"/>
      <c r="BP97" s="465"/>
      <c r="BQ97" s="465"/>
      <c r="BR97" s="465"/>
      <c r="BS97" s="465"/>
      <c r="BT97" s="465"/>
      <c r="BU97" s="465"/>
      <c r="BV97" s="465"/>
    </row>
    <row r="98" spans="1:74">
      <c r="A98" s="465"/>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5"/>
      <c r="BT98" s="465"/>
      <c r="BU98" s="465"/>
      <c r="BV98" s="465"/>
    </row>
    <row r="99" spans="1:74">
      <c r="A99" s="465"/>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row>
    <row r="100" spans="1:74">
      <c r="A100" s="465"/>
      <c r="B100" s="465"/>
      <c r="C100" s="465"/>
      <c r="D100" s="465"/>
      <c r="E100" s="465"/>
      <c r="F100" s="465"/>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5"/>
      <c r="AY100" s="465"/>
      <c r="AZ100" s="465"/>
      <c r="BA100" s="465"/>
      <c r="BB100" s="465"/>
      <c r="BC100" s="465"/>
      <c r="BD100" s="465"/>
      <c r="BE100" s="465"/>
      <c r="BF100" s="465"/>
      <c r="BG100" s="465"/>
      <c r="BH100" s="465"/>
      <c r="BI100" s="465"/>
      <c r="BJ100" s="465"/>
      <c r="BK100" s="465"/>
      <c r="BL100" s="465"/>
      <c r="BM100" s="465"/>
      <c r="BN100" s="465"/>
      <c r="BO100" s="465"/>
      <c r="BP100" s="465"/>
      <c r="BQ100" s="465"/>
      <c r="BR100" s="465"/>
      <c r="BS100" s="465"/>
      <c r="BT100" s="465"/>
      <c r="BU100" s="465"/>
      <c r="BV100" s="465"/>
    </row>
    <row r="101" spans="1:74">
      <c r="A101" s="465"/>
      <c r="B101" s="465"/>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c r="BO101" s="465"/>
      <c r="BP101" s="465"/>
      <c r="BQ101" s="465"/>
      <c r="BR101" s="465"/>
      <c r="BS101" s="465"/>
      <c r="BT101" s="465"/>
      <c r="BU101" s="465"/>
      <c r="BV101" s="465"/>
    </row>
    <row r="102" spans="1:74">
      <c r="A102" s="465"/>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row>
    <row r="103" spans="1:74">
      <c r="A103" s="465"/>
      <c r="B103" s="465"/>
      <c r="C103" s="465"/>
      <c r="D103" s="465"/>
      <c r="E103" s="465"/>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c r="BH103" s="465"/>
      <c r="BI103" s="465"/>
      <c r="BJ103" s="465"/>
      <c r="BK103" s="465"/>
      <c r="BL103" s="465"/>
      <c r="BM103" s="465"/>
      <c r="BN103" s="465"/>
      <c r="BO103" s="465"/>
      <c r="BP103" s="465"/>
      <c r="BQ103" s="465"/>
      <c r="BR103" s="465"/>
      <c r="BS103" s="465"/>
      <c r="BT103" s="465"/>
      <c r="BU103" s="465"/>
      <c r="BV103" s="465"/>
    </row>
    <row r="104" spans="1:74">
      <c r="A104" s="465"/>
      <c r="B104" s="465"/>
      <c r="C104" s="465"/>
      <c r="D104" s="465"/>
      <c r="E104" s="465"/>
      <c r="F104" s="465"/>
      <c r="G104" s="465"/>
      <c r="H104" s="465"/>
      <c r="I104" s="465"/>
      <c r="J104" s="465"/>
      <c r="K104" s="465"/>
      <c r="L104" s="465"/>
      <c r="M104" s="465"/>
      <c r="N104" s="465"/>
      <c r="O104" s="465"/>
      <c r="P104" s="465"/>
      <c r="Q104" s="465"/>
      <c r="R104" s="465"/>
      <c r="S104" s="465"/>
      <c r="T104" s="465"/>
      <c r="U104" s="465"/>
      <c r="V104" s="465"/>
      <c r="W104" s="465"/>
      <c r="X104" s="465"/>
      <c r="Y104" s="465"/>
      <c r="Z104" s="465"/>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5"/>
      <c r="AY104" s="465"/>
      <c r="AZ104" s="465"/>
      <c r="BA104" s="465"/>
      <c r="BB104" s="465"/>
      <c r="BC104" s="465"/>
      <c r="BD104" s="465"/>
      <c r="BE104" s="465"/>
      <c r="BF104" s="465"/>
      <c r="BG104" s="465"/>
      <c r="BH104" s="465"/>
      <c r="BI104" s="465"/>
      <c r="BJ104" s="465"/>
      <c r="BK104" s="465"/>
      <c r="BL104" s="465"/>
      <c r="BM104" s="465"/>
      <c r="BN104" s="465"/>
      <c r="BO104" s="465"/>
      <c r="BP104" s="465"/>
      <c r="BQ104" s="465"/>
      <c r="BR104" s="465"/>
      <c r="BS104" s="465"/>
      <c r="BT104" s="465"/>
      <c r="BU104" s="465"/>
      <c r="BV104" s="465"/>
    </row>
    <row r="105" spans="1:74">
      <c r="A105" s="465"/>
      <c r="B105" s="465"/>
      <c r="C105" s="465"/>
      <c r="D105" s="465"/>
      <c r="E105" s="465"/>
      <c r="F105" s="465"/>
      <c r="G105" s="465"/>
      <c r="H105" s="465"/>
      <c r="I105" s="465"/>
      <c r="J105" s="465"/>
      <c r="K105" s="465"/>
      <c r="L105" s="465"/>
      <c r="M105" s="465"/>
      <c r="N105" s="465"/>
      <c r="O105" s="465"/>
      <c r="P105" s="465"/>
      <c r="Q105" s="465"/>
      <c r="R105" s="465"/>
      <c r="S105" s="465"/>
      <c r="T105" s="465"/>
      <c r="U105" s="465"/>
      <c r="V105" s="465"/>
      <c r="W105" s="465"/>
      <c r="X105" s="465"/>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5"/>
      <c r="AY105" s="465"/>
      <c r="AZ105" s="465"/>
      <c r="BA105" s="465"/>
      <c r="BB105" s="465"/>
      <c r="BC105" s="465"/>
      <c r="BD105" s="465"/>
      <c r="BE105" s="465"/>
      <c r="BF105" s="465"/>
      <c r="BG105" s="465"/>
      <c r="BH105" s="465"/>
      <c r="BI105" s="465"/>
      <c r="BJ105" s="465"/>
      <c r="BK105" s="465"/>
      <c r="BL105" s="465"/>
      <c r="BM105" s="465"/>
      <c r="BN105" s="465"/>
      <c r="BO105" s="465"/>
      <c r="BP105" s="465"/>
      <c r="BQ105" s="465"/>
      <c r="BR105" s="465"/>
      <c r="BS105" s="465"/>
      <c r="BT105" s="465"/>
      <c r="BU105" s="465"/>
      <c r="BV105" s="465"/>
    </row>
    <row r="106" spans="1:74">
      <c r="A106" s="465"/>
      <c r="B106" s="465"/>
      <c r="C106" s="465"/>
      <c r="D106" s="465"/>
      <c r="E106" s="465"/>
      <c r="F106" s="465"/>
      <c r="G106" s="465"/>
      <c r="H106" s="465"/>
      <c r="I106" s="465"/>
      <c r="J106" s="465"/>
      <c r="K106" s="465"/>
      <c r="L106" s="465"/>
      <c r="M106" s="465"/>
      <c r="N106" s="465"/>
      <c r="O106" s="465"/>
      <c r="P106" s="465"/>
      <c r="Q106" s="465"/>
      <c r="R106" s="465"/>
      <c r="S106" s="465"/>
      <c r="T106" s="465"/>
      <c r="U106" s="465"/>
      <c r="V106" s="465"/>
      <c r="W106" s="465"/>
      <c r="X106" s="465"/>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5"/>
      <c r="AY106" s="465"/>
      <c r="AZ106" s="465"/>
      <c r="BA106" s="465"/>
      <c r="BB106" s="465"/>
      <c r="BC106" s="465"/>
      <c r="BD106" s="465"/>
      <c r="BE106" s="465"/>
      <c r="BF106" s="465"/>
      <c r="BG106" s="465"/>
      <c r="BH106" s="465"/>
      <c r="BI106" s="465"/>
      <c r="BJ106" s="465"/>
      <c r="BK106" s="465"/>
      <c r="BL106" s="465"/>
      <c r="BM106" s="465"/>
      <c r="BN106" s="465"/>
      <c r="BO106" s="465"/>
      <c r="BP106" s="465"/>
      <c r="BQ106" s="465"/>
      <c r="BR106" s="465"/>
      <c r="BS106" s="465"/>
      <c r="BT106" s="465"/>
      <c r="BU106" s="465"/>
      <c r="BV106" s="465"/>
    </row>
    <row r="107" spans="1:74">
      <c r="A107" s="465"/>
      <c r="B107" s="465"/>
      <c r="C107" s="465"/>
      <c r="D107" s="465"/>
      <c r="E107" s="465"/>
      <c r="F107" s="465"/>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5"/>
      <c r="AY107" s="465"/>
      <c r="AZ107" s="465"/>
      <c r="BA107" s="465"/>
      <c r="BB107" s="465"/>
      <c r="BC107" s="465"/>
      <c r="BD107" s="465"/>
      <c r="BE107" s="465"/>
      <c r="BF107" s="465"/>
      <c r="BG107" s="465"/>
      <c r="BH107" s="465"/>
      <c r="BI107" s="465"/>
      <c r="BJ107" s="465"/>
      <c r="BK107" s="465"/>
      <c r="BL107" s="465"/>
      <c r="BM107" s="465"/>
      <c r="BN107" s="465"/>
      <c r="BO107" s="465"/>
      <c r="BP107" s="465"/>
      <c r="BQ107" s="465"/>
      <c r="BR107" s="465"/>
      <c r="BS107" s="465"/>
      <c r="BT107" s="465"/>
      <c r="BU107" s="465"/>
      <c r="BV107" s="465"/>
    </row>
    <row r="108" spans="1:74">
      <c r="A108" s="465"/>
      <c r="B108" s="465"/>
      <c r="C108" s="465"/>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65"/>
      <c r="BN108" s="465"/>
      <c r="BO108" s="465"/>
      <c r="BP108" s="465"/>
      <c r="BQ108" s="465"/>
      <c r="BR108" s="465"/>
      <c r="BS108" s="465"/>
      <c r="BT108" s="465"/>
      <c r="BU108" s="465"/>
      <c r="BV108" s="465"/>
    </row>
    <row r="109" spans="1:74">
      <c r="A109" s="465"/>
      <c r="B109" s="465"/>
      <c r="C109" s="465"/>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5"/>
      <c r="AY109" s="465"/>
      <c r="AZ109" s="465"/>
      <c r="BA109" s="465"/>
      <c r="BB109" s="465"/>
      <c r="BC109" s="465"/>
      <c r="BD109" s="465"/>
      <c r="BE109" s="465"/>
      <c r="BF109" s="465"/>
      <c r="BG109" s="465"/>
      <c r="BH109" s="465"/>
      <c r="BI109" s="465"/>
      <c r="BJ109" s="465"/>
      <c r="BK109" s="465"/>
      <c r="BL109" s="465"/>
      <c r="BM109" s="465"/>
      <c r="BN109" s="465"/>
      <c r="BO109" s="465"/>
      <c r="BP109" s="465"/>
      <c r="BQ109" s="465"/>
      <c r="BR109" s="465"/>
      <c r="BS109" s="465"/>
      <c r="BT109" s="465"/>
      <c r="BU109" s="465"/>
      <c r="BV109" s="465"/>
    </row>
    <row r="110" spans="1:74">
      <c r="A110" s="465"/>
      <c r="B110" s="465"/>
      <c r="C110" s="465"/>
      <c r="D110" s="465"/>
      <c r="E110" s="465"/>
      <c r="F110" s="465"/>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5"/>
      <c r="AY110" s="465"/>
      <c r="AZ110" s="465"/>
      <c r="BA110" s="465"/>
      <c r="BB110" s="465"/>
      <c r="BC110" s="465"/>
      <c r="BD110" s="465"/>
      <c r="BE110" s="465"/>
      <c r="BF110" s="465"/>
      <c r="BG110" s="465"/>
      <c r="BH110" s="465"/>
      <c r="BI110" s="465"/>
      <c r="BJ110" s="465"/>
      <c r="BK110" s="465"/>
      <c r="BL110" s="465"/>
      <c r="BM110" s="465"/>
      <c r="BN110" s="465"/>
      <c r="BO110" s="465"/>
      <c r="BP110" s="465"/>
      <c r="BQ110" s="465"/>
      <c r="BR110" s="465"/>
      <c r="BS110" s="465"/>
      <c r="BT110" s="465"/>
      <c r="BU110" s="465"/>
      <c r="BV110" s="465"/>
    </row>
    <row r="111" spans="1:74">
      <c r="A111" s="465"/>
      <c r="B111" s="465"/>
      <c r="C111" s="465"/>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65"/>
      <c r="AE111" s="465"/>
      <c r="AF111" s="465"/>
      <c r="AG111" s="465"/>
      <c r="AH111" s="465"/>
      <c r="AI111" s="465"/>
      <c r="AJ111" s="465"/>
      <c r="AK111" s="465"/>
      <c r="AL111" s="465"/>
      <c r="AM111" s="465"/>
      <c r="AN111" s="465"/>
      <c r="AO111" s="465"/>
      <c r="AP111" s="465"/>
      <c r="AQ111" s="465"/>
      <c r="AR111" s="465"/>
      <c r="AS111" s="465"/>
      <c r="AT111" s="465"/>
      <c r="AU111" s="465"/>
      <c r="AV111" s="465"/>
      <c r="AW111" s="465"/>
      <c r="AX111" s="465"/>
      <c r="AY111" s="465"/>
      <c r="AZ111" s="465"/>
      <c r="BA111" s="465"/>
      <c r="BB111" s="465"/>
      <c r="BC111" s="465"/>
      <c r="BD111" s="465"/>
      <c r="BE111" s="465"/>
      <c r="BF111" s="465"/>
      <c r="BG111" s="465"/>
      <c r="BH111" s="465"/>
      <c r="BI111" s="465"/>
      <c r="BJ111" s="465"/>
      <c r="BK111" s="465"/>
      <c r="BL111" s="465"/>
      <c r="BM111" s="465"/>
      <c r="BN111" s="465"/>
      <c r="BO111" s="465"/>
      <c r="BP111" s="465"/>
      <c r="BQ111" s="465"/>
      <c r="BR111" s="465"/>
      <c r="BS111" s="465"/>
      <c r="BT111" s="465"/>
      <c r="BU111" s="465"/>
      <c r="BV111" s="465"/>
    </row>
    <row r="112" spans="1:74">
      <c r="A112" s="465"/>
      <c r="B112" s="465"/>
      <c r="C112" s="465"/>
      <c r="D112" s="465"/>
      <c r="E112" s="465"/>
      <c r="F112" s="465"/>
      <c r="G112" s="465"/>
      <c r="H112" s="465"/>
      <c r="I112" s="465"/>
      <c r="J112" s="465"/>
      <c r="K112" s="465"/>
      <c r="L112" s="465"/>
      <c r="M112" s="465"/>
      <c r="N112" s="465"/>
      <c r="O112" s="465"/>
      <c r="P112" s="465"/>
      <c r="Q112" s="465"/>
      <c r="R112" s="465"/>
      <c r="S112" s="465"/>
      <c r="T112" s="465"/>
      <c r="U112" s="465"/>
      <c r="V112" s="465"/>
      <c r="W112" s="465"/>
      <c r="X112" s="465"/>
      <c r="Y112" s="465"/>
      <c r="Z112" s="465"/>
      <c r="AA112" s="465"/>
      <c r="AB112" s="465"/>
      <c r="AC112" s="465"/>
      <c r="AD112" s="465"/>
      <c r="AE112" s="465"/>
      <c r="AF112" s="465"/>
      <c r="AG112" s="465"/>
      <c r="AH112" s="465"/>
      <c r="AI112" s="465"/>
      <c r="AJ112" s="465"/>
      <c r="AK112" s="465"/>
      <c r="AL112" s="465"/>
      <c r="AM112" s="465"/>
      <c r="AN112" s="465"/>
      <c r="AO112" s="465"/>
      <c r="AP112" s="465"/>
      <c r="AQ112" s="465"/>
      <c r="AR112" s="465"/>
      <c r="AS112" s="465"/>
      <c r="AT112" s="465"/>
      <c r="AU112" s="465"/>
      <c r="AV112" s="465"/>
      <c r="AW112" s="465"/>
      <c r="AX112" s="465"/>
      <c r="AY112" s="465"/>
      <c r="AZ112" s="465"/>
      <c r="BA112" s="465"/>
      <c r="BB112" s="465"/>
      <c r="BC112" s="465"/>
      <c r="BD112" s="465"/>
      <c r="BE112" s="465"/>
      <c r="BF112" s="465"/>
      <c r="BG112" s="465"/>
      <c r="BH112" s="465"/>
      <c r="BI112" s="465"/>
      <c r="BJ112" s="465"/>
      <c r="BK112" s="465"/>
      <c r="BL112" s="465"/>
      <c r="BM112" s="465"/>
      <c r="BN112" s="465"/>
      <c r="BO112" s="465"/>
      <c r="BP112" s="465"/>
      <c r="BQ112" s="465"/>
      <c r="BR112" s="465"/>
      <c r="BS112" s="465"/>
      <c r="BT112" s="465"/>
      <c r="BU112" s="465"/>
      <c r="BV112" s="465"/>
    </row>
    <row r="113" spans="1:74">
      <c r="A113" s="465"/>
      <c r="B113" s="465"/>
      <c r="C113" s="465"/>
      <c r="D113" s="465"/>
      <c r="E113" s="465"/>
      <c r="F113" s="465"/>
      <c r="G113" s="465"/>
      <c r="H113" s="465"/>
      <c r="I113" s="465"/>
      <c r="J113" s="465"/>
      <c r="K113" s="465"/>
      <c r="L113" s="465"/>
      <c r="M113" s="465"/>
      <c r="N113" s="465"/>
      <c r="O113" s="465"/>
      <c r="P113" s="465"/>
      <c r="Q113" s="465"/>
      <c r="R113" s="465"/>
      <c r="S113" s="465"/>
      <c r="T113" s="465"/>
      <c r="U113" s="465"/>
      <c r="V113" s="465"/>
      <c r="W113" s="465"/>
      <c r="X113" s="465"/>
      <c r="Y113" s="465"/>
      <c r="Z113" s="465"/>
      <c r="AA113" s="465"/>
      <c r="AB113" s="465"/>
      <c r="AC113" s="465"/>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5"/>
      <c r="AY113" s="465"/>
      <c r="AZ113" s="465"/>
      <c r="BA113" s="465"/>
      <c r="BB113" s="465"/>
      <c r="BC113" s="465"/>
      <c r="BD113" s="465"/>
      <c r="BE113" s="465"/>
      <c r="BF113" s="465"/>
      <c r="BG113" s="465"/>
      <c r="BH113" s="465"/>
      <c r="BI113" s="465"/>
      <c r="BJ113" s="465"/>
      <c r="BK113" s="465"/>
      <c r="BL113" s="465"/>
      <c r="BM113" s="465"/>
      <c r="BN113" s="465"/>
      <c r="BO113" s="465"/>
      <c r="BP113" s="465"/>
      <c r="BQ113" s="465"/>
      <c r="BR113" s="465"/>
      <c r="BS113" s="465"/>
      <c r="BT113" s="465"/>
      <c r="BU113" s="465"/>
      <c r="BV113" s="465"/>
    </row>
    <row r="114" spans="1:74">
      <c r="A114" s="465"/>
      <c r="B114" s="465"/>
      <c r="C114" s="465"/>
      <c r="D114" s="465"/>
      <c r="E114" s="465"/>
      <c r="F114" s="465"/>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65"/>
      <c r="BJ114" s="465"/>
      <c r="BK114" s="465"/>
      <c r="BL114" s="465"/>
      <c r="BM114" s="465"/>
      <c r="BN114" s="465"/>
      <c r="BO114" s="465"/>
      <c r="BP114" s="465"/>
      <c r="BQ114" s="465"/>
      <c r="BR114" s="465"/>
      <c r="BS114" s="465"/>
      <c r="BT114" s="465"/>
      <c r="BU114" s="465"/>
      <c r="BV114" s="465"/>
    </row>
    <row r="115" spans="1:74">
      <c r="A115" s="465"/>
      <c r="B115" s="465"/>
      <c r="C115" s="465"/>
      <c r="D115" s="465"/>
      <c r="E115" s="465"/>
      <c r="F115" s="465"/>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5"/>
      <c r="BN115" s="465"/>
      <c r="BO115" s="465"/>
      <c r="BP115" s="465"/>
      <c r="BQ115" s="465"/>
      <c r="BR115" s="465"/>
      <c r="BS115" s="465"/>
      <c r="BT115" s="465"/>
      <c r="BU115" s="465"/>
      <c r="BV115" s="465"/>
    </row>
    <row r="116" spans="1:74">
      <c r="A116" s="465"/>
      <c r="B116" s="465"/>
      <c r="C116" s="465"/>
      <c r="D116" s="465"/>
      <c r="E116" s="465"/>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465"/>
      <c r="AM116" s="465"/>
      <c r="AN116" s="465"/>
      <c r="AO116" s="465"/>
      <c r="AP116" s="465"/>
      <c r="AQ116" s="465"/>
      <c r="AR116" s="465"/>
      <c r="AS116" s="465"/>
      <c r="AT116" s="465"/>
      <c r="AU116" s="465"/>
      <c r="AV116" s="465"/>
      <c r="AW116" s="465"/>
      <c r="AX116" s="465"/>
      <c r="AY116" s="465"/>
      <c r="AZ116" s="465"/>
      <c r="BA116" s="465"/>
      <c r="BB116" s="465"/>
      <c r="BC116" s="465"/>
      <c r="BD116" s="465"/>
      <c r="BE116" s="465"/>
      <c r="BF116" s="465"/>
      <c r="BG116" s="465"/>
      <c r="BH116" s="465"/>
      <c r="BI116" s="465"/>
      <c r="BJ116" s="465"/>
      <c r="BK116" s="465"/>
      <c r="BL116" s="465"/>
      <c r="BM116" s="465"/>
      <c r="BN116" s="465"/>
      <c r="BO116" s="465"/>
      <c r="BP116" s="465"/>
      <c r="BQ116" s="465"/>
      <c r="BR116" s="465"/>
      <c r="BS116" s="465"/>
      <c r="BT116" s="465"/>
      <c r="BU116" s="465"/>
      <c r="BV116" s="465"/>
    </row>
    <row r="117" spans="1:74">
      <c r="A117" s="465"/>
      <c r="B117" s="465"/>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65"/>
      <c r="BJ117" s="465"/>
      <c r="BK117" s="465"/>
      <c r="BL117" s="465"/>
      <c r="BM117" s="465"/>
      <c r="BN117" s="465"/>
      <c r="BO117" s="465"/>
      <c r="BP117" s="465"/>
      <c r="BQ117" s="465"/>
      <c r="BR117" s="465"/>
      <c r="BS117" s="465"/>
      <c r="BT117" s="465"/>
      <c r="BU117" s="465"/>
      <c r="BV117" s="465"/>
    </row>
    <row r="118" spans="1:74">
      <c r="A118" s="465"/>
      <c r="B118" s="465"/>
      <c r="C118" s="465"/>
      <c r="D118" s="465"/>
      <c r="E118" s="465"/>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5"/>
      <c r="AY118" s="465"/>
      <c r="AZ118" s="465"/>
      <c r="BA118" s="465"/>
      <c r="BB118" s="465"/>
      <c r="BC118" s="465"/>
      <c r="BD118" s="465"/>
      <c r="BE118" s="465"/>
      <c r="BF118" s="465"/>
      <c r="BG118" s="465"/>
      <c r="BH118" s="465"/>
      <c r="BI118" s="465"/>
      <c r="BJ118" s="465"/>
      <c r="BK118" s="465"/>
      <c r="BL118" s="465"/>
      <c r="BM118" s="465"/>
      <c r="BN118" s="465"/>
      <c r="BO118" s="465"/>
      <c r="BP118" s="465"/>
      <c r="BQ118" s="465"/>
      <c r="BR118" s="465"/>
      <c r="BS118" s="465"/>
      <c r="BT118" s="465"/>
      <c r="BU118" s="465"/>
      <c r="BV118" s="465"/>
    </row>
    <row r="119" spans="1:74">
      <c r="A119" s="465"/>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465"/>
      <c r="AM119" s="465"/>
      <c r="AN119" s="465"/>
      <c r="AO119" s="465"/>
      <c r="AP119" s="465"/>
      <c r="AQ119" s="465"/>
      <c r="AR119" s="465"/>
      <c r="AS119" s="465"/>
      <c r="AT119" s="465"/>
      <c r="AU119" s="465"/>
      <c r="AV119" s="465"/>
      <c r="AW119" s="465"/>
      <c r="AX119" s="465"/>
      <c r="AY119" s="465"/>
      <c r="AZ119" s="465"/>
      <c r="BA119" s="465"/>
      <c r="BB119" s="465"/>
      <c r="BC119" s="465"/>
      <c r="BD119" s="465"/>
      <c r="BE119" s="465"/>
      <c r="BF119" s="465"/>
      <c r="BG119" s="465"/>
      <c r="BH119" s="465"/>
      <c r="BI119" s="465"/>
      <c r="BJ119" s="465"/>
      <c r="BK119" s="465"/>
      <c r="BL119" s="465"/>
      <c r="BM119" s="465"/>
      <c r="BN119" s="465"/>
      <c r="BO119" s="465"/>
      <c r="BP119" s="465"/>
      <c r="BQ119" s="465"/>
      <c r="BR119" s="465"/>
      <c r="BS119" s="465"/>
      <c r="BT119" s="465"/>
      <c r="BU119" s="465"/>
      <c r="BV119" s="465"/>
    </row>
    <row r="120" spans="1:74">
      <c r="A120" s="465"/>
      <c r="B120" s="465"/>
      <c r="C120" s="465"/>
      <c r="D120" s="465"/>
      <c r="E120" s="465"/>
      <c r="F120" s="465"/>
      <c r="G120" s="465"/>
      <c r="H120" s="465"/>
      <c r="I120" s="465"/>
      <c r="J120" s="465"/>
      <c r="K120" s="465"/>
      <c r="L120" s="465"/>
      <c r="M120" s="465"/>
      <c r="N120" s="465"/>
      <c r="O120" s="465"/>
      <c r="P120" s="465"/>
      <c r="Q120" s="465"/>
      <c r="R120" s="465"/>
      <c r="S120" s="465"/>
      <c r="T120" s="465"/>
      <c r="U120" s="465"/>
      <c r="V120" s="465"/>
      <c r="W120" s="465"/>
      <c r="X120" s="465"/>
      <c r="Y120" s="465"/>
      <c r="Z120" s="465"/>
      <c r="AA120" s="465"/>
      <c r="AB120" s="465"/>
      <c r="AC120" s="465"/>
      <c r="AD120" s="465"/>
      <c r="AE120" s="465"/>
      <c r="AF120" s="465"/>
      <c r="AG120" s="465"/>
      <c r="AH120" s="465"/>
      <c r="AI120" s="465"/>
      <c r="AJ120" s="465"/>
      <c r="AK120" s="465"/>
      <c r="AL120" s="465"/>
      <c r="AM120" s="465"/>
      <c r="AN120" s="465"/>
      <c r="AO120" s="465"/>
      <c r="AP120" s="465"/>
      <c r="AQ120" s="465"/>
      <c r="AR120" s="465"/>
      <c r="AS120" s="465"/>
      <c r="AT120" s="465"/>
      <c r="AU120" s="465"/>
      <c r="AV120" s="465"/>
      <c r="AW120" s="465"/>
      <c r="AX120" s="465"/>
      <c r="AY120" s="465"/>
      <c r="AZ120" s="465"/>
      <c r="BA120" s="465"/>
      <c r="BB120" s="465"/>
      <c r="BC120" s="465"/>
      <c r="BD120" s="465"/>
      <c r="BE120" s="465"/>
      <c r="BF120" s="465"/>
      <c r="BG120" s="465"/>
      <c r="BH120" s="465"/>
      <c r="BI120" s="465"/>
      <c r="BJ120" s="465"/>
      <c r="BK120" s="465"/>
      <c r="BL120" s="465"/>
      <c r="BM120" s="465"/>
      <c r="BN120" s="465"/>
      <c r="BO120" s="465"/>
      <c r="BP120" s="465"/>
      <c r="BQ120" s="465"/>
      <c r="BR120" s="465"/>
      <c r="BS120" s="465"/>
      <c r="BT120" s="465"/>
      <c r="BU120" s="465"/>
      <c r="BV120" s="465"/>
    </row>
    <row r="121" spans="1:74">
      <c r="A121" s="465"/>
      <c r="B121" s="465"/>
      <c r="C121" s="465"/>
      <c r="D121" s="465"/>
      <c r="E121" s="465"/>
      <c r="F121" s="465"/>
      <c r="G121" s="465"/>
      <c r="H121" s="465"/>
      <c r="I121" s="465"/>
      <c r="J121" s="465"/>
      <c r="K121" s="465"/>
      <c r="L121" s="465"/>
      <c r="M121" s="465"/>
      <c r="N121" s="465"/>
      <c r="O121" s="465"/>
      <c r="P121" s="465"/>
      <c r="Q121" s="465"/>
      <c r="R121" s="465"/>
      <c r="S121" s="465"/>
      <c r="T121" s="465"/>
      <c r="U121" s="465"/>
      <c r="V121" s="465"/>
      <c r="W121" s="465"/>
      <c r="X121" s="465"/>
      <c r="Y121" s="465"/>
      <c r="Z121" s="465"/>
      <c r="AA121" s="465"/>
      <c r="AB121" s="465"/>
      <c r="AC121" s="465"/>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5"/>
      <c r="AY121" s="465"/>
      <c r="AZ121" s="465"/>
      <c r="BA121" s="465"/>
      <c r="BB121" s="465"/>
      <c r="BC121" s="465"/>
      <c r="BD121" s="465"/>
      <c r="BE121" s="465"/>
      <c r="BF121" s="465"/>
      <c r="BG121" s="465"/>
      <c r="BH121" s="465"/>
      <c r="BI121" s="465"/>
      <c r="BJ121" s="465"/>
      <c r="BK121" s="465"/>
      <c r="BL121" s="465"/>
      <c r="BM121" s="465"/>
      <c r="BN121" s="465"/>
      <c r="BO121" s="465"/>
      <c r="BP121" s="465"/>
      <c r="BQ121" s="465"/>
      <c r="BR121" s="465"/>
      <c r="BS121" s="465"/>
      <c r="BT121" s="465"/>
      <c r="BU121" s="465"/>
      <c r="BV121" s="465"/>
    </row>
    <row r="122" spans="1:74">
      <c r="A122" s="465"/>
      <c r="B122" s="465"/>
      <c r="C122" s="465"/>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5"/>
      <c r="AD122" s="465"/>
      <c r="AE122" s="465"/>
      <c r="AF122" s="465"/>
      <c r="AG122" s="465"/>
      <c r="AH122" s="465"/>
      <c r="AI122" s="465"/>
      <c r="AJ122" s="465"/>
      <c r="AK122" s="465"/>
      <c r="AL122" s="465"/>
      <c r="AM122" s="465"/>
      <c r="AN122" s="465"/>
      <c r="AO122" s="465"/>
      <c r="AP122" s="465"/>
      <c r="AQ122" s="465"/>
      <c r="AR122" s="465"/>
      <c r="AS122" s="465"/>
      <c r="AT122" s="465"/>
      <c r="AU122" s="465"/>
      <c r="AV122" s="465"/>
      <c r="AW122" s="465"/>
      <c r="AX122" s="465"/>
      <c r="AY122" s="465"/>
      <c r="AZ122" s="465"/>
      <c r="BA122" s="465"/>
      <c r="BB122" s="465"/>
      <c r="BC122" s="465"/>
      <c r="BD122" s="465"/>
      <c r="BE122" s="465"/>
      <c r="BF122" s="465"/>
      <c r="BG122" s="465"/>
      <c r="BH122" s="465"/>
      <c r="BI122" s="465"/>
      <c r="BJ122" s="465"/>
      <c r="BK122" s="465"/>
      <c r="BL122" s="465"/>
      <c r="BM122" s="465"/>
      <c r="BN122" s="465"/>
      <c r="BO122" s="465"/>
      <c r="BP122" s="465"/>
      <c r="BQ122" s="465"/>
      <c r="BR122" s="465"/>
      <c r="BS122" s="465"/>
      <c r="BT122" s="465"/>
      <c r="BU122" s="465"/>
      <c r="BV122" s="465"/>
    </row>
    <row r="123" spans="1:74">
      <c r="A123" s="465"/>
      <c r="B123" s="465"/>
      <c r="C123" s="465"/>
      <c r="D123" s="465"/>
      <c r="E123" s="465"/>
      <c r="F123" s="465"/>
      <c r="G123" s="465"/>
      <c r="H123" s="465"/>
      <c r="I123" s="465"/>
      <c r="J123" s="465"/>
      <c r="K123" s="465"/>
      <c r="L123" s="465"/>
      <c r="M123" s="465"/>
      <c r="N123" s="465"/>
      <c r="O123" s="465"/>
      <c r="P123" s="465"/>
      <c r="Q123" s="465"/>
      <c r="R123" s="465"/>
      <c r="S123" s="465"/>
      <c r="T123" s="465"/>
      <c r="U123" s="465"/>
      <c r="V123" s="465"/>
      <c r="W123" s="465"/>
      <c r="X123" s="465"/>
      <c r="Y123" s="465"/>
      <c r="Z123" s="465"/>
      <c r="AA123" s="465"/>
      <c r="AB123" s="465"/>
      <c r="AC123" s="465"/>
      <c r="AD123" s="465"/>
      <c r="AE123" s="465"/>
      <c r="AF123" s="465"/>
      <c r="AG123" s="465"/>
      <c r="AH123" s="465"/>
      <c r="AI123" s="465"/>
      <c r="AJ123" s="465"/>
      <c r="AK123" s="465"/>
      <c r="AL123" s="465"/>
      <c r="AM123" s="465"/>
      <c r="AN123" s="465"/>
      <c r="AO123" s="465"/>
      <c r="AP123" s="465"/>
      <c r="AQ123" s="465"/>
      <c r="AR123" s="465"/>
      <c r="AS123" s="465"/>
      <c r="AT123" s="465"/>
      <c r="AU123" s="465"/>
      <c r="AV123" s="465"/>
      <c r="AW123" s="465"/>
      <c r="AX123" s="465"/>
      <c r="AY123" s="465"/>
      <c r="AZ123" s="465"/>
      <c r="BA123" s="465"/>
      <c r="BB123" s="465"/>
      <c r="BC123" s="465"/>
      <c r="BD123" s="465"/>
      <c r="BE123" s="465"/>
      <c r="BF123" s="465"/>
      <c r="BG123" s="465"/>
      <c r="BH123" s="465"/>
      <c r="BI123" s="465"/>
      <c r="BJ123" s="465"/>
      <c r="BK123" s="465"/>
      <c r="BL123" s="465"/>
      <c r="BM123" s="465"/>
      <c r="BN123" s="465"/>
      <c r="BO123" s="465"/>
      <c r="BP123" s="465"/>
      <c r="BQ123" s="465"/>
      <c r="BR123" s="465"/>
      <c r="BS123" s="465"/>
      <c r="BT123" s="465"/>
      <c r="BU123" s="465"/>
      <c r="BV123" s="465"/>
    </row>
    <row r="124" spans="1:74">
      <c r="A124" s="465"/>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5"/>
      <c r="BP124" s="465"/>
      <c r="BQ124" s="465"/>
      <c r="BR124" s="465"/>
      <c r="BS124" s="465"/>
      <c r="BT124" s="465"/>
      <c r="BU124" s="465"/>
      <c r="BV124" s="465"/>
    </row>
    <row r="125" spans="1:74">
      <c r="A125" s="465"/>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465"/>
      <c r="BA125" s="465"/>
      <c r="BB125" s="465"/>
      <c r="BC125" s="465"/>
      <c r="BD125" s="465"/>
      <c r="BE125" s="465"/>
      <c r="BF125" s="465"/>
      <c r="BG125" s="465"/>
      <c r="BH125" s="465"/>
      <c r="BI125" s="465"/>
      <c r="BJ125" s="465"/>
      <c r="BK125" s="465"/>
      <c r="BL125" s="465"/>
      <c r="BM125" s="465"/>
      <c r="BN125" s="465"/>
      <c r="BO125" s="465"/>
      <c r="BP125" s="465"/>
      <c r="BQ125" s="465"/>
      <c r="BR125" s="465"/>
      <c r="BS125" s="465"/>
      <c r="BT125" s="465"/>
      <c r="BU125" s="465"/>
      <c r="BV125" s="465"/>
    </row>
    <row r="126" spans="1:74">
      <c r="A126" s="465"/>
      <c r="B126" s="465"/>
      <c r="C126" s="465"/>
      <c r="D126" s="465"/>
      <c r="E126" s="465"/>
      <c r="F126" s="465"/>
      <c r="G126" s="465"/>
      <c r="H126" s="465"/>
      <c r="I126" s="465"/>
      <c r="J126" s="465"/>
      <c r="K126" s="465"/>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5"/>
      <c r="AY126" s="465"/>
      <c r="AZ126" s="465"/>
      <c r="BA126" s="465"/>
      <c r="BB126" s="465"/>
      <c r="BC126" s="465"/>
      <c r="BD126" s="465"/>
      <c r="BE126" s="465"/>
      <c r="BF126" s="465"/>
      <c r="BG126" s="465"/>
      <c r="BH126" s="465"/>
      <c r="BI126" s="465"/>
      <c r="BJ126" s="465"/>
      <c r="BK126" s="465"/>
      <c r="BL126" s="465"/>
      <c r="BM126" s="465"/>
      <c r="BN126" s="465"/>
      <c r="BO126" s="465"/>
      <c r="BP126" s="465"/>
      <c r="BQ126" s="465"/>
      <c r="BR126" s="465"/>
      <c r="BS126" s="465"/>
      <c r="BT126" s="465"/>
      <c r="BU126" s="465"/>
      <c r="BV126" s="465"/>
    </row>
    <row r="127" spans="1:74">
      <c r="A127" s="465"/>
      <c r="B127" s="465"/>
      <c r="C127" s="465"/>
      <c r="D127" s="46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c r="AI127" s="465"/>
      <c r="AJ127" s="465"/>
      <c r="AK127" s="465"/>
      <c r="AL127" s="465"/>
      <c r="AM127" s="465"/>
      <c r="AN127" s="465"/>
      <c r="AO127" s="465"/>
      <c r="AP127" s="465"/>
      <c r="AQ127" s="465"/>
      <c r="AR127" s="465"/>
      <c r="AS127" s="465"/>
      <c r="AT127" s="465"/>
      <c r="AU127" s="465"/>
      <c r="AV127" s="465"/>
      <c r="AW127" s="465"/>
      <c r="AX127" s="465"/>
      <c r="AY127" s="465"/>
      <c r="AZ127" s="465"/>
      <c r="BA127" s="465"/>
      <c r="BB127" s="465"/>
      <c r="BC127" s="465"/>
      <c r="BD127" s="465"/>
      <c r="BE127" s="465"/>
      <c r="BF127" s="465"/>
      <c r="BG127" s="465"/>
      <c r="BH127" s="465"/>
      <c r="BI127" s="465"/>
      <c r="BJ127" s="465"/>
      <c r="BK127" s="465"/>
      <c r="BL127" s="465"/>
      <c r="BM127" s="465"/>
      <c r="BN127" s="465"/>
      <c r="BO127" s="465"/>
      <c r="BP127" s="465"/>
      <c r="BQ127" s="465"/>
      <c r="BR127" s="465"/>
      <c r="BS127" s="465"/>
      <c r="BT127" s="465"/>
      <c r="BU127" s="465"/>
      <c r="BV127" s="465"/>
    </row>
    <row r="128" spans="1:74">
      <c r="A128" s="465"/>
      <c r="B128" s="465"/>
      <c r="C128" s="465"/>
      <c r="D128" s="465"/>
      <c r="E128" s="465"/>
      <c r="F128" s="465"/>
      <c r="G128" s="465"/>
      <c r="H128" s="465"/>
      <c r="I128" s="465"/>
      <c r="J128" s="465"/>
      <c r="K128" s="465"/>
      <c r="L128" s="465"/>
      <c r="M128" s="465"/>
      <c r="N128" s="465"/>
      <c r="O128" s="465"/>
      <c r="P128" s="465"/>
      <c r="Q128" s="465"/>
      <c r="R128" s="465"/>
      <c r="S128" s="465"/>
      <c r="T128" s="465"/>
      <c r="U128" s="465"/>
      <c r="V128" s="465"/>
      <c r="W128" s="465"/>
      <c r="X128" s="465"/>
      <c r="Y128" s="465"/>
      <c r="Z128" s="465"/>
      <c r="AA128" s="465"/>
      <c r="AB128" s="465"/>
      <c r="AC128" s="465"/>
      <c r="AD128" s="465"/>
      <c r="AE128" s="465"/>
      <c r="AF128" s="465"/>
      <c r="AG128" s="465"/>
      <c r="AH128" s="465"/>
      <c r="AI128" s="465"/>
      <c r="AJ128" s="465"/>
      <c r="AK128" s="465"/>
      <c r="AL128" s="465"/>
      <c r="AM128" s="465"/>
      <c r="AN128" s="465"/>
      <c r="AO128" s="465"/>
      <c r="AP128" s="465"/>
      <c r="AQ128" s="465"/>
      <c r="AR128" s="465"/>
      <c r="AS128" s="465"/>
      <c r="AT128" s="465"/>
      <c r="AU128" s="465"/>
      <c r="AV128" s="465"/>
      <c r="AW128" s="465"/>
      <c r="AX128" s="465"/>
      <c r="AY128" s="465"/>
      <c r="AZ128" s="465"/>
      <c r="BA128" s="465"/>
      <c r="BB128" s="465"/>
      <c r="BC128" s="465"/>
      <c r="BD128" s="465"/>
      <c r="BE128" s="465"/>
      <c r="BF128" s="465"/>
      <c r="BG128" s="465"/>
      <c r="BH128" s="465"/>
      <c r="BI128" s="465"/>
      <c r="BJ128" s="465"/>
      <c r="BK128" s="465"/>
      <c r="BL128" s="465"/>
      <c r="BM128" s="465"/>
      <c r="BN128" s="465"/>
      <c r="BO128" s="465"/>
      <c r="BP128" s="465"/>
      <c r="BQ128" s="465"/>
      <c r="BR128" s="465"/>
      <c r="BS128" s="465"/>
      <c r="BT128" s="465"/>
      <c r="BU128" s="465"/>
      <c r="BV128" s="465"/>
    </row>
    <row r="129" spans="1:74">
      <c r="A129" s="465"/>
      <c r="B129" s="465"/>
      <c r="C129" s="465"/>
      <c r="D129" s="465"/>
      <c r="E129" s="465"/>
      <c r="F129" s="465"/>
      <c r="G129" s="465"/>
      <c r="H129" s="465"/>
      <c r="I129" s="465"/>
      <c r="J129" s="465"/>
      <c r="K129" s="465"/>
      <c r="L129" s="465"/>
      <c r="M129" s="465"/>
      <c r="N129" s="465"/>
      <c r="O129" s="465"/>
      <c r="P129" s="465"/>
      <c r="Q129" s="465"/>
      <c r="R129" s="465"/>
      <c r="S129" s="465"/>
      <c r="T129" s="465"/>
      <c r="U129" s="465"/>
      <c r="V129" s="465"/>
      <c r="W129" s="465"/>
      <c r="X129" s="465"/>
      <c r="Y129" s="465"/>
      <c r="Z129" s="465"/>
      <c r="AA129" s="465"/>
      <c r="AB129" s="465"/>
      <c r="AC129" s="465"/>
      <c r="AD129" s="465"/>
      <c r="AE129" s="465"/>
      <c r="AF129" s="465"/>
      <c r="AG129" s="465"/>
      <c r="AH129" s="465"/>
      <c r="AI129" s="465"/>
      <c r="AJ129" s="465"/>
      <c r="AK129" s="465"/>
      <c r="AL129" s="465"/>
      <c r="AM129" s="465"/>
      <c r="AN129" s="465"/>
      <c r="AO129" s="465"/>
      <c r="AP129" s="465"/>
      <c r="AQ129" s="465"/>
      <c r="AR129" s="465"/>
      <c r="AS129" s="465"/>
      <c r="AT129" s="465"/>
      <c r="AU129" s="465"/>
      <c r="AV129" s="465"/>
      <c r="AW129" s="465"/>
      <c r="AX129" s="465"/>
      <c r="AY129" s="465"/>
      <c r="AZ129" s="465"/>
      <c r="BA129" s="465"/>
      <c r="BB129" s="465"/>
      <c r="BC129" s="465"/>
      <c r="BD129" s="465"/>
      <c r="BE129" s="465"/>
      <c r="BF129" s="465"/>
      <c r="BG129" s="465"/>
      <c r="BH129" s="465"/>
      <c r="BI129" s="465"/>
      <c r="BJ129" s="465"/>
      <c r="BK129" s="465"/>
      <c r="BL129" s="465"/>
      <c r="BM129" s="465"/>
      <c r="BN129" s="465"/>
      <c r="BO129" s="465"/>
      <c r="BP129" s="465"/>
      <c r="BQ129" s="465"/>
      <c r="BR129" s="465"/>
      <c r="BS129" s="465"/>
      <c r="BT129" s="465"/>
      <c r="BU129" s="465"/>
      <c r="BV129" s="465"/>
    </row>
    <row r="130" spans="1:74">
      <c r="A130" s="465"/>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5"/>
      <c r="AZ130" s="465"/>
      <c r="BA130" s="465"/>
      <c r="BB130" s="465"/>
      <c r="BC130" s="465"/>
      <c r="BD130" s="465"/>
      <c r="BE130" s="465"/>
      <c r="BF130" s="465"/>
      <c r="BG130" s="465"/>
      <c r="BH130" s="465"/>
      <c r="BI130" s="465"/>
      <c r="BJ130" s="465"/>
      <c r="BK130" s="465"/>
      <c r="BL130" s="465"/>
      <c r="BM130" s="465"/>
      <c r="BN130" s="465"/>
      <c r="BO130" s="465"/>
      <c r="BP130" s="465"/>
      <c r="BQ130" s="465"/>
      <c r="BR130" s="465"/>
      <c r="BS130" s="465"/>
      <c r="BT130" s="465"/>
      <c r="BU130" s="465"/>
      <c r="BV130" s="465"/>
    </row>
    <row r="131" spans="1:74">
      <c r="A131" s="465"/>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c r="AY131" s="465"/>
      <c r="AZ131" s="465"/>
      <c r="BA131" s="465"/>
      <c r="BB131" s="465"/>
      <c r="BC131" s="465"/>
      <c r="BD131" s="465"/>
      <c r="BE131" s="465"/>
      <c r="BF131" s="465"/>
      <c r="BG131" s="465"/>
      <c r="BH131" s="465"/>
      <c r="BI131" s="465"/>
      <c r="BJ131" s="465"/>
      <c r="BK131" s="465"/>
      <c r="BL131" s="465"/>
      <c r="BM131" s="465"/>
      <c r="BN131" s="465"/>
      <c r="BO131" s="465"/>
      <c r="BP131" s="465"/>
      <c r="BQ131" s="465"/>
      <c r="BR131" s="465"/>
      <c r="BS131" s="465"/>
      <c r="BT131" s="465"/>
      <c r="BU131" s="465"/>
      <c r="BV131" s="465"/>
    </row>
    <row r="132" spans="1:74">
      <c r="A132" s="465"/>
      <c r="B132" s="465"/>
      <c r="C132" s="465"/>
      <c r="D132" s="465"/>
      <c r="E132" s="465"/>
      <c r="F132" s="465"/>
      <c r="G132" s="465"/>
      <c r="H132" s="465"/>
      <c r="I132" s="465"/>
      <c r="J132" s="465"/>
      <c r="K132" s="465"/>
      <c r="L132" s="465"/>
      <c r="M132" s="465"/>
      <c r="N132" s="465"/>
      <c r="O132" s="465"/>
      <c r="P132" s="465"/>
      <c r="Q132" s="465"/>
      <c r="R132" s="465"/>
      <c r="S132" s="465"/>
      <c r="T132" s="465"/>
      <c r="U132" s="465"/>
      <c r="V132" s="465"/>
      <c r="W132" s="465"/>
      <c r="X132" s="465"/>
      <c r="Y132" s="465"/>
      <c r="Z132" s="465"/>
      <c r="AA132" s="465"/>
      <c r="AB132" s="465"/>
      <c r="AC132" s="465"/>
      <c r="AD132" s="465"/>
      <c r="AE132" s="465"/>
      <c r="AF132" s="465"/>
      <c r="AG132" s="465"/>
      <c r="AH132" s="465"/>
      <c r="AI132" s="465"/>
      <c r="AJ132" s="465"/>
      <c r="AK132" s="465"/>
      <c r="AL132" s="465"/>
      <c r="AM132" s="465"/>
      <c r="AN132" s="465"/>
      <c r="AO132" s="465"/>
      <c r="AP132" s="465"/>
      <c r="AQ132" s="465"/>
      <c r="AR132" s="465"/>
      <c r="AS132" s="465"/>
      <c r="AT132" s="465"/>
      <c r="AU132" s="465"/>
      <c r="AV132" s="465"/>
      <c r="AW132" s="465"/>
      <c r="AX132" s="465"/>
      <c r="AY132" s="465"/>
      <c r="AZ132" s="465"/>
      <c r="BA132" s="465"/>
      <c r="BB132" s="465"/>
      <c r="BC132" s="465"/>
      <c r="BD132" s="465"/>
      <c r="BE132" s="465"/>
      <c r="BF132" s="465"/>
      <c r="BG132" s="465"/>
      <c r="BH132" s="465"/>
      <c r="BI132" s="465"/>
      <c r="BJ132" s="465"/>
      <c r="BK132" s="465"/>
      <c r="BL132" s="465"/>
      <c r="BM132" s="465"/>
      <c r="BN132" s="465"/>
      <c r="BO132" s="465"/>
      <c r="BP132" s="465"/>
      <c r="BQ132" s="465"/>
      <c r="BR132" s="465"/>
      <c r="BS132" s="465"/>
      <c r="BT132" s="465"/>
      <c r="BU132" s="465"/>
      <c r="BV132" s="465"/>
    </row>
    <row r="133" spans="1:74">
      <c r="A133" s="465"/>
      <c r="B133" s="465"/>
      <c r="C133" s="465"/>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5"/>
      <c r="AY133" s="465"/>
      <c r="AZ133" s="465"/>
      <c r="BA133" s="465"/>
      <c r="BB133" s="465"/>
      <c r="BC133" s="465"/>
      <c r="BD133" s="465"/>
      <c r="BE133" s="465"/>
      <c r="BF133" s="465"/>
      <c r="BG133" s="465"/>
      <c r="BH133" s="465"/>
      <c r="BI133" s="465"/>
      <c r="BJ133" s="465"/>
      <c r="BK133" s="465"/>
      <c r="BL133" s="465"/>
      <c r="BM133" s="465"/>
      <c r="BN133" s="465"/>
      <c r="BO133" s="465"/>
      <c r="BP133" s="465"/>
      <c r="BQ133" s="465"/>
      <c r="BR133" s="465"/>
      <c r="BS133" s="465"/>
      <c r="BT133" s="465"/>
      <c r="BU133" s="465"/>
      <c r="BV133" s="465"/>
    </row>
    <row r="134" spans="1:74">
      <c r="A134" s="465"/>
      <c r="B134" s="465"/>
      <c r="C134" s="465"/>
      <c r="D134" s="465"/>
      <c r="E134" s="465"/>
      <c r="F134" s="465"/>
      <c r="G134" s="465"/>
      <c r="H134" s="465"/>
      <c r="I134" s="465"/>
      <c r="J134" s="465"/>
      <c r="K134" s="465"/>
      <c r="L134" s="465"/>
      <c r="M134" s="465"/>
      <c r="N134" s="465"/>
      <c r="O134" s="465"/>
      <c r="P134" s="465"/>
      <c r="Q134" s="465"/>
      <c r="R134" s="465"/>
      <c r="S134" s="465"/>
      <c r="T134" s="465"/>
      <c r="U134" s="465"/>
      <c r="V134" s="465"/>
      <c r="W134" s="465"/>
      <c r="X134" s="465"/>
      <c r="Y134" s="465"/>
      <c r="Z134" s="465"/>
      <c r="AA134" s="465"/>
      <c r="AB134" s="465"/>
      <c r="AC134" s="465"/>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5"/>
      <c r="AY134" s="465"/>
      <c r="AZ134" s="465"/>
      <c r="BA134" s="465"/>
      <c r="BB134" s="465"/>
      <c r="BC134" s="465"/>
      <c r="BD134" s="465"/>
      <c r="BE134" s="465"/>
      <c r="BF134" s="465"/>
      <c r="BG134" s="465"/>
      <c r="BH134" s="465"/>
      <c r="BI134" s="465"/>
      <c r="BJ134" s="465"/>
      <c r="BK134" s="465"/>
      <c r="BL134" s="465"/>
      <c r="BM134" s="465"/>
      <c r="BN134" s="465"/>
      <c r="BO134" s="465"/>
      <c r="BP134" s="465"/>
      <c r="BQ134" s="465"/>
      <c r="BR134" s="465"/>
      <c r="BS134" s="465"/>
      <c r="BT134" s="465"/>
      <c r="BU134" s="465"/>
      <c r="BV134" s="465"/>
    </row>
    <row r="135" spans="1:74">
      <c r="A135" s="465"/>
      <c r="B135" s="465"/>
      <c r="C135" s="465"/>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465"/>
      <c r="BA135" s="465"/>
      <c r="BB135" s="465"/>
      <c r="BC135" s="465"/>
      <c r="BD135" s="465"/>
      <c r="BE135" s="465"/>
      <c r="BF135" s="465"/>
      <c r="BG135" s="465"/>
      <c r="BH135" s="465"/>
      <c r="BI135" s="465"/>
      <c r="BJ135" s="465"/>
      <c r="BK135" s="465"/>
      <c r="BL135" s="465"/>
      <c r="BM135" s="465"/>
      <c r="BN135" s="465"/>
      <c r="BO135" s="465"/>
      <c r="BP135" s="465"/>
      <c r="BQ135" s="465"/>
      <c r="BR135" s="465"/>
      <c r="BS135" s="465"/>
      <c r="BT135" s="465"/>
      <c r="BU135" s="465"/>
      <c r="BV135" s="465"/>
    </row>
    <row r="136" spans="1:74">
      <c r="A136" s="465"/>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c r="AY136" s="465"/>
      <c r="AZ136" s="465"/>
      <c r="BA136" s="465"/>
      <c r="BB136" s="465"/>
      <c r="BC136" s="465"/>
      <c r="BD136" s="465"/>
      <c r="BE136" s="465"/>
      <c r="BF136" s="465"/>
      <c r="BG136" s="465"/>
      <c r="BH136" s="465"/>
      <c r="BI136" s="465"/>
      <c r="BJ136" s="465"/>
      <c r="BK136" s="465"/>
      <c r="BL136" s="465"/>
      <c r="BM136" s="465"/>
      <c r="BN136" s="465"/>
      <c r="BO136" s="465"/>
      <c r="BP136" s="465"/>
      <c r="BQ136" s="465"/>
      <c r="BR136" s="465"/>
      <c r="BS136" s="465"/>
      <c r="BT136" s="465"/>
      <c r="BU136" s="465"/>
      <c r="BV136" s="465"/>
    </row>
    <row r="137" spans="1:74">
      <c r="A137" s="465"/>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c r="AY137" s="465"/>
      <c r="AZ137" s="465"/>
      <c r="BA137" s="465"/>
      <c r="BB137" s="465"/>
      <c r="BC137" s="465"/>
      <c r="BD137" s="465"/>
      <c r="BE137" s="465"/>
      <c r="BF137" s="465"/>
      <c r="BG137" s="465"/>
      <c r="BH137" s="465"/>
      <c r="BI137" s="465"/>
      <c r="BJ137" s="465"/>
      <c r="BK137" s="465"/>
      <c r="BL137" s="465"/>
      <c r="BM137" s="465"/>
      <c r="BN137" s="465"/>
      <c r="BO137" s="465"/>
      <c r="BP137" s="465"/>
      <c r="BQ137" s="465"/>
      <c r="BR137" s="465"/>
      <c r="BS137" s="465"/>
      <c r="BT137" s="465"/>
      <c r="BU137" s="465"/>
      <c r="BV137" s="465"/>
    </row>
    <row r="138" spans="1:74">
      <c r="A138" s="465"/>
      <c r="B138" s="465"/>
      <c r="C138" s="465"/>
      <c r="D138" s="465"/>
      <c r="E138" s="465"/>
      <c r="F138" s="465"/>
      <c r="G138" s="465"/>
      <c r="H138" s="465"/>
      <c r="I138" s="465"/>
      <c r="J138" s="465"/>
      <c r="K138" s="465"/>
      <c r="L138" s="465"/>
      <c r="M138" s="465"/>
      <c r="N138" s="465"/>
      <c r="O138" s="465"/>
      <c r="P138" s="465"/>
      <c r="Q138" s="465"/>
      <c r="R138" s="465"/>
      <c r="S138" s="465"/>
      <c r="T138" s="465"/>
      <c r="U138" s="465"/>
      <c r="V138" s="465"/>
      <c r="W138" s="465"/>
      <c r="X138" s="465"/>
      <c r="Y138" s="465"/>
      <c r="Z138" s="465"/>
      <c r="AA138" s="465"/>
      <c r="AB138" s="465"/>
      <c r="AC138" s="465"/>
      <c r="AD138" s="465"/>
      <c r="AE138" s="465"/>
      <c r="AF138" s="465"/>
      <c r="AG138" s="465"/>
      <c r="AH138" s="465"/>
      <c r="AI138" s="465"/>
      <c r="AJ138" s="465"/>
      <c r="AK138" s="465"/>
      <c r="AL138" s="465"/>
      <c r="AM138" s="465"/>
      <c r="AN138" s="465"/>
      <c r="AO138" s="465"/>
      <c r="AP138" s="465"/>
      <c r="AQ138" s="465"/>
      <c r="AR138" s="465"/>
      <c r="AS138" s="465"/>
      <c r="AT138" s="465"/>
      <c r="AU138" s="465"/>
      <c r="AV138" s="465"/>
      <c r="AW138" s="465"/>
      <c r="AX138" s="465"/>
      <c r="AY138" s="465"/>
      <c r="AZ138" s="465"/>
      <c r="BA138" s="465"/>
      <c r="BB138" s="465"/>
      <c r="BC138" s="465"/>
      <c r="BD138" s="465"/>
      <c r="BE138" s="465"/>
      <c r="BF138" s="465"/>
      <c r="BG138" s="465"/>
      <c r="BH138" s="465"/>
      <c r="BI138" s="465"/>
      <c r="BJ138" s="465"/>
      <c r="BK138" s="465"/>
      <c r="BL138" s="465"/>
      <c r="BM138" s="465"/>
      <c r="BN138" s="465"/>
      <c r="BO138" s="465"/>
      <c r="BP138" s="465"/>
      <c r="BQ138" s="465"/>
      <c r="BR138" s="465"/>
      <c r="BS138" s="465"/>
      <c r="BT138" s="465"/>
      <c r="BU138" s="465"/>
      <c r="BV138" s="465"/>
    </row>
    <row r="139" spans="1:74">
      <c r="A139" s="465"/>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c r="AX139" s="465"/>
      <c r="AY139" s="465"/>
      <c r="AZ139" s="465"/>
      <c r="BA139" s="465"/>
      <c r="BB139" s="465"/>
      <c r="BC139" s="465"/>
      <c r="BD139" s="465"/>
      <c r="BE139" s="465"/>
      <c r="BF139" s="465"/>
      <c r="BG139" s="465"/>
      <c r="BH139" s="465"/>
      <c r="BI139" s="465"/>
      <c r="BJ139" s="465"/>
      <c r="BK139" s="465"/>
      <c r="BL139" s="465"/>
      <c r="BM139" s="465"/>
      <c r="BN139" s="465"/>
      <c r="BO139" s="465"/>
      <c r="BP139" s="465"/>
      <c r="BQ139" s="465"/>
      <c r="BR139" s="465"/>
      <c r="BS139" s="465"/>
      <c r="BT139" s="465"/>
      <c r="BU139" s="465"/>
      <c r="BV139" s="465"/>
    </row>
    <row r="140" spans="1:74">
      <c r="A140" s="465"/>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5"/>
      <c r="AZ140" s="465"/>
      <c r="BA140" s="465"/>
      <c r="BB140" s="465"/>
      <c r="BC140" s="465"/>
      <c r="BD140" s="465"/>
      <c r="BE140" s="465"/>
      <c r="BF140" s="465"/>
      <c r="BG140" s="465"/>
      <c r="BH140" s="465"/>
      <c r="BI140" s="465"/>
      <c r="BJ140" s="465"/>
      <c r="BK140" s="465"/>
      <c r="BL140" s="465"/>
      <c r="BM140" s="465"/>
      <c r="BN140" s="465"/>
      <c r="BO140" s="465"/>
      <c r="BP140" s="465"/>
      <c r="BQ140" s="465"/>
      <c r="BR140" s="465"/>
      <c r="BS140" s="465"/>
      <c r="BT140" s="465"/>
      <c r="BU140" s="465"/>
      <c r="BV140" s="465"/>
    </row>
    <row r="141" spans="1:74">
      <c r="A141" s="465"/>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5"/>
      <c r="AM141" s="465"/>
      <c r="AN141" s="465"/>
      <c r="AO141" s="465"/>
      <c r="AP141" s="465"/>
      <c r="AQ141" s="465"/>
      <c r="AR141" s="465"/>
      <c r="AS141" s="465"/>
      <c r="AT141" s="465"/>
      <c r="AU141" s="465"/>
      <c r="AV141" s="465"/>
      <c r="AW141" s="465"/>
      <c r="AX141" s="465"/>
      <c r="AY141" s="465"/>
      <c r="AZ141" s="465"/>
      <c r="BA141" s="465"/>
      <c r="BB141" s="465"/>
      <c r="BC141" s="465"/>
      <c r="BD141" s="465"/>
      <c r="BE141" s="465"/>
      <c r="BF141" s="465"/>
      <c r="BG141" s="465"/>
      <c r="BH141" s="465"/>
      <c r="BI141" s="465"/>
      <c r="BJ141" s="465"/>
      <c r="BK141" s="465"/>
      <c r="BL141" s="465"/>
      <c r="BM141" s="465"/>
      <c r="BN141" s="465"/>
      <c r="BO141" s="465"/>
      <c r="BP141" s="465"/>
      <c r="BQ141" s="465"/>
      <c r="BR141" s="465"/>
      <c r="BS141" s="465"/>
      <c r="BT141" s="465"/>
      <c r="BU141" s="465"/>
      <c r="BV141" s="465"/>
    </row>
    <row r="142" spans="1:74">
      <c r="A142" s="465"/>
      <c r="B142" s="465"/>
      <c r="C142" s="465"/>
      <c r="D142" s="465"/>
      <c r="E142" s="465"/>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465"/>
      <c r="AK142" s="465"/>
      <c r="AL142" s="465"/>
      <c r="AM142" s="465"/>
      <c r="AN142" s="465"/>
      <c r="AO142" s="465"/>
      <c r="AP142" s="465"/>
      <c r="AQ142" s="465"/>
      <c r="AR142" s="465"/>
      <c r="AS142" s="465"/>
      <c r="AT142" s="465"/>
      <c r="AU142" s="465"/>
      <c r="AV142" s="465"/>
      <c r="AW142" s="465"/>
      <c r="AX142" s="465"/>
      <c r="AY142" s="465"/>
      <c r="AZ142" s="465"/>
      <c r="BA142" s="465"/>
      <c r="BB142" s="465"/>
      <c r="BC142" s="465"/>
      <c r="BD142" s="465"/>
      <c r="BE142" s="465"/>
      <c r="BF142" s="465"/>
      <c r="BG142" s="465"/>
      <c r="BH142" s="465"/>
      <c r="BI142" s="465"/>
      <c r="BJ142" s="465"/>
      <c r="BK142" s="465"/>
      <c r="BL142" s="465"/>
      <c r="BM142" s="465"/>
      <c r="BN142" s="465"/>
      <c r="BO142" s="465"/>
      <c r="BP142" s="465"/>
      <c r="BQ142" s="465"/>
      <c r="BR142" s="465"/>
      <c r="BS142" s="465"/>
      <c r="BT142" s="465"/>
      <c r="BU142" s="465"/>
      <c r="BV142" s="465"/>
    </row>
    <row r="143" spans="1:74">
      <c r="A143" s="465"/>
      <c r="B143" s="465"/>
      <c r="C143" s="465"/>
      <c r="D143" s="465"/>
      <c r="E143" s="465"/>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465"/>
      <c r="AK143" s="465"/>
      <c r="AL143" s="465"/>
      <c r="AM143" s="465"/>
      <c r="AN143" s="465"/>
      <c r="AO143" s="465"/>
      <c r="AP143" s="465"/>
      <c r="AQ143" s="465"/>
      <c r="AR143" s="465"/>
      <c r="AS143" s="465"/>
      <c r="AT143" s="465"/>
      <c r="AU143" s="465"/>
      <c r="AV143" s="465"/>
      <c r="AW143" s="465"/>
      <c r="AX143" s="465"/>
      <c r="AY143" s="465"/>
      <c r="AZ143" s="465"/>
      <c r="BA143" s="465"/>
      <c r="BB143" s="465"/>
      <c r="BC143" s="465"/>
      <c r="BD143" s="465"/>
      <c r="BE143" s="465"/>
      <c r="BF143" s="465"/>
      <c r="BG143" s="465"/>
      <c r="BH143" s="465"/>
      <c r="BI143" s="465"/>
      <c r="BJ143" s="465"/>
      <c r="BK143" s="465"/>
      <c r="BL143" s="465"/>
      <c r="BM143" s="465"/>
      <c r="BN143" s="465"/>
      <c r="BO143" s="465"/>
      <c r="BP143" s="465"/>
      <c r="BQ143" s="465"/>
      <c r="BR143" s="465"/>
      <c r="BS143" s="465"/>
      <c r="BT143" s="465"/>
      <c r="BU143" s="465"/>
      <c r="BV143" s="465"/>
    </row>
    <row r="144" spans="1:74">
      <c r="A144" s="465"/>
      <c r="B144" s="465"/>
      <c r="C144" s="465"/>
      <c r="D144" s="465"/>
      <c r="E144" s="465"/>
      <c r="F144" s="465"/>
      <c r="G144" s="465"/>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465"/>
      <c r="AJ144" s="465"/>
      <c r="AK144" s="465"/>
      <c r="AL144" s="465"/>
      <c r="AM144" s="465"/>
      <c r="AN144" s="465"/>
      <c r="AO144" s="465"/>
      <c r="AP144" s="465"/>
      <c r="AQ144" s="465"/>
      <c r="AR144" s="465"/>
      <c r="AS144" s="465"/>
      <c r="AT144" s="465"/>
      <c r="AU144" s="465"/>
      <c r="AV144" s="465"/>
      <c r="AW144" s="465"/>
      <c r="AX144" s="465"/>
      <c r="AY144" s="465"/>
      <c r="AZ144" s="465"/>
      <c r="BA144" s="465"/>
      <c r="BB144" s="465"/>
      <c r="BC144" s="465"/>
      <c r="BD144" s="465"/>
      <c r="BE144" s="465"/>
      <c r="BF144" s="465"/>
      <c r="BG144" s="465"/>
      <c r="BH144" s="465"/>
      <c r="BI144" s="465"/>
      <c r="BJ144" s="465"/>
      <c r="BK144" s="465"/>
      <c r="BL144" s="465"/>
      <c r="BM144" s="465"/>
      <c r="BN144" s="465"/>
      <c r="BO144" s="465"/>
      <c r="BP144" s="465"/>
      <c r="BQ144" s="465"/>
      <c r="BR144" s="465"/>
      <c r="BS144" s="465"/>
      <c r="BT144" s="465"/>
      <c r="BU144" s="465"/>
      <c r="BV144" s="465"/>
    </row>
    <row r="145" spans="1:74">
      <c r="A145" s="465"/>
      <c r="B145" s="465"/>
      <c r="C145" s="465"/>
      <c r="D145" s="465"/>
      <c r="E145" s="465"/>
      <c r="F145" s="465"/>
      <c r="G145" s="465"/>
      <c r="H145" s="465"/>
      <c r="I145" s="465"/>
      <c r="J145" s="465"/>
      <c r="K145" s="465"/>
      <c r="L145" s="465"/>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5"/>
      <c r="AZ145" s="465"/>
      <c r="BA145" s="465"/>
      <c r="BB145" s="465"/>
      <c r="BC145" s="465"/>
      <c r="BD145" s="465"/>
      <c r="BE145" s="465"/>
      <c r="BF145" s="465"/>
      <c r="BG145" s="465"/>
      <c r="BH145" s="465"/>
      <c r="BI145" s="465"/>
      <c r="BJ145" s="465"/>
      <c r="BK145" s="465"/>
      <c r="BL145" s="465"/>
      <c r="BM145" s="465"/>
      <c r="BN145" s="465"/>
      <c r="BO145" s="465"/>
      <c r="BP145" s="465"/>
      <c r="BQ145" s="465"/>
      <c r="BR145" s="465"/>
      <c r="BS145" s="465"/>
      <c r="BT145" s="465"/>
      <c r="BU145" s="465"/>
      <c r="BV145" s="465"/>
    </row>
    <row r="146" spans="1:74">
      <c r="A146" s="465"/>
      <c r="B146" s="465"/>
      <c r="C146" s="465"/>
      <c r="D146" s="465"/>
      <c r="E146" s="465"/>
      <c r="F146" s="465"/>
      <c r="G146" s="465"/>
      <c r="H146" s="465"/>
      <c r="I146" s="465"/>
      <c r="J146" s="465"/>
      <c r="K146" s="465"/>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5"/>
      <c r="AZ146" s="465"/>
      <c r="BA146" s="465"/>
      <c r="BB146" s="465"/>
      <c r="BC146" s="465"/>
      <c r="BD146" s="465"/>
      <c r="BE146" s="465"/>
      <c r="BF146" s="465"/>
      <c r="BG146" s="465"/>
      <c r="BH146" s="465"/>
      <c r="BI146" s="465"/>
      <c r="BJ146" s="465"/>
      <c r="BK146" s="465"/>
      <c r="BL146" s="465"/>
      <c r="BM146" s="465"/>
      <c r="BN146" s="465"/>
      <c r="BO146" s="465"/>
      <c r="BP146" s="465"/>
      <c r="BQ146" s="465"/>
      <c r="BR146" s="465"/>
      <c r="BS146" s="465"/>
      <c r="BT146" s="465"/>
      <c r="BU146" s="465"/>
      <c r="BV146" s="465"/>
    </row>
    <row r="147" spans="1:74">
      <c r="A147" s="465"/>
      <c r="B147" s="465"/>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465"/>
      <c r="AC147" s="465"/>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5"/>
      <c r="AY147" s="465"/>
      <c r="AZ147" s="465"/>
      <c r="BA147" s="465"/>
      <c r="BB147" s="465"/>
      <c r="BC147" s="465"/>
      <c r="BD147" s="465"/>
      <c r="BE147" s="465"/>
      <c r="BF147" s="465"/>
      <c r="BG147" s="465"/>
      <c r="BH147" s="465"/>
      <c r="BI147" s="465"/>
      <c r="BJ147" s="465"/>
      <c r="BK147" s="465"/>
      <c r="BL147" s="465"/>
      <c r="BM147" s="465"/>
      <c r="BN147" s="465"/>
      <c r="BO147" s="465"/>
      <c r="BP147" s="465"/>
      <c r="BQ147" s="465"/>
      <c r="BR147" s="465"/>
      <c r="BS147" s="465"/>
      <c r="BT147" s="465"/>
      <c r="BU147" s="465"/>
      <c r="BV147" s="465"/>
    </row>
    <row r="148" spans="1:74">
      <c r="A148" s="465"/>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5"/>
      <c r="AZ148" s="465"/>
      <c r="BA148" s="465"/>
      <c r="BB148" s="465"/>
      <c r="BC148" s="465"/>
      <c r="BD148" s="465"/>
      <c r="BE148" s="465"/>
      <c r="BF148" s="465"/>
      <c r="BG148" s="465"/>
      <c r="BH148" s="465"/>
      <c r="BI148" s="465"/>
      <c r="BJ148" s="465"/>
      <c r="BK148" s="465"/>
      <c r="BL148" s="465"/>
      <c r="BM148" s="465"/>
      <c r="BN148" s="465"/>
      <c r="BO148" s="465"/>
      <c r="BP148" s="465"/>
      <c r="BQ148" s="465"/>
      <c r="BR148" s="465"/>
      <c r="BS148" s="465"/>
      <c r="BT148" s="465"/>
      <c r="BU148" s="465"/>
      <c r="BV148" s="465"/>
    </row>
    <row r="149" spans="1:74">
      <c r="A149" s="465"/>
      <c r="B149" s="465"/>
      <c r="C149" s="465"/>
      <c r="D149" s="465"/>
      <c r="E149" s="465"/>
      <c r="F149" s="465"/>
      <c r="G149" s="465"/>
      <c r="H149" s="465"/>
      <c r="I149" s="465"/>
      <c r="J149" s="465"/>
      <c r="K149" s="465"/>
      <c r="L149" s="465"/>
      <c r="M149" s="465"/>
      <c r="N149" s="465"/>
      <c r="O149" s="465"/>
      <c r="P149" s="465"/>
      <c r="Q149" s="465"/>
      <c r="R149" s="465"/>
      <c r="S149" s="465"/>
      <c r="T149" s="465"/>
      <c r="U149" s="465"/>
      <c r="V149" s="465"/>
      <c r="W149" s="465"/>
      <c r="X149" s="465"/>
      <c r="Y149" s="465"/>
      <c r="Z149" s="465"/>
      <c r="AA149" s="465"/>
      <c r="AB149" s="465"/>
      <c r="AC149" s="465"/>
      <c r="AD149" s="465"/>
      <c r="AE149" s="465"/>
      <c r="AF149" s="465"/>
      <c r="AG149" s="465"/>
      <c r="AH149" s="465"/>
      <c r="AI149" s="465"/>
      <c r="AJ149" s="465"/>
      <c r="AK149" s="465"/>
      <c r="AL149" s="465"/>
      <c r="AM149" s="465"/>
      <c r="AN149" s="465"/>
      <c r="AO149" s="465"/>
      <c r="AP149" s="465"/>
      <c r="AQ149" s="465"/>
      <c r="AR149" s="465"/>
      <c r="AS149" s="465"/>
      <c r="AT149" s="465"/>
      <c r="AU149" s="465"/>
      <c r="AV149" s="465"/>
      <c r="AW149" s="465"/>
      <c r="AX149" s="465"/>
      <c r="AY149" s="465"/>
      <c r="AZ149" s="465"/>
      <c r="BA149" s="465"/>
      <c r="BB149" s="465"/>
      <c r="BC149" s="465"/>
      <c r="BD149" s="465"/>
      <c r="BE149" s="465"/>
      <c r="BF149" s="465"/>
      <c r="BG149" s="465"/>
      <c r="BH149" s="465"/>
      <c r="BI149" s="465"/>
      <c r="BJ149" s="465"/>
      <c r="BK149" s="465"/>
      <c r="BL149" s="465"/>
      <c r="BM149" s="465"/>
      <c r="BN149" s="465"/>
      <c r="BO149" s="465"/>
      <c r="BP149" s="465"/>
      <c r="BQ149" s="465"/>
      <c r="BR149" s="465"/>
      <c r="BS149" s="465"/>
      <c r="BT149" s="465"/>
      <c r="BU149" s="465"/>
      <c r="BV149" s="465"/>
    </row>
    <row r="150" spans="1:74">
      <c r="A150" s="465"/>
      <c r="B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5"/>
      <c r="AZ150" s="465"/>
      <c r="BA150" s="465"/>
      <c r="BB150" s="465"/>
      <c r="BC150" s="465"/>
      <c r="BD150" s="465"/>
      <c r="BE150" s="465"/>
      <c r="BF150" s="465"/>
      <c r="BG150" s="465"/>
      <c r="BH150" s="465"/>
      <c r="BI150" s="465"/>
      <c r="BJ150" s="465"/>
      <c r="BK150" s="465"/>
      <c r="BL150" s="465"/>
      <c r="BM150" s="465"/>
      <c r="BN150" s="465"/>
      <c r="BO150" s="465"/>
      <c r="BP150" s="465"/>
      <c r="BQ150" s="465"/>
      <c r="BR150" s="465"/>
      <c r="BS150" s="465"/>
      <c r="BT150" s="465"/>
      <c r="BU150" s="465"/>
      <c r="BV150" s="465"/>
    </row>
    <row r="151" spans="1:74">
      <c r="A151" s="465"/>
      <c r="B151" s="465"/>
      <c r="E151" s="465"/>
      <c r="F151" s="465"/>
      <c r="G151" s="465"/>
      <c r="H151" s="465"/>
      <c r="I151" s="465"/>
      <c r="J151" s="465"/>
      <c r="K151" s="465"/>
      <c r="L151" s="465"/>
      <c r="M151" s="465"/>
      <c r="N151" s="465"/>
      <c r="O151" s="465"/>
      <c r="P151" s="465"/>
      <c r="Q151" s="465"/>
      <c r="R151" s="465"/>
      <c r="S151" s="465"/>
      <c r="T151" s="465"/>
      <c r="U151" s="465"/>
      <c r="V151" s="465"/>
      <c r="W151" s="465"/>
      <c r="X151" s="465"/>
      <c r="Y151" s="465"/>
      <c r="Z151" s="465"/>
      <c r="AA151" s="465"/>
      <c r="AB151" s="465"/>
      <c r="AC151" s="465"/>
      <c r="AD151" s="465"/>
      <c r="AE151" s="465"/>
      <c r="AF151" s="465"/>
      <c r="AG151" s="465"/>
      <c r="AH151" s="465"/>
      <c r="AI151" s="465"/>
      <c r="AJ151" s="465"/>
      <c r="AK151" s="465"/>
      <c r="AL151" s="465"/>
      <c r="AM151" s="465"/>
      <c r="AN151" s="465"/>
      <c r="AO151" s="465"/>
      <c r="AP151" s="465"/>
      <c r="AQ151" s="465"/>
      <c r="AR151" s="465"/>
      <c r="AS151" s="465"/>
      <c r="AT151" s="465"/>
      <c r="AU151" s="465"/>
      <c r="AV151" s="465"/>
      <c r="AW151" s="465"/>
      <c r="AX151" s="465"/>
      <c r="AY151" s="465"/>
      <c r="AZ151" s="465"/>
      <c r="BA151" s="465"/>
      <c r="BB151" s="465"/>
      <c r="BC151" s="465"/>
      <c r="BD151" s="465"/>
      <c r="BE151" s="465"/>
      <c r="BF151" s="465"/>
      <c r="BG151" s="465"/>
      <c r="BH151" s="465"/>
      <c r="BI151" s="465"/>
      <c r="BJ151" s="465"/>
      <c r="BK151" s="465"/>
      <c r="BL151" s="465"/>
      <c r="BM151" s="465"/>
      <c r="BN151" s="465"/>
      <c r="BO151" s="465"/>
      <c r="BP151" s="465"/>
      <c r="BQ151" s="465"/>
      <c r="BR151" s="465"/>
      <c r="BS151" s="465"/>
      <c r="BT151" s="465"/>
      <c r="BU151" s="465"/>
      <c r="BV151" s="465"/>
    </row>
    <row r="152" spans="1:74">
      <c r="A152" s="465"/>
      <c r="B152" s="465"/>
      <c r="E152" s="465"/>
      <c r="F152" s="465"/>
      <c r="G152" s="465"/>
      <c r="H152" s="465"/>
      <c r="I152" s="465"/>
      <c r="J152" s="465"/>
      <c r="K152" s="465"/>
      <c r="L152" s="465"/>
      <c r="M152" s="465"/>
      <c r="N152" s="465"/>
      <c r="O152" s="465"/>
      <c r="P152" s="465"/>
      <c r="Q152" s="465"/>
      <c r="R152" s="465"/>
      <c r="S152" s="465"/>
      <c r="T152" s="465"/>
      <c r="U152" s="465"/>
      <c r="V152" s="465"/>
      <c r="W152" s="465"/>
      <c r="X152" s="465"/>
      <c r="Y152" s="465"/>
      <c r="Z152" s="465"/>
      <c r="AA152" s="465"/>
      <c r="AB152" s="465"/>
      <c r="AC152" s="465"/>
      <c r="AD152" s="465"/>
      <c r="AE152" s="465"/>
      <c r="AF152" s="465"/>
      <c r="AG152" s="465"/>
      <c r="AH152" s="465"/>
      <c r="AI152" s="465"/>
      <c r="AJ152" s="465"/>
      <c r="AK152" s="465"/>
      <c r="AL152" s="465"/>
      <c r="AM152" s="465"/>
      <c r="AN152" s="465"/>
      <c r="AO152" s="465"/>
      <c r="AP152" s="465"/>
      <c r="AQ152" s="465"/>
      <c r="AR152" s="465"/>
      <c r="AS152" s="465"/>
      <c r="AT152" s="465"/>
      <c r="AU152" s="465"/>
      <c r="AV152" s="465"/>
      <c r="AW152" s="465"/>
      <c r="AX152" s="465"/>
      <c r="AY152" s="465"/>
      <c r="AZ152" s="465"/>
      <c r="BA152" s="465"/>
      <c r="BB152" s="465"/>
      <c r="BC152" s="465"/>
      <c r="BD152" s="465"/>
      <c r="BE152" s="465"/>
      <c r="BF152" s="465"/>
      <c r="BG152" s="465"/>
      <c r="BH152" s="465"/>
      <c r="BI152" s="465"/>
      <c r="BJ152" s="465"/>
      <c r="BK152" s="465"/>
      <c r="BL152" s="465"/>
      <c r="BM152" s="465"/>
      <c r="BN152" s="465"/>
      <c r="BO152" s="465"/>
      <c r="BP152" s="465"/>
      <c r="BQ152" s="465"/>
      <c r="BR152" s="465"/>
      <c r="BS152" s="465"/>
      <c r="BT152" s="465"/>
      <c r="BU152" s="465"/>
      <c r="BV152" s="465"/>
    </row>
    <row r="153" spans="1:74">
      <c r="A153" s="465"/>
      <c r="B153" s="465"/>
      <c r="E153" s="465"/>
      <c r="F153" s="465"/>
      <c r="G153" s="465"/>
      <c r="H153" s="465"/>
      <c r="I153" s="465"/>
      <c r="J153" s="465"/>
      <c r="K153" s="465"/>
      <c r="L153" s="465"/>
      <c r="M153" s="465"/>
      <c r="N153" s="465"/>
      <c r="O153" s="465"/>
      <c r="P153" s="465"/>
      <c r="Q153" s="465"/>
      <c r="R153" s="465"/>
      <c r="S153" s="465"/>
      <c r="T153" s="465"/>
      <c r="U153" s="465"/>
      <c r="V153" s="465"/>
      <c r="W153" s="465"/>
      <c r="X153" s="465"/>
      <c r="Y153" s="465"/>
      <c r="Z153" s="465"/>
      <c r="AA153" s="465"/>
      <c r="AB153" s="465"/>
      <c r="AC153" s="465"/>
      <c r="AD153" s="465"/>
      <c r="AE153" s="465"/>
      <c r="AF153" s="465"/>
      <c r="AG153" s="465"/>
      <c r="AH153" s="465"/>
      <c r="AI153" s="465"/>
      <c r="AJ153" s="465"/>
      <c r="AK153" s="465"/>
      <c r="AL153" s="465"/>
      <c r="AM153" s="465"/>
      <c r="AN153" s="465"/>
      <c r="AO153" s="465"/>
      <c r="AP153" s="465"/>
      <c r="AQ153" s="465"/>
      <c r="AR153" s="465"/>
      <c r="AS153" s="465"/>
      <c r="AT153" s="465"/>
      <c r="AU153" s="465"/>
      <c r="AV153" s="465"/>
      <c r="AW153" s="465"/>
      <c r="AX153" s="465"/>
      <c r="AY153" s="465"/>
      <c r="AZ153" s="465"/>
      <c r="BA153" s="465"/>
      <c r="BB153" s="465"/>
      <c r="BC153" s="465"/>
      <c r="BD153" s="465"/>
      <c r="BE153" s="465"/>
      <c r="BF153" s="465"/>
      <c r="BG153" s="465"/>
      <c r="BH153" s="465"/>
      <c r="BI153" s="465"/>
      <c r="BJ153" s="465"/>
      <c r="BK153" s="465"/>
      <c r="BL153" s="465"/>
      <c r="BM153" s="465"/>
      <c r="BN153" s="465"/>
      <c r="BO153" s="465"/>
      <c r="BP153" s="465"/>
      <c r="BQ153" s="465"/>
      <c r="BR153" s="465"/>
      <c r="BS153" s="465"/>
      <c r="BT153" s="465"/>
      <c r="BU153" s="465"/>
      <c r="BV153" s="465"/>
    </row>
    <row r="154" spans="1:74">
      <c r="A154" s="465"/>
      <c r="B154" s="465"/>
      <c r="E154" s="465"/>
      <c r="F154" s="465"/>
      <c r="G154" s="465"/>
      <c r="H154" s="465"/>
      <c r="I154" s="465"/>
      <c r="J154" s="465"/>
      <c r="K154" s="465"/>
      <c r="L154" s="465"/>
      <c r="M154" s="465"/>
      <c r="N154" s="465"/>
      <c r="O154" s="465"/>
      <c r="P154" s="465"/>
      <c r="Q154" s="465"/>
      <c r="R154" s="465"/>
      <c r="S154" s="465"/>
      <c r="T154" s="465"/>
      <c r="U154" s="465"/>
      <c r="V154" s="465"/>
      <c r="W154" s="465"/>
      <c r="X154" s="465"/>
      <c r="Y154" s="465"/>
      <c r="Z154" s="465"/>
      <c r="AA154" s="465"/>
      <c r="AB154" s="465"/>
      <c r="AC154" s="465"/>
      <c r="AD154" s="465"/>
      <c r="AE154" s="465"/>
      <c r="AF154" s="465"/>
      <c r="AG154" s="465"/>
      <c r="AH154" s="465"/>
      <c r="AI154" s="465"/>
      <c r="AJ154" s="465"/>
      <c r="AK154" s="465"/>
      <c r="AL154" s="465"/>
      <c r="AM154" s="465"/>
      <c r="AN154" s="465"/>
      <c r="AO154" s="465"/>
      <c r="AP154" s="465"/>
      <c r="AQ154" s="465"/>
      <c r="AR154" s="465"/>
      <c r="AS154" s="465"/>
      <c r="AT154" s="465"/>
      <c r="AU154" s="465"/>
      <c r="AV154" s="465"/>
      <c r="AW154" s="465"/>
      <c r="AX154" s="465"/>
      <c r="AY154" s="465"/>
      <c r="AZ154" s="465"/>
      <c r="BA154" s="465"/>
      <c r="BB154" s="465"/>
      <c r="BC154" s="465"/>
      <c r="BD154" s="465"/>
      <c r="BE154" s="465"/>
      <c r="BF154" s="465"/>
      <c r="BG154" s="465"/>
      <c r="BH154" s="465"/>
      <c r="BI154" s="465"/>
      <c r="BJ154" s="465"/>
      <c r="BK154" s="465"/>
      <c r="BL154" s="465"/>
      <c r="BM154" s="465"/>
      <c r="BN154" s="465"/>
      <c r="BO154" s="465"/>
      <c r="BP154" s="465"/>
      <c r="BQ154" s="465"/>
      <c r="BR154" s="465"/>
      <c r="BS154" s="465"/>
      <c r="BT154" s="465"/>
      <c r="BU154" s="465"/>
      <c r="BV154" s="465"/>
    </row>
    <row r="155" spans="1:74">
      <c r="A155" s="465"/>
      <c r="B155" s="465"/>
      <c r="E155" s="465"/>
      <c r="F155" s="465"/>
      <c r="G155" s="465"/>
      <c r="H155" s="465"/>
      <c r="I155" s="465"/>
      <c r="J155" s="465"/>
      <c r="K155" s="465"/>
      <c r="L155" s="465"/>
      <c r="M155" s="465"/>
      <c r="N155" s="465"/>
      <c r="O155" s="465"/>
      <c r="P155" s="465"/>
      <c r="Q155" s="465"/>
      <c r="R155" s="465"/>
      <c r="S155" s="465"/>
      <c r="T155" s="465"/>
      <c r="U155" s="465"/>
      <c r="V155" s="465"/>
      <c r="W155" s="465"/>
      <c r="X155" s="465"/>
      <c r="Y155" s="465"/>
      <c r="Z155" s="465"/>
      <c r="AA155" s="465"/>
      <c r="AB155" s="465"/>
      <c r="AC155" s="465"/>
      <c r="AD155" s="465"/>
      <c r="AE155" s="465"/>
      <c r="AF155" s="465"/>
      <c r="AG155" s="465"/>
      <c r="AH155" s="465"/>
      <c r="AI155" s="465"/>
      <c r="AJ155" s="465"/>
      <c r="AK155" s="465"/>
      <c r="AL155" s="465"/>
      <c r="AM155" s="465"/>
      <c r="AN155" s="465"/>
      <c r="AO155" s="465"/>
      <c r="AP155" s="465"/>
      <c r="AQ155" s="465"/>
      <c r="AR155" s="465"/>
      <c r="AS155" s="465"/>
      <c r="AT155" s="465"/>
      <c r="AU155" s="465"/>
      <c r="AV155" s="465"/>
      <c r="AW155" s="465"/>
      <c r="AX155" s="465"/>
      <c r="AY155" s="465"/>
      <c r="AZ155" s="465"/>
      <c r="BA155" s="465"/>
      <c r="BB155" s="465"/>
      <c r="BC155" s="465"/>
      <c r="BD155" s="465"/>
      <c r="BE155" s="465"/>
      <c r="BF155" s="465"/>
      <c r="BG155" s="465"/>
      <c r="BH155" s="465"/>
      <c r="BI155" s="465"/>
      <c r="BJ155" s="465"/>
      <c r="BK155" s="465"/>
      <c r="BL155" s="465"/>
      <c r="BM155" s="465"/>
      <c r="BN155" s="465"/>
      <c r="BO155" s="465"/>
      <c r="BP155" s="465"/>
      <c r="BQ155" s="465"/>
      <c r="BR155" s="465"/>
      <c r="BS155" s="465"/>
      <c r="BT155" s="465"/>
      <c r="BU155" s="465"/>
      <c r="BV155" s="465"/>
    </row>
    <row r="156" spans="1:74">
      <c r="A156" s="465"/>
      <c r="B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c r="AK156" s="465"/>
      <c r="AL156" s="465"/>
      <c r="AM156" s="465"/>
      <c r="AN156" s="465"/>
      <c r="AO156" s="465"/>
      <c r="AP156" s="465"/>
      <c r="AQ156" s="465"/>
      <c r="AR156" s="465"/>
      <c r="AS156" s="465"/>
      <c r="AT156" s="465"/>
      <c r="AU156" s="465"/>
      <c r="AV156" s="465"/>
      <c r="AW156" s="465"/>
      <c r="AX156" s="465"/>
      <c r="AY156" s="465"/>
      <c r="AZ156" s="465"/>
      <c r="BA156" s="465"/>
      <c r="BB156" s="465"/>
      <c r="BC156" s="465"/>
      <c r="BD156" s="465"/>
      <c r="BE156" s="465"/>
      <c r="BF156" s="465"/>
      <c r="BG156" s="465"/>
      <c r="BH156" s="465"/>
      <c r="BI156" s="465"/>
      <c r="BJ156" s="465"/>
      <c r="BK156" s="465"/>
      <c r="BL156" s="465"/>
      <c r="BM156" s="465"/>
      <c r="BN156" s="465"/>
      <c r="BO156" s="465"/>
      <c r="BP156" s="465"/>
      <c r="BQ156" s="465"/>
      <c r="BR156" s="465"/>
      <c r="BS156" s="465"/>
      <c r="BT156" s="465"/>
      <c r="BU156" s="465"/>
      <c r="BV156" s="465"/>
    </row>
    <row r="157" spans="1:74">
      <c r="A157" s="465"/>
      <c r="B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c r="AK157" s="465"/>
      <c r="AL157" s="465"/>
      <c r="AM157" s="465"/>
      <c r="AN157" s="465"/>
      <c r="AO157" s="465"/>
      <c r="AP157" s="465"/>
      <c r="AQ157" s="465"/>
      <c r="AR157" s="465"/>
      <c r="AS157" s="465"/>
      <c r="AT157" s="465"/>
      <c r="AU157" s="465"/>
      <c r="AV157" s="465"/>
      <c r="AW157" s="465"/>
      <c r="AX157" s="465"/>
      <c r="AY157" s="465"/>
      <c r="AZ157" s="465"/>
      <c r="BA157" s="465"/>
      <c r="BB157" s="465"/>
      <c r="BC157" s="465"/>
      <c r="BD157" s="465"/>
      <c r="BE157" s="465"/>
      <c r="BF157" s="465"/>
      <c r="BG157" s="465"/>
      <c r="BH157" s="465"/>
      <c r="BI157" s="465"/>
      <c r="BJ157" s="465"/>
      <c r="BK157" s="465"/>
      <c r="BL157" s="465"/>
      <c r="BM157" s="465"/>
      <c r="BN157" s="465"/>
      <c r="BO157" s="465"/>
      <c r="BP157" s="465"/>
      <c r="BQ157" s="465"/>
      <c r="BR157" s="465"/>
      <c r="BS157" s="465"/>
      <c r="BT157" s="465"/>
      <c r="BU157" s="465"/>
      <c r="BV157" s="465"/>
    </row>
    <row r="158" spans="1:74">
      <c r="A158" s="465"/>
      <c r="B158" s="465"/>
      <c r="E158" s="465"/>
      <c r="F158" s="465"/>
      <c r="G158" s="465"/>
      <c r="H158" s="465"/>
      <c r="I158" s="465"/>
      <c r="J158" s="465"/>
      <c r="K158" s="465"/>
      <c r="L158" s="465"/>
      <c r="M158" s="465"/>
      <c r="N158" s="465"/>
      <c r="O158" s="465"/>
      <c r="P158" s="465"/>
      <c r="Q158" s="465"/>
      <c r="R158" s="465"/>
      <c r="S158" s="465"/>
      <c r="T158" s="465"/>
      <c r="U158" s="465"/>
      <c r="V158" s="465"/>
      <c r="W158" s="465"/>
      <c r="X158" s="465"/>
      <c r="Y158" s="465"/>
      <c r="Z158" s="465"/>
      <c r="AA158" s="465"/>
      <c r="AB158" s="465"/>
      <c r="AC158" s="465"/>
      <c r="AD158" s="465"/>
      <c r="AE158" s="465"/>
      <c r="AF158" s="465"/>
      <c r="AG158" s="465"/>
      <c r="AH158" s="465"/>
      <c r="AI158" s="465"/>
      <c r="AJ158" s="465"/>
      <c r="AK158" s="465"/>
      <c r="AL158" s="465"/>
      <c r="AM158" s="465"/>
      <c r="AN158" s="465"/>
      <c r="AO158" s="465"/>
      <c r="AP158" s="465"/>
      <c r="AQ158" s="465"/>
      <c r="AR158" s="465"/>
      <c r="AS158" s="465"/>
      <c r="AT158" s="465"/>
      <c r="AU158" s="465"/>
      <c r="AV158" s="465"/>
      <c r="AW158" s="465"/>
      <c r="AX158" s="465"/>
      <c r="AY158" s="465"/>
      <c r="AZ158" s="465"/>
      <c r="BA158" s="465"/>
      <c r="BB158" s="465"/>
      <c r="BC158" s="465"/>
      <c r="BD158" s="465"/>
      <c r="BE158" s="465"/>
      <c r="BF158" s="465"/>
      <c r="BG158" s="465"/>
      <c r="BH158" s="465"/>
      <c r="BI158" s="465"/>
      <c r="BJ158" s="465"/>
      <c r="BK158" s="465"/>
      <c r="BL158" s="465"/>
      <c r="BM158" s="465"/>
      <c r="BN158" s="465"/>
      <c r="BO158" s="465"/>
      <c r="BP158" s="465"/>
      <c r="BQ158" s="465"/>
      <c r="BR158" s="465"/>
      <c r="BS158" s="465"/>
      <c r="BT158" s="465"/>
      <c r="BU158" s="465"/>
      <c r="BV158" s="465"/>
    </row>
    <row r="159" spans="1:74">
      <c r="A159" s="465"/>
      <c r="B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465"/>
      <c r="AJ159" s="465"/>
      <c r="AK159" s="465"/>
      <c r="AL159" s="465"/>
      <c r="AM159" s="465"/>
      <c r="AN159" s="465"/>
      <c r="AO159" s="465"/>
      <c r="AP159" s="465"/>
      <c r="AQ159" s="465"/>
      <c r="AR159" s="465"/>
      <c r="AS159" s="465"/>
      <c r="AT159" s="465"/>
      <c r="AU159" s="465"/>
      <c r="AV159" s="465"/>
      <c r="AW159" s="465"/>
      <c r="AX159" s="465"/>
      <c r="AY159" s="465"/>
      <c r="AZ159" s="465"/>
      <c r="BA159" s="465"/>
      <c r="BB159" s="465"/>
      <c r="BC159" s="465"/>
      <c r="BD159" s="465"/>
      <c r="BE159" s="465"/>
      <c r="BF159" s="465"/>
      <c r="BG159" s="465"/>
      <c r="BH159" s="465"/>
      <c r="BI159" s="465"/>
      <c r="BJ159" s="465"/>
      <c r="BK159" s="465"/>
      <c r="BL159" s="465"/>
      <c r="BM159" s="465"/>
      <c r="BN159" s="465"/>
      <c r="BO159" s="465"/>
      <c r="BP159" s="465"/>
      <c r="BQ159" s="465"/>
      <c r="BR159" s="465"/>
      <c r="BS159" s="465"/>
      <c r="BT159" s="465"/>
      <c r="BU159" s="465"/>
      <c r="BV159" s="465"/>
    </row>
    <row r="160" spans="1:74">
      <c r="A160" s="465"/>
      <c r="B160" s="465"/>
      <c r="E160" s="465"/>
      <c r="F160" s="465"/>
      <c r="G160" s="465"/>
      <c r="H160" s="465"/>
      <c r="I160" s="465"/>
      <c r="J160" s="465"/>
      <c r="K160" s="465"/>
      <c r="L160" s="465"/>
      <c r="M160" s="465"/>
      <c r="N160" s="465"/>
      <c r="O160" s="465"/>
      <c r="P160" s="465"/>
      <c r="Q160" s="465"/>
      <c r="R160" s="465"/>
      <c r="S160" s="465"/>
      <c r="T160" s="465"/>
      <c r="U160" s="465"/>
      <c r="V160" s="465"/>
      <c r="W160" s="465"/>
      <c r="X160" s="465"/>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65"/>
      <c r="BI160" s="465"/>
      <c r="BJ160" s="465"/>
      <c r="BK160" s="465"/>
      <c r="BL160" s="465"/>
      <c r="BM160" s="465"/>
      <c r="BN160" s="465"/>
      <c r="BO160" s="465"/>
      <c r="BP160" s="465"/>
      <c r="BQ160" s="465"/>
      <c r="BR160" s="465"/>
      <c r="BS160" s="465"/>
      <c r="BT160" s="465"/>
      <c r="BU160" s="465"/>
      <c r="BV160" s="465"/>
    </row>
    <row r="161" spans="1:74">
      <c r="A161" s="465"/>
      <c r="B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5"/>
      <c r="AY161" s="465"/>
      <c r="AZ161" s="465"/>
      <c r="BA161" s="465"/>
      <c r="BB161" s="465"/>
      <c r="BC161" s="465"/>
      <c r="BD161" s="465"/>
      <c r="BE161" s="465"/>
      <c r="BF161" s="465"/>
      <c r="BG161" s="465"/>
      <c r="BH161" s="465"/>
      <c r="BI161" s="465"/>
      <c r="BJ161" s="465"/>
      <c r="BK161" s="465"/>
      <c r="BL161" s="465"/>
      <c r="BM161" s="465"/>
      <c r="BN161" s="465"/>
      <c r="BO161" s="465"/>
      <c r="BP161" s="465"/>
      <c r="BQ161" s="465"/>
      <c r="BR161" s="465"/>
      <c r="BS161" s="465"/>
      <c r="BT161" s="465"/>
      <c r="BU161" s="465"/>
      <c r="BV161" s="465"/>
    </row>
    <row r="162" spans="1:74">
      <c r="A162" s="465"/>
      <c r="B162" s="465"/>
      <c r="E162" s="465"/>
      <c r="F162" s="465"/>
      <c r="G162" s="465"/>
      <c r="H162" s="465"/>
      <c r="I162" s="465"/>
      <c r="J162" s="465"/>
      <c r="K162" s="465"/>
      <c r="L162" s="465"/>
      <c r="M162" s="465"/>
      <c r="N162" s="465"/>
      <c r="O162" s="465"/>
      <c r="P162" s="465"/>
      <c r="Q162" s="465"/>
      <c r="R162" s="465"/>
      <c r="S162" s="465"/>
      <c r="T162" s="465"/>
      <c r="U162" s="465"/>
      <c r="V162" s="465"/>
      <c r="W162" s="465"/>
      <c r="X162" s="465"/>
      <c r="Y162" s="465"/>
      <c r="Z162" s="465"/>
      <c r="AA162" s="465"/>
      <c r="AB162" s="465"/>
      <c r="AC162" s="465"/>
      <c r="AD162" s="465"/>
      <c r="AE162" s="465"/>
      <c r="AF162" s="465"/>
      <c r="AG162" s="465"/>
      <c r="AH162" s="465"/>
      <c r="AI162" s="465"/>
      <c r="AJ162" s="465"/>
      <c r="AK162" s="465"/>
      <c r="AL162" s="465"/>
      <c r="AM162" s="465"/>
      <c r="AN162" s="465"/>
      <c r="AO162" s="465"/>
      <c r="AP162" s="465"/>
      <c r="AQ162" s="465"/>
      <c r="AR162" s="465"/>
      <c r="AS162" s="465"/>
      <c r="AT162" s="465"/>
      <c r="AU162" s="465"/>
      <c r="AV162" s="465"/>
      <c r="AW162" s="465"/>
      <c r="AX162" s="465"/>
      <c r="AY162" s="465"/>
      <c r="AZ162" s="465"/>
      <c r="BA162" s="465"/>
      <c r="BB162" s="465"/>
      <c r="BC162" s="465"/>
      <c r="BD162" s="465"/>
      <c r="BE162" s="465"/>
      <c r="BF162" s="465"/>
      <c r="BG162" s="465"/>
      <c r="BH162" s="465"/>
      <c r="BI162" s="465"/>
      <c r="BJ162" s="465"/>
      <c r="BK162" s="465"/>
      <c r="BL162" s="465"/>
      <c r="BM162" s="465"/>
      <c r="BN162" s="465"/>
      <c r="BO162" s="465"/>
      <c r="BP162" s="465"/>
      <c r="BQ162" s="465"/>
      <c r="BR162" s="465"/>
      <c r="BS162" s="465"/>
      <c r="BT162" s="465"/>
      <c r="BU162" s="465"/>
      <c r="BV162" s="465"/>
    </row>
    <row r="163" spans="1:74">
      <c r="A163" s="465"/>
      <c r="B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c r="AK163" s="465"/>
      <c r="AL163" s="465"/>
      <c r="AM163" s="465"/>
      <c r="AN163" s="465"/>
      <c r="AO163" s="465"/>
      <c r="AP163" s="465"/>
      <c r="AQ163" s="465"/>
      <c r="AR163" s="465"/>
      <c r="AS163" s="465"/>
      <c r="AT163" s="465"/>
      <c r="AU163" s="465"/>
      <c r="AV163" s="465"/>
      <c r="AW163" s="465"/>
      <c r="AX163" s="465"/>
      <c r="AY163" s="465"/>
      <c r="AZ163" s="465"/>
      <c r="BA163" s="465"/>
      <c r="BB163" s="465"/>
      <c r="BC163" s="465"/>
      <c r="BD163" s="465"/>
      <c r="BE163" s="465"/>
      <c r="BF163" s="465"/>
      <c r="BG163" s="465"/>
      <c r="BH163" s="465"/>
      <c r="BI163" s="465"/>
      <c r="BJ163" s="465"/>
      <c r="BK163" s="465"/>
      <c r="BL163" s="465"/>
      <c r="BM163" s="465"/>
      <c r="BN163" s="465"/>
      <c r="BO163" s="465"/>
      <c r="BP163" s="465"/>
      <c r="BQ163" s="465"/>
      <c r="BR163" s="465"/>
      <c r="BS163" s="465"/>
      <c r="BT163" s="465"/>
      <c r="BU163" s="465"/>
      <c r="BV163" s="465"/>
    </row>
    <row r="164" spans="1:74">
      <c r="A164" s="465"/>
      <c r="B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5"/>
      <c r="BG164" s="465"/>
      <c r="BH164" s="465"/>
      <c r="BI164" s="465"/>
      <c r="BJ164" s="465"/>
      <c r="BK164" s="465"/>
      <c r="BL164" s="465"/>
      <c r="BM164" s="465"/>
      <c r="BN164" s="465"/>
      <c r="BO164" s="465"/>
      <c r="BP164" s="465"/>
      <c r="BQ164" s="465"/>
      <c r="BR164" s="465"/>
      <c r="BS164" s="465"/>
      <c r="BT164" s="465"/>
      <c r="BU164" s="465"/>
      <c r="BV164" s="465"/>
    </row>
    <row r="165" spans="1:74">
      <c r="A165" s="465"/>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c r="AK165" s="465"/>
      <c r="AL165" s="465"/>
      <c r="AM165" s="465"/>
      <c r="AN165" s="465"/>
      <c r="AO165" s="465"/>
      <c r="AP165" s="465"/>
      <c r="AQ165" s="465"/>
      <c r="AR165" s="465"/>
      <c r="AS165" s="465"/>
      <c r="AT165" s="465"/>
      <c r="AU165" s="465"/>
      <c r="AV165" s="465"/>
      <c r="AW165" s="465"/>
      <c r="AX165" s="465"/>
      <c r="AY165" s="465"/>
      <c r="AZ165" s="465"/>
      <c r="BA165" s="465"/>
      <c r="BB165" s="465"/>
      <c r="BC165" s="465"/>
      <c r="BD165" s="465"/>
      <c r="BE165" s="465"/>
      <c r="BF165" s="465"/>
      <c r="BG165" s="465"/>
      <c r="BH165" s="465"/>
      <c r="BI165" s="465"/>
      <c r="BJ165" s="465"/>
      <c r="BK165" s="465"/>
      <c r="BL165" s="465"/>
      <c r="BM165" s="465"/>
      <c r="BN165" s="465"/>
      <c r="BO165" s="465"/>
      <c r="BP165" s="465"/>
      <c r="BQ165" s="465"/>
      <c r="BR165" s="465"/>
      <c r="BS165" s="465"/>
      <c r="BT165" s="465"/>
      <c r="BU165" s="465"/>
      <c r="BV165" s="465"/>
    </row>
    <row r="166" spans="1:74">
      <c r="A166" s="465"/>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5"/>
      <c r="AL166" s="465"/>
      <c r="AM166" s="465"/>
      <c r="AN166" s="465"/>
      <c r="AO166" s="465"/>
      <c r="AP166" s="465"/>
      <c r="AQ166" s="465"/>
      <c r="AR166" s="465"/>
      <c r="AS166" s="465"/>
      <c r="AT166" s="465"/>
      <c r="AU166" s="465"/>
      <c r="AV166" s="465"/>
      <c r="AW166" s="465"/>
      <c r="AX166" s="465"/>
      <c r="AY166" s="465"/>
      <c r="AZ166" s="465"/>
      <c r="BA166" s="465"/>
      <c r="BB166" s="465"/>
      <c r="BC166" s="465"/>
      <c r="BD166" s="465"/>
      <c r="BE166" s="465"/>
      <c r="BF166" s="465"/>
      <c r="BG166" s="465"/>
      <c r="BH166" s="465"/>
      <c r="BI166" s="465"/>
      <c r="BJ166" s="465"/>
      <c r="BK166" s="465"/>
      <c r="BL166" s="465"/>
      <c r="BM166" s="465"/>
      <c r="BN166" s="465"/>
      <c r="BO166" s="465"/>
      <c r="BP166" s="465"/>
      <c r="BQ166" s="465"/>
      <c r="BR166" s="465"/>
      <c r="BS166" s="465"/>
      <c r="BT166" s="465"/>
      <c r="BU166" s="465"/>
      <c r="BV166" s="465"/>
    </row>
    <row r="167" spans="1:74" ht="15.4" customHeight="1">
      <c r="A167" s="465"/>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c r="AK167" s="465"/>
      <c r="AL167" s="465"/>
      <c r="AM167" s="465"/>
      <c r="AN167" s="465"/>
      <c r="AO167" s="465"/>
      <c r="AP167" s="465"/>
      <c r="AQ167" s="465"/>
      <c r="AR167" s="465"/>
      <c r="AS167" s="465"/>
      <c r="AT167" s="465"/>
      <c r="AU167" s="465"/>
      <c r="AV167" s="465"/>
      <c r="AW167" s="465"/>
      <c r="AX167" s="465"/>
      <c r="AY167" s="465"/>
      <c r="AZ167" s="465"/>
      <c r="BA167" s="465"/>
      <c r="BB167" s="465"/>
      <c r="BC167" s="465"/>
      <c r="BD167" s="465"/>
      <c r="BE167" s="465"/>
      <c r="BF167" s="465"/>
      <c r="BG167" s="465"/>
      <c r="BH167" s="465"/>
      <c r="BI167" s="465"/>
      <c r="BJ167" s="465"/>
      <c r="BK167" s="465"/>
      <c r="BL167" s="465"/>
      <c r="BM167" s="465"/>
      <c r="BN167" s="465"/>
      <c r="BO167" s="465"/>
      <c r="BP167" s="465"/>
      <c r="BQ167" s="465"/>
      <c r="BR167" s="465"/>
      <c r="BS167" s="465"/>
      <c r="BT167" s="465"/>
      <c r="BU167" s="465"/>
      <c r="BV167" s="465"/>
    </row>
    <row r="168" spans="1:74">
      <c r="A168" s="465"/>
      <c r="B168" s="465"/>
      <c r="C168" s="465"/>
      <c r="D168" s="465"/>
      <c r="E168" s="465"/>
      <c r="F168" s="465"/>
      <c r="G168" s="465"/>
      <c r="H168" s="465"/>
      <c r="I168" s="465"/>
      <c r="J168" s="465"/>
      <c r="K168" s="465"/>
      <c r="L168" s="465"/>
      <c r="M168" s="465"/>
      <c r="N168" s="465"/>
      <c r="O168" s="465"/>
      <c r="P168" s="465"/>
      <c r="Q168" s="465"/>
      <c r="R168" s="465"/>
      <c r="S168" s="465"/>
      <c r="T168" s="465"/>
      <c r="U168" s="465"/>
      <c r="V168" s="465"/>
      <c r="W168" s="465"/>
      <c r="X168" s="465"/>
      <c r="Y168" s="465"/>
      <c r="Z168" s="465"/>
      <c r="AA168" s="465"/>
      <c r="AB168" s="465"/>
      <c r="AC168" s="465"/>
      <c r="AD168" s="465"/>
      <c r="AE168" s="465"/>
      <c r="AF168" s="465"/>
      <c r="AG168" s="465"/>
      <c r="AH168" s="465"/>
      <c r="AI168" s="465"/>
      <c r="AJ168" s="465"/>
      <c r="AK168" s="465"/>
      <c r="AL168" s="465"/>
      <c r="AM168" s="465"/>
      <c r="AN168" s="465"/>
      <c r="AO168" s="465"/>
      <c r="AP168" s="465"/>
      <c r="AQ168" s="465"/>
      <c r="AR168" s="465"/>
      <c r="AS168" s="465"/>
      <c r="AT168" s="465"/>
      <c r="AU168" s="465"/>
      <c r="AV168" s="465"/>
      <c r="AW168" s="465"/>
      <c r="AX168" s="465"/>
      <c r="AY168" s="465"/>
      <c r="AZ168" s="465"/>
      <c r="BA168" s="465"/>
      <c r="BB168" s="465"/>
      <c r="BC168" s="465"/>
      <c r="BD168" s="465"/>
      <c r="BE168" s="465"/>
      <c r="BF168" s="465"/>
      <c r="BG168" s="465"/>
      <c r="BH168" s="465"/>
      <c r="BI168" s="465"/>
      <c r="BJ168" s="465"/>
      <c r="BK168" s="465"/>
      <c r="BL168" s="465"/>
      <c r="BM168" s="465"/>
      <c r="BN168" s="465"/>
      <c r="BO168" s="465"/>
      <c r="BP168" s="465"/>
      <c r="BQ168" s="465"/>
      <c r="BR168" s="465"/>
      <c r="BS168" s="465"/>
      <c r="BT168" s="465"/>
      <c r="BU168" s="465"/>
      <c r="BV168" s="465"/>
    </row>
    <row r="169" spans="1:74">
      <c r="A169" s="465"/>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5"/>
      <c r="AL169" s="465"/>
      <c r="AM169" s="465"/>
      <c r="AN169" s="465"/>
      <c r="AO169" s="465"/>
      <c r="AP169" s="465"/>
      <c r="AQ169" s="465"/>
      <c r="AR169" s="465"/>
      <c r="AS169" s="465"/>
      <c r="AT169" s="465"/>
      <c r="AU169" s="465"/>
      <c r="AV169" s="465"/>
      <c r="AW169" s="465"/>
      <c r="AX169" s="465"/>
      <c r="AY169" s="465"/>
      <c r="AZ169" s="465"/>
      <c r="BA169" s="465"/>
      <c r="BB169" s="465"/>
      <c r="BC169" s="465"/>
      <c r="BD169" s="465"/>
      <c r="BE169" s="465"/>
      <c r="BF169" s="465"/>
      <c r="BG169" s="465"/>
      <c r="BH169" s="465"/>
      <c r="BI169" s="465"/>
      <c r="BJ169" s="465"/>
      <c r="BK169" s="465"/>
      <c r="BL169" s="465"/>
      <c r="BM169" s="465"/>
      <c r="BN169" s="465"/>
      <c r="BO169" s="465"/>
      <c r="BP169" s="465"/>
      <c r="BQ169" s="465"/>
      <c r="BR169" s="465"/>
      <c r="BS169" s="465"/>
      <c r="BT169" s="465"/>
      <c r="BU169" s="465"/>
      <c r="BV169" s="465"/>
    </row>
    <row r="170" spans="1:74">
      <c r="A170" s="465"/>
      <c r="B170" s="465"/>
      <c r="C170" s="465"/>
      <c r="D170" s="465"/>
      <c r="E170" s="465"/>
      <c r="F170" s="465"/>
      <c r="G170" s="465"/>
      <c r="H170" s="465"/>
      <c r="I170" s="465"/>
      <c r="J170" s="465"/>
      <c r="K170" s="465"/>
      <c r="L170" s="465"/>
      <c r="M170" s="465"/>
      <c r="N170" s="465"/>
      <c r="O170" s="465"/>
      <c r="P170" s="465"/>
      <c r="Q170" s="465"/>
      <c r="R170" s="465"/>
      <c r="S170" s="465"/>
      <c r="T170" s="465"/>
      <c r="U170" s="465"/>
      <c r="V170" s="465"/>
      <c r="W170" s="465"/>
      <c r="X170" s="465"/>
      <c r="Y170" s="465"/>
      <c r="Z170" s="465"/>
      <c r="AA170" s="465"/>
      <c r="AB170" s="465"/>
      <c r="AC170" s="465"/>
      <c r="AD170" s="465"/>
      <c r="AE170" s="465"/>
      <c r="AF170" s="465"/>
      <c r="AG170" s="465"/>
      <c r="AH170" s="465"/>
      <c r="AI170" s="465"/>
      <c r="AJ170" s="465"/>
      <c r="AK170" s="465"/>
      <c r="AL170" s="465"/>
      <c r="AM170" s="465"/>
      <c r="AN170" s="465"/>
      <c r="AO170" s="465"/>
      <c r="AP170" s="465"/>
      <c r="AQ170" s="465"/>
      <c r="AR170" s="465"/>
      <c r="AS170" s="465"/>
      <c r="AT170" s="465"/>
      <c r="AU170" s="465"/>
      <c r="AV170" s="465"/>
      <c r="AW170" s="465"/>
      <c r="AX170" s="465"/>
      <c r="AY170" s="465"/>
      <c r="AZ170" s="465"/>
      <c r="BA170" s="465"/>
      <c r="BB170" s="465"/>
      <c r="BC170" s="465"/>
      <c r="BD170" s="465"/>
      <c r="BE170" s="465"/>
      <c r="BF170" s="465"/>
      <c r="BG170" s="465"/>
      <c r="BH170" s="465"/>
      <c r="BI170" s="465"/>
      <c r="BJ170" s="465"/>
      <c r="BK170" s="465"/>
      <c r="BL170" s="465"/>
      <c r="BM170" s="465"/>
      <c r="BN170" s="465"/>
      <c r="BO170" s="465"/>
      <c r="BP170" s="465"/>
      <c r="BQ170" s="465"/>
      <c r="BR170" s="465"/>
      <c r="BS170" s="465"/>
      <c r="BT170" s="465"/>
      <c r="BU170" s="465"/>
      <c r="BV170" s="465"/>
    </row>
    <row r="171" spans="1:74">
      <c r="A171" s="465"/>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5"/>
      <c r="AL171" s="465"/>
      <c r="AM171" s="465"/>
      <c r="AN171" s="465"/>
      <c r="AO171" s="465"/>
      <c r="AP171" s="465"/>
      <c r="AQ171" s="465"/>
      <c r="AR171" s="465"/>
      <c r="AS171" s="465"/>
      <c r="AT171" s="465"/>
      <c r="AU171" s="465"/>
      <c r="AV171" s="465"/>
      <c r="AW171" s="465"/>
      <c r="AX171" s="465"/>
      <c r="AY171" s="465"/>
      <c r="AZ171" s="465"/>
      <c r="BA171" s="465"/>
      <c r="BB171" s="465"/>
      <c r="BC171" s="465"/>
      <c r="BD171" s="465"/>
      <c r="BE171" s="465"/>
      <c r="BF171" s="465"/>
      <c r="BG171" s="465"/>
      <c r="BH171" s="465"/>
      <c r="BI171" s="465"/>
      <c r="BJ171" s="465"/>
      <c r="BK171" s="465"/>
      <c r="BL171" s="465"/>
      <c r="BM171" s="465"/>
      <c r="BN171" s="465"/>
      <c r="BO171" s="465"/>
      <c r="BP171" s="465"/>
      <c r="BQ171" s="465"/>
      <c r="BR171" s="465"/>
      <c r="BS171" s="465"/>
      <c r="BT171" s="465"/>
      <c r="BU171" s="465"/>
      <c r="BV171" s="465"/>
    </row>
    <row r="172" spans="1:74">
      <c r="A172" s="465"/>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465"/>
      <c r="BF172" s="465"/>
      <c r="BG172" s="465"/>
      <c r="BH172" s="465"/>
      <c r="BI172" s="465"/>
      <c r="BJ172" s="465"/>
      <c r="BK172" s="465"/>
      <c r="BL172" s="465"/>
      <c r="BM172" s="465"/>
      <c r="BN172" s="465"/>
      <c r="BO172" s="465"/>
      <c r="BP172" s="465"/>
      <c r="BQ172" s="465"/>
      <c r="BR172" s="465"/>
      <c r="BS172" s="465"/>
      <c r="BT172" s="465"/>
      <c r="BU172" s="465"/>
      <c r="BV172" s="465"/>
    </row>
    <row r="173" spans="1:74">
      <c r="A173" s="465"/>
      <c r="B173" s="465"/>
      <c r="C173" s="465"/>
      <c r="D173" s="465"/>
      <c r="E173" s="465"/>
      <c r="F173" s="465"/>
      <c r="G173" s="465"/>
      <c r="H173" s="465"/>
      <c r="I173" s="465"/>
      <c r="J173" s="465"/>
      <c r="K173" s="465"/>
      <c r="L173" s="465"/>
      <c r="M173" s="465"/>
      <c r="N173" s="465"/>
      <c r="O173" s="465"/>
      <c r="P173" s="465"/>
      <c r="Q173" s="465"/>
      <c r="R173" s="465"/>
      <c r="S173" s="465"/>
      <c r="T173" s="465"/>
      <c r="U173" s="465"/>
      <c r="V173" s="465"/>
      <c r="W173" s="465"/>
      <c r="X173" s="465"/>
      <c r="Y173" s="465"/>
      <c r="Z173" s="465"/>
      <c r="AA173" s="465"/>
      <c r="AB173" s="465"/>
      <c r="AC173" s="465"/>
      <c r="AD173" s="465"/>
      <c r="AE173" s="465"/>
      <c r="AF173" s="465"/>
      <c r="AG173" s="465"/>
      <c r="AH173" s="465"/>
      <c r="AI173" s="465"/>
      <c r="AJ173" s="465"/>
      <c r="AK173" s="465"/>
      <c r="AL173" s="465"/>
      <c r="AM173" s="465"/>
      <c r="AN173" s="465"/>
      <c r="AO173" s="465"/>
      <c r="AP173" s="465"/>
      <c r="AQ173" s="465"/>
      <c r="AR173" s="465"/>
      <c r="AS173" s="465"/>
      <c r="AT173" s="465"/>
      <c r="AU173" s="465"/>
      <c r="AV173" s="465"/>
      <c r="AW173" s="465"/>
      <c r="AX173" s="465"/>
      <c r="AY173" s="465"/>
      <c r="AZ173" s="465"/>
      <c r="BA173" s="465"/>
      <c r="BB173" s="465"/>
      <c r="BC173" s="465"/>
      <c r="BD173" s="465"/>
      <c r="BE173" s="465"/>
      <c r="BF173" s="465"/>
      <c r="BG173" s="465"/>
      <c r="BH173" s="465"/>
      <c r="BI173" s="465"/>
      <c r="BJ173" s="465"/>
      <c r="BK173" s="465"/>
      <c r="BL173" s="465"/>
      <c r="BM173" s="465"/>
      <c r="BN173" s="465"/>
      <c r="BO173" s="465"/>
      <c r="BP173" s="465"/>
      <c r="BQ173" s="465"/>
      <c r="BR173" s="465"/>
      <c r="BS173" s="465"/>
      <c r="BT173" s="465"/>
      <c r="BU173" s="465"/>
      <c r="BV173" s="465"/>
    </row>
    <row r="174" spans="1:74">
      <c r="A174" s="465"/>
      <c r="B174" s="465"/>
      <c r="C174" s="465"/>
      <c r="D174" s="465"/>
      <c r="E174" s="465"/>
      <c r="F174" s="465"/>
      <c r="G174" s="465"/>
      <c r="H174" s="465"/>
      <c r="I174" s="465"/>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5"/>
      <c r="AY174" s="465"/>
      <c r="AZ174" s="465"/>
      <c r="BA174" s="465"/>
      <c r="BB174" s="465"/>
      <c r="BC174" s="465"/>
      <c r="BD174" s="465"/>
      <c r="BE174" s="465"/>
      <c r="BF174" s="465"/>
      <c r="BG174" s="465"/>
      <c r="BH174" s="465"/>
      <c r="BI174" s="465"/>
      <c r="BJ174" s="465"/>
      <c r="BK174" s="465"/>
      <c r="BL174" s="465"/>
      <c r="BM174" s="465"/>
      <c r="BN174" s="465"/>
      <c r="BO174" s="465"/>
      <c r="BP174" s="465"/>
      <c r="BQ174" s="465"/>
      <c r="BR174" s="465"/>
      <c r="BS174" s="465"/>
      <c r="BT174" s="465"/>
      <c r="BU174" s="465"/>
      <c r="BV174" s="465"/>
    </row>
    <row r="175" spans="1:74">
      <c r="A175" s="465"/>
      <c r="B175" s="465"/>
      <c r="C175" s="465"/>
      <c r="D175" s="465"/>
      <c r="E175" s="465"/>
      <c r="F175" s="465"/>
      <c r="G175" s="465"/>
      <c r="H175" s="465"/>
      <c r="I175" s="465"/>
      <c r="J175" s="465"/>
      <c r="K175" s="465"/>
      <c r="L175" s="465"/>
      <c r="M175" s="465"/>
      <c r="N175" s="465"/>
      <c r="O175" s="465"/>
      <c r="P175" s="465"/>
      <c r="Q175" s="465"/>
      <c r="R175" s="465"/>
      <c r="S175" s="465"/>
      <c r="T175" s="465"/>
      <c r="U175" s="465"/>
      <c r="V175" s="465"/>
      <c r="W175" s="465"/>
      <c r="X175" s="465"/>
      <c r="Y175" s="465"/>
      <c r="Z175" s="465"/>
      <c r="AA175" s="465"/>
      <c r="AB175" s="465"/>
      <c r="AC175" s="465"/>
      <c r="AD175" s="465"/>
      <c r="AE175" s="465"/>
      <c r="AF175" s="465"/>
      <c r="AG175" s="465"/>
      <c r="AH175" s="465"/>
      <c r="AI175" s="465"/>
      <c r="AJ175" s="465"/>
      <c r="AK175" s="465"/>
      <c r="AL175" s="465"/>
      <c r="AM175" s="465"/>
      <c r="AN175" s="465"/>
      <c r="AO175" s="465"/>
      <c r="AP175" s="465"/>
      <c r="AQ175" s="465"/>
      <c r="AR175" s="465"/>
      <c r="AS175" s="465"/>
      <c r="AT175" s="465"/>
      <c r="AU175" s="465"/>
      <c r="AV175" s="465"/>
      <c r="AW175" s="465"/>
      <c r="AX175" s="465"/>
      <c r="AY175" s="465"/>
      <c r="AZ175" s="465"/>
      <c r="BA175" s="465"/>
      <c r="BB175" s="465"/>
      <c r="BC175" s="465"/>
      <c r="BD175" s="465"/>
      <c r="BE175" s="465"/>
      <c r="BF175" s="465"/>
      <c r="BG175" s="465"/>
      <c r="BH175" s="465"/>
      <c r="BI175" s="465"/>
      <c r="BJ175" s="465"/>
      <c r="BK175" s="465"/>
      <c r="BL175" s="465"/>
      <c r="BM175" s="465"/>
      <c r="BN175" s="465"/>
      <c r="BO175" s="465"/>
      <c r="BP175" s="465"/>
      <c r="BQ175" s="465"/>
      <c r="BR175" s="465"/>
      <c r="BS175" s="465"/>
      <c r="BT175" s="465"/>
      <c r="BU175" s="465"/>
      <c r="BV175" s="465"/>
    </row>
    <row r="176" spans="1:74">
      <c r="A176" s="465"/>
      <c r="B176" s="465"/>
      <c r="C176" s="465"/>
      <c r="D176" s="465"/>
      <c r="E176" s="465"/>
      <c r="F176" s="465"/>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465"/>
      <c r="AK176" s="465"/>
      <c r="AL176" s="465"/>
      <c r="AM176" s="465"/>
      <c r="AN176" s="465"/>
      <c r="AO176" s="465"/>
      <c r="AP176" s="465"/>
      <c r="AQ176" s="465"/>
      <c r="AR176" s="465"/>
      <c r="AS176" s="465"/>
      <c r="AT176" s="465"/>
      <c r="AU176" s="465"/>
      <c r="AV176" s="465"/>
      <c r="AW176" s="465"/>
      <c r="AX176" s="465"/>
      <c r="AY176" s="465"/>
      <c r="AZ176" s="465"/>
      <c r="BA176" s="465"/>
      <c r="BB176" s="465"/>
      <c r="BC176" s="465"/>
      <c r="BD176" s="465"/>
      <c r="BE176" s="465"/>
      <c r="BF176" s="465"/>
      <c r="BG176" s="465"/>
      <c r="BH176" s="465"/>
      <c r="BI176" s="465"/>
      <c r="BJ176" s="465"/>
      <c r="BK176" s="465"/>
      <c r="BL176" s="465"/>
      <c r="BM176" s="465"/>
      <c r="BN176" s="465"/>
      <c r="BO176" s="465"/>
      <c r="BP176" s="465"/>
      <c r="BQ176" s="465"/>
      <c r="BR176" s="465"/>
      <c r="BS176" s="465"/>
      <c r="BT176" s="465"/>
      <c r="BU176" s="465"/>
      <c r="BV176" s="465"/>
    </row>
    <row r="177" spans="1:74">
      <c r="A177" s="465"/>
      <c r="B177" s="465"/>
      <c r="C177" s="465"/>
      <c r="D177" s="465"/>
      <c r="E177" s="465"/>
      <c r="F177" s="465"/>
      <c r="G177" s="465"/>
      <c r="H177" s="465"/>
      <c r="I177" s="465"/>
      <c r="J177" s="465"/>
      <c r="K177" s="465"/>
      <c r="L177" s="465"/>
      <c r="M177" s="465"/>
      <c r="N177" s="465"/>
      <c r="O177" s="465"/>
      <c r="P177" s="465"/>
      <c r="Q177" s="465"/>
      <c r="R177" s="465"/>
      <c r="S177" s="465"/>
      <c r="T177" s="465"/>
      <c r="U177" s="465"/>
      <c r="V177" s="465"/>
      <c r="W177" s="465"/>
      <c r="X177" s="465"/>
      <c r="Y177" s="465"/>
      <c r="Z177" s="465"/>
      <c r="AA177" s="465"/>
      <c r="AB177" s="465"/>
      <c r="AC177" s="465"/>
      <c r="AD177" s="465"/>
      <c r="AE177" s="465"/>
      <c r="AF177" s="465"/>
      <c r="AG177" s="465"/>
      <c r="AH177" s="465"/>
      <c r="AI177" s="465"/>
      <c r="AJ177" s="465"/>
      <c r="AK177" s="465"/>
      <c r="AL177" s="465"/>
      <c r="AM177" s="465"/>
      <c r="AN177" s="465"/>
      <c r="AO177" s="465"/>
      <c r="AP177" s="465"/>
      <c r="AQ177" s="465"/>
      <c r="AR177" s="465"/>
      <c r="AS177" s="465"/>
      <c r="AT177" s="465"/>
      <c r="AU177" s="465"/>
      <c r="AV177" s="465"/>
      <c r="AW177" s="465"/>
      <c r="AX177" s="465"/>
      <c r="AY177" s="465"/>
      <c r="AZ177" s="465"/>
      <c r="BA177" s="465"/>
      <c r="BB177" s="465"/>
      <c r="BC177" s="465"/>
      <c r="BD177" s="465"/>
      <c r="BE177" s="465"/>
      <c r="BF177" s="465"/>
      <c r="BG177" s="465"/>
      <c r="BH177" s="465"/>
      <c r="BI177" s="465"/>
      <c r="BJ177" s="465"/>
      <c r="BK177" s="465"/>
      <c r="BL177" s="465"/>
      <c r="BM177" s="465"/>
      <c r="BN177" s="465"/>
      <c r="BO177" s="465"/>
      <c r="BP177" s="465"/>
      <c r="BQ177" s="465"/>
      <c r="BR177" s="465"/>
      <c r="BS177" s="465"/>
      <c r="BT177" s="465"/>
      <c r="BU177" s="465"/>
      <c r="BV177" s="465"/>
    </row>
    <row r="178" spans="1:74">
      <c r="A178" s="465"/>
      <c r="B178" s="465"/>
      <c r="C178" s="465"/>
      <c r="D178" s="465"/>
      <c r="E178" s="465"/>
      <c r="F178" s="465"/>
      <c r="G178" s="465"/>
      <c r="H178" s="465"/>
      <c r="I178" s="465"/>
      <c r="J178" s="465"/>
      <c r="K178" s="465"/>
      <c r="L178" s="465"/>
      <c r="M178" s="465"/>
      <c r="N178" s="465"/>
      <c r="O178" s="465"/>
      <c r="P178" s="465"/>
      <c r="Q178" s="465"/>
      <c r="R178" s="465"/>
      <c r="S178" s="465"/>
      <c r="T178" s="465"/>
      <c r="U178" s="465"/>
      <c r="V178" s="465"/>
      <c r="W178" s="465"/>
      <c r="X178" s="465"/>
      <c r="Y178" s="465"/>
      <c r="Z178" s="465"/>
      <c r="AA178" s="465"/>
      <c r="AB178" s="465"/>
      <c r="AC178" s="465"/>
      <c r="AD178" s="465"/>
      <c r="AE178" s="465"/>
      <c r="AF178" s="465"/>
      <c r="AG178" s="465"/>
      <c r="AH178" s="465"/>
      <c r="AI178" s="465"/>
      <c r="AJ178" s="465"/>
      <c r="AK178" s="465"/>
      <c r="AL178" s="465"/>
      <c r="AM178" s="465"/>
      <c r="AN178" s="465"/>
      <c r="AO178" s="465"/>
      <c r="AP178" s="465"/>
      <c r="AQ178" s="465"/>
      <c r="AR178" s="465"/>
      <c r="AS178" s="465"/>
      <c r="AT178" s="465"/>
      <c r="AU178" s="465"/>
      <c r="AV178" s="465"/>
      <c r="AW178" s="465"/>
      <c r="AX178" s="465"/>
      <c r="AY178" s="465"/>
      <c r="AZ178" s="465"/>
      <c r="BA178" s="465"/>
      <c r="BB178" s="465"/>
      <c r="BC178" s="465"/>
      <c r="BD178" s="465"/>
      <c r="BE178" s="465"/>
      <c r="BF178" s="465"/>
      <c r="BG178" s="465"/>
      <c r="BH178" s="465"/>
      <c r="BI178" s="465"/>
      <c r="BJ178" s="465"/>
      <c r="BK178" s="465"/>
      <c r="BL178" s="465"/>
      <c r="BM178" s="465"/>
      <c r="BN178" s="465"/>
      <c r="BO178" s="465"/>
      <c r="BP178" s="465"/>
      <c r="BQ178" s="465"/>
      <c r="BR178" s="465"/>
      <c r="BS178" s="465"/>
      <c r="BT178" s="465"/>
      <c r="BU178" s="465"/>
      <c r="BV178" s="465"/>
    </row>
    <row r="179" spans="1:74">
      <c r="A179" s="465"/>
      <c r="B179" s="465"/>
      <c r="C179" s="465"/>
      <c r="D179" s="465"/>
      <c r="E179" s="465"/>
      <c r="F179" s="465"/>
      <c r="G179" s="465"/>
      <c r="H179" s="465"/>
      <c r="I179" s="465"/>
      <c r="J179" s="465"/>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465"/>
      <c r="AK179" s="465"/>
      <c r="AL179" s="465"/>
      <c r="AM179" s="465"/>
      <c r="AN179" s="465"/>
      <c r="AO179" s="465"/>
      <c r="AP179" s="465"/>
      <c r="AQ179" s="465"/>
      <c r="AR179" s="465"/>
      <c r="AS179" s="465"/>
      <c r="AT179" s="465"/>
      <c r="AU179" s="465"/>
      <c r="AV179" s="465"/>
      <c r="AW179" s="465"/>
      <c r="AX179" s="465"/>
      <c r="AY179" s="465"/>
      <c r="AZ179" s="465"/>
      <c r="BA179" s="465"/>
      <c r="BB179" s="465"/>
      <c r="BC179" s="465"/>
      <c r="BD179" s="465"/>
      <c r="BE179" s="465"/>
      <c r="BF179" s="465"/>
      <c r="BG179" s="465"/>
      <c r="BH179" s="465"/>
      <c r="BI179" s="465"/>
      <c r="BJ179" s="465"/>
      <c r="BK179" s="465"/>
      <c r="BL179" s="465"/>
      <c r="BM179" s="465"/>
      <c r="BN179" s="465"/>
      <c r="BO179" s="465"/>
      <c r="BP179" s="465"/>
      <c r="BQ179" s="465"/>
      <c r="BR179" s="465"/>
      <c r="BS179" s="465"/>
      <c r="BT179" s="465"/>
      <c r="BU179" s="465"/>
      <c r="BV179" s="465"/>
    </row>
    <row r="180" spans="1:74">
      <c r="A180" s="465"/>
      <c r="B180" s="465"/>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465"/>
      <c r="AK180" s="465"/>
      <c r="AL180" s="465"/>
      <c r="AM180" s="465"/>
      <c r="AN180" s="465"/>
      <c r="AO180" s="465"/>
      <c r="AP180" s="465"/>
      <c r="AQ180" s="465"/>
      <c r="AR180" s="465"/>
      <c r="AS180" s="465"/>
      <c r="AT180" s="465"/>
      <c r="AU180" s="465"/>
      <c r="AV180" s="465"/>
      <c r="AW180" s="465"/>
      <c r="AX180" s="465"/>
      <c r="AY180" s="465"/>
      <c r="AZ180" s="465"/>
      <c r="BA180" s="465"/>
      <c r="BB180" s="465"/>
      <c r="BC180" s="465"/>
      <c r="BD180" s="465"/>
      <c r="BE180" s="465"/>
      <c r="BF180" s="465"/>
      <c r="BG180" s="465"/>
      <c r="BH180" s="465"/>
      <c r="BI180" s="465"/>
      <c r="BJ180" s="465"/>
      <c r="BK180" s="465"/>
      <c r="BL180" s="465"/>
      <c r="BM180" s="465"/>
      <c r="BN180" s="465"/>
      <c r="BO180" s="465"/>
      <c r="BP180" s="465"/>
      <c r="BQ180" s="465"/>
      <c r="BR180" s="465"/>
      <c r="BS180" s="465"/>
      <c r="BT180" s="465"/>
      <c r="BU180" s="465"/>
      <c r="BV180" s="465"/>
    </row>
    <row r="181" spans="1:74">
      <c r="A181" s="465"/>
      <c r="B181" s="465"/>
      <c r="C181" s="465"/>
      <c r="D181" s="465"/>
      <c r="E181" s="465"/>
      <c r="F181" s="465"/>
      <c r="G181" s="465"/>
      <c r="H181" s="465"/>
      <c r="I181" s="465"/>
      <c r="J181" s="465"/>
      <c r="K181" s="465"/>
      <c r="L181" s="465"/>
      <c r="M181" s="465"/>
      <c r="N181" s="465"/>
      <c r="O181" s="465"/>
      <c r="P181" s="465"/>
      <c r="Q181" s="465"/>
      <c r="R181" s="465"/>
      <c r="S181" s="465"/>
      <c r="T181" s="465"/>
      <c r="U181" s="465"/>
      <c r="V181" s="465"/>
      <c r="W181" s="465"/>
      <c r="X181" s="465"/>
      <c r="Y181" s="465"/>
      <c r="Z181" s="465"/>
      <c r="AA181" s="465"/>
      <c r="AB181" s="465"/>
      <c r="AC181" s="465"/>
      <c r="AD181" s="465"/>
      <c r="AE181" s="465"/>
      <c r="AF181" s="465"/>
      <c r="AG181" s="465"/>
      <c r="AH181" s="465"/>
      <c r="AI181" s="465"/>
      <c r="AJ181" s="465"/>
      <c r="AK181" s="465"/>
      <c r="AL181" s="465"/>
      <c r="AM181" s="465"/>
      <c r="AN181" s="465"/>
      <c r="AO181" s="465"/>
      <c r="AP181" s="465"/>
      <c r="AQ181" s="465"/>
      <c r="AR181" s="465"/>
      <c r="AS181" s="465"/>
      <c r="AT181" s="465"/>
      <c r="AU181" s="465"/>
      <c r="AV181" s="465"/>
      <c r="AW181" s="465"/>
      <c r="AX181" s="465"/>
      <c r="AY181" s="465"/>
      <c r="AZ181" s="465"/>
      <c r="BA181" s="465"/>
      <c r="BB181" s="465"/>
      <c r="BC181" s="465"/>
      <c r="BD181" s="465"/>
      <c r="BE181" s="465"/>
      <c r="BF181" s="465"/>
      <c r="BG181" s="465"/>
      <c r="BH181" s="465"/>
      <c r="BI181" s="465"/>
      <c r="BJ181" s="465"/>
      <c r="BK181" s="465"/>
      <c r="BL181" s="465"/>
      <c r="BM181" s="465"/>
      <c r="BN181" s="465"/>
      <c r="BO181" s="465"/>
      <c r="BP181" s="465"/>
      <c r="BQ181" s="465"/>
      <c r="BR181" s="465"/>
      <c r="BS181" s="465"/>
      <c r="BT181" s="465"/>
      <c r="BU181" s="465"/>
      <c r="BV181" s="465"/>
    </row>
    <row r="182" spans="1:74">
      <c r="A182" s="465"/>
      <c r="B182" s="465"/>
      <c r="C182" s="465"/>
      <c r="D182" s="465"/>
      <c r="E182" s="465"/>
      <c r="F182" s="465"/>
      <c r="G182" s="465"/>
      <c r="H182" s="465"/>
      <c r="I182" s="465"/>
      <c r="J182" s="465"/>
      <c r="K182" s="465"/>
      <c r="L182" s="465"/>
      <c r="M182" s="465"/>
      <c r="N182" s="465"/>
      <c r="O182" s="465"/>
      <c r="P182" s="465"/>
      <c r="Q182" s="465"/>
      <c r="R182" s="465"/>
      <c r="S182" s="465"/>
      <c r="T182" s="465"/>
      <c r="U182" s="465"/>
      <c r="V182" s="465"/>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465"/>
      <c r="BE182" s="465"/>
      <c r="BF182" s="465"/>
      <c r="BG182" s="465"/>
      <c r="BH182" s="465"/>
      <c r="BI182" s="465"/>
      <c r="BJ182" s="465"/>
      <c r="BK182" s="465"/>
      <c r="BL182" s="465"/>
      <c r="BM182" s="465"/>
      <c r="BN182" s="465"/>
      <c r="BO182" s="465"/>
      <c r="BP182" s="465"/>
      <c r="BQ182" s="465"/>
      <c r="BR182" s="465"/>
      <c r="BS182" s="465"/>
      <c r="BT182" s="465"/>
      <c r="BU182" s="465"/>
      <c r="BV182" s="465"/>
    </row>
  </sheetData>
  <mergeCells count="24">
    <mergeCell ref="A4:L4"/>
    <mergeCell ref="A5:L5"/>
    <mergeCell ref="A6:L6"/>
    <mergeCell ref="A8:L8"/>
    <mergeCell ref="C11:J11"/>
    <mergeCell ref="C12:H12"/>
    <mergeCell ref="C13:H13"/>
    <mergeCell ref="C14:H14"/>
    <mergeCell ref="B32:J32"/>
    <mergeCell ref="B38:L38"/>
    <mergeCell ref="B39:L39"/>
    <mergeCell ref="B40:L40"/>
    <mergeCell ref="C16:H16"/>
    <mergeCell ref="C17:H17"/>
    <mergeCell ref="C18:H18"/>
    <mergeCell ref="C19:H19"/>
    <mergeCell ref="C20:H20"/>
    <mergeCell ref="B84:K84"/>
    <mergeCell ref="B41:L41"/>
    <mergeCell ref="A49:L49"/>
    <mergeCell ref="A50:L50"/>
    <mergeCell ref="A51:L51"/>
    <mergeCell ref="A53:L53"/>
    <mergeCell ref="B82:K82"/>
  </mergeCells>
  <hyperlinks>
    <hyperlink ref="C83" r:id="rId1"/>
    <hyperlink ref="B39" display="      http://www.ferc.gov/legal/acct-matts/interest-rates.asp for the appropriate Months.  For under-collections, the applicable interest rate shall "/>
    <hyperlink ref="C85" r:id="rId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0" zoomScaleNormal="80" zoomScaleSheetLayoutView="100" workbookViewId="0">
      <selection sqref="A1:D1"/>
    </sheetView>
  </sheetViews>
  <sheetFormatPr defaultColWidth="9.140625" defaultRowHeight="15"/>
  <cols>
    <col min="1" max="1" width="74.5703125" style="299" bestFit="1" customWidth="1"/>
    <col min="2" max="2" width="15.5703125" style="299" customWidth="1"/>
    <col min="3" max="3" width="9.140625" style="299"/>
    <col min="4" max="4" width="73.5703125" style="299" bestFit="1" customWidth="1"/>
    <col min="5" max="16384" width="9.140625" style="299"/>
  </cols>
  <sheetData>
    <row r="1" spans="1:5">
      <c r="A1" s="578" t="str">
        <f>'Attachment O, page 1'!A1:G1</f>
        <v>Rochester Public Utilities</v>
      </c>
      <c r="B1" s="578"/>
      <c r="C1" s="578"/>
      <c r="D1" s="578"/>
    </row>
    <row r="2" spans="1:5" ht="15.75">
      <c r="A2" s="577" t="str">
        <f>'Attachment O, page 1'!A2:G2</f>
        <v>For the Year ended 12/31/2013</v>
      </c>
      <c r="B2" s="577"/>
      <c r="C2" s="577"/>
      <c r="D2" s="577"/>
    </row>
    <row r="3" spans="1:5">
      <c r="A3" s="333"/>
      <c r="B3" s="338"/>
      <c r="C3" s="338"/>
      <c r="D3" s="338" t="s">
        <v>750</v>
      </c>
    </row>
    <row r="5" spans="1:5" ht="18.75">
      <c r="A5" s="329" t="s">
        <v>751</v>
      </c>
      <c r="B5" s="302"/>
      <c r="C5" s="302"/>
    </row>
    <row r="8" spans="1:5">
      <c r="A8" s="365" t="s">
        <v>752</v>
      </c>
      <c r="B8" s="306" t="s">
        <v>91</v>
      </c>
    </row>
    <row r="10" spans="1:5">
      <c r="A10" s="397" t="s">
        <v>801</v>
      </c>
      <c r="B10" s="330">
        <v>600</v>
      </c>
      <c r="E10" s="396"/>
    </row>
    <row r="11" spans="1:5">
      <c r="A11" s="299" t="s">
        <v>787</v>
      </c>
      <c r="B11" s="334">
        <f>3035*12</f>
        <v>36420</v>
      </c>
    </row>
    <row r="12" spans="1:5">
      <c r="A12" s="299" t="s">
        <v>643</v>
      </c>
      <c r="B12" s="303">
        <v>0</v>
      </c>
    </row>
    <row r="13" spans="1:5">
      <c r="A13" s="299" t="s">
        <v>643</v>
      </c>
      <c r="B13" s="335">
        <v>0</v>
      </c>
    </row>
    <row r="14" spans="1:5">
      <c r="A14" s="299" t="s">
        <v>753</v>
      </c>
      <c r="B14" s="433">
        <f>SUM(B10:B13)</f>
        <v>37020</v>
      </c>
    </row>
    <row r="15" spans="1:5" ht="16.5" customHeight="1">
      <c r="D15" s="338"/>
    </row>
    <row r="17" spans="1:5" ht="15" customHeight="1" thickBot="1">
      <c r="A17" s="397" t="s">
        <v>800</v>
      </c>
      <c r="B17" s="398">
        <f>128+154079+7807+60+39039-B10+13484</f>
        <v>213997</v>
      </c>
      <c r="E17" s="396"/>
    </row>
    <row r="18" spans="1:5">
      <c r="A18" s="394" t="s">
        <v>802</v>
      </c>
      <c r="B18" s="332">
        <f>B17+B14</f>
        <v>251017</v>
      </c>
    </row>
  </sheetData>
  <mergeCells count="2">
    <mergeCell ref="A1:D1"/>
    <mergeCell ref="A2:D2"/>
  </mergeCells>
  <pageMargins left="0.7" right="0.7" top="0.75" bottom="0.75" header="0.3" footer="0.3"/>
  <pageSetup scale="72" orientation="landscape" r:id="rId1"/>
  <headerFooter>
    <oddHeader>&amp;RAccount 454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zoomScaleNormal="100" zoomScaleSheetLayoutView="100" workbookViewId="0">
      <selection sqref="A1:H1"/>
    </sheetView>
  </sheetViews>
  <sheetFormatPr defaultColWidth="9.140625" defaultRowHeight="15"/>
  <cols>
    <col min="1" max="1" width="1.5703125" style="299" customWidth="1"/>
    <col min="2" max="2" width="77.85546875" style="299" bestFit="1" customWidth="1"/>
    <col min="3" max="3" width="19.5703125" style="299" customWidth="1"/>
    <col min="4" max="4" width="9.140625" style="299"/>
    <col min="5" max="5" width="27.28515625" style="299" bestFit="1" customWidth="1"/>
    <col min="6" max="16384" width="9.140625" style="299"/>
  </cols>
  <sheetData>
    <row r="1" spans="1:8" ht="20.25" customHeight="1">
      <c r="A1" s="578" t="str">
        <f>'Attachment O, page 1'!A1:G1</f>
        <v>Rochester Public Utilities</v>
      </c>
      <c r="B1" s="578"/>
      <c r="C1" s="578"/>
      <c r="D1" s="578"/>
      <c r="E1" s="578"/>
      <c r="F1" s="578"/>
      <c r="G1" s="578"/>
      <c r="H1" s="578"/>
    </row>
    <row r="2" spans="1:8" ht="15.75">
      <c r="A2" s="577" t="str">
        <f>'Attachment O, page 1'!A2:G2</f>
        <v>For the Year ended 12/31/2013</v>
      </c>
      <c r="B2" s="577"/>
      <c r="C2" s="577"/>
      <c r="D2" s="577"/>
      <c r="E2" s="577"/>
      <c r="F2" s="577"/>
      <c r="G2" s="577"/>
    </row>
    <row r="3" spans="1:8">
      <c r="A3" s="333"/>
      <c r="B3" s="366"/>
      <c r="C3" s="338" t="s">
        <v>754</v>
      </c>
      <c r="D3" s="338"/>
      <c r="E3" s="338"/>
    </row>
    <row r="4" spans="1:8">
      <c r="A4" s="338"/>
      <c r="B4" s="338"/>
      <c r="C4" s="338"/>
      <c r="D4" s="338"/>
      <c r="E4" s="338"/>
      <c r="F4" s="338"/>
      <c r="G4" s="338"/>
    </row>
    <row r="5" spans="1:8" ht="15.75">
      <c r="A5" s="338"/>
      <c r="B5" s="367" t="s">
        <v>755</v>
      </c>
      <c r="C5" s="368" t="s">
        <v>755</v>
      </c>
      <c r="D5" s="338"/>
      <c r="E5" s="338"/>
      <c r="F5" s="338"/>
      <c r="G5" s="338"/>
    </row>
    <row r="6" spans="1:8" ht="15.75">
      <c r="A6" s="338"/>
      <c r="B6" s="338"/>
      <c r="D6" s="369" t="s">
        <v>756</v>
      </c>
      <c r="E6" s="338"/>
      <c r="F6" s="338"/>
      <c r="G6" s="338"/>
    </row>
    <row r="7" spans="1:8">
      <c r="A7" s="338"/>
      <c r="B7" s="338"/>
      <c r="C7" s="338"/>
      <c r="D7" s="338"/>
      <c r="E7" s="338"/>
      <c r="F7" s="338"/>
      <c r="G7" s="338"/>
    </row>
    <row r="8" spans="1:8">
      <c r="A8" s="338"/>
      <c r="B8" s="338" t="s">
        <v>757</v>
      </c>
      <c r="C8" s="459">
        <v>0</v>
      </c>
      <c r="D8" s="338"/>
      <c r="E8" s="384"/>
      <c r="F8" s="389"/>
      <c r="G8" s="338"/>
    </row>
    <row r="9" spans="1:8">
      <c r="A9" s="338"/>
      <c r="B9" s="338" t="s">
        <v>758</v>
      </c>
      <c r="C9" s="459">
        <v>0</v>
      </c>
      <c r="D9" s="338"/>
      <c r="E9" s="338"/>
      <c r="F9" s="338"/>
      <c r="G9" s="338"/>
    </row>
    <row r="10" spans="1:8">
      <c r="A10" s="338"/>
      <c r="B10" s="338" t="s">
        <v>759</v>
      </c>
      <c r="C10" s="459">
        <v>0</v>
      </c>
      <c r="D10" s="338"/>
      <c r="E10" s="338"/>
      <c r="F10" s="338"/>
      <c r="G10" s="338"/>
    </row>
    <row r="11" spans="1:8">
      <c r="A11" s="338"/>
      <c r="B11" s="338" t="s">
        <v>760</v>
      </c>
      <c r="C11" s="459">
        <v>0</v>
      </c>
      <c r="D11" s="338"/>
      <c r="E11" s="338"/>
      <c r="F11" s="338"/>
      <c r="G11" s="338"/>
    </row>
    <row r="12" spans="1:8">
      <c r="A12" s="338"/>
      <c r="B12" s="338" t="s">
        <v>761</v>
      </c>
      <c r="C12" s="459">
        <v>0</v>
      </c>
      <c r="D12" s="338"/>
      <c r="E12" s="338"/>
      <c r="F12" s="338"/>
      <c r="G12" s="338"/>
    </row>
    <row r="13" spans="1:8">
      <c r="A13" s="338"/>
      <c r="B13" s="338" t="s">
        <v>762</v>
      </c>
      <c r="C13" s="459">
        <v>0</v>
      </c>
      <c r="D13" s="338"/>
      <c r="E13" s="338"/>
      <c r="F13" s="338"/>
      <c r="G13" s="338"/>
    </row>
    <row r="14" spans="1:8">
      <c r="A14" s="338"/>
      <c r="B14" s="338" t="s">
        <v>763</v>
      </c>
      <c r="C14" s="459">
        <v>0</v>
      </c>
      <c r="D14" s="338"/>
      <c r="E14" s="370"/>
      <c r="F14" s="338"/>
      <c r="G14" s="338"/>
    </row>
    <row r="15" spans="1:8">
      <c r="A15" s="338"/>
      <c r="B15" s="338" t="s">
        <v>764</v>
      </c>
      <c r="C15" s="459">
        <v>0</v>
      </c>
      <c r="D15" s="338"/>
      <c r="E15" s="370"/>
      <c r="F15" s="386"/>
      <c r="G15" s="338"/>
    </row>
    <row r="16" spans="1:8">
      <c r="A16" s="338"/>
      <c r="B16" s="338" t="s">
        <v>764</v>
      </c>
      <c r="C16" s="459">
        <v>0</v>
      </c>
      <c r="D16" s="338"/>
      <c r="E16" s="370"/>
      <c r="F16" s="338"/>
      <c r="G16" s="338"/>
    </row>
    <row r="17" spans="1:7">
      <c r="A17" s="338"/>
      <c r="B17" s="338" t="s">
        <v>765</v>
      </c>
      <c r="C17" s="371">
        <f>SUM(C8:C16)</f>
        <v>0</v>
      </c>
      <c r="D17" s="338"/>
      <c r="E17" s="370"/>
      <c r="F17" s="338"/>
      <c r="G17" s="338"/>
    </row>
    <row r="18" spans="1:7">
      <c r="A18" s="338"/>
      <c r="B18" s="338"/>
      <c r="C18" s="372"/>
      <c r="D18" s="338"/>
      <c r="E18" s="370"/>
      <c r="F18" s="338"/>
      <c r="G18" s="338"/>
    </row>
    <row r="19" spans="1:7">
      <c r="A19" s="338"/>
      <c r="B19" s="338"/>
      <c r="C19" s="373"/>
      <c r="D19" s="338"/>
      <c r="E19" s="370"/>
      <c r="F19" s="338"/>
      <c r="G19" s="338"/>
    </row>
    <row r="20" spans="1:7" ht="15.75">
      <c r="A20" s="374"/>
      <c r="B20" s="375" t="s">
        <v>423</v>
      </c>
      <c r="C20" s="373">
        <f>C17</f>
        <v>0</v>
      </c>
      <c r="D20" s="338"/>
      <c r="E20" s="370" t="s">
        <v>766</v>
      </c>
      <c r="F20" s="338"/>
      <c r="G20" s="338"/>
    </row>
    <row r="21" spans="1:7" ht="12.75" customHeight="1">
      <c r="A21" s="374"/>
      <c r="B21" s="376" t="s">
        <v>767</v>
      </c>
      <c r="C21" s="373">
        <f>C10+C11+C9+C12</f>
        <v>0</v>
      </c>
      <c r="D21" s="338"/>
      <c r="E21" s="370" t="s">
        <v>768</v>
      </c>
      <c r="F21" s="338"/>
      <c r="G21" s="338"/>
    </row>
    <row r="22" spans="1:7" ht="15.75">
      <c r="A22" s="377"/>
      <c r="B22" s="378" t="s">
        <v>426</v>
      </c>
      <c r="C22" s="373">
        <f>C13</f>
        <v>0</v>
      </c>
      <c r="D22" s="338"/>
      <c r="E22" s="370" t="s">
        <v>769</v>
      </c>
      <c r="F22" s="338"/>
      <c r="G22" s="338"/>
    </row>
    <row r="23" spans="1:7" ht="15.75">
      <c r="A23" s="377"/>
      <c r="B23" s="378" t="s">
        <v>428</v>
      </c>
      <c r="C23" s="373">
        <f>C14</f>
        <v>0</v>
      </c>
      <c r="D23" s="338"/>
      <c r="E23" s="370" t="s">
        <v>770</v>
      </c>
      <c r="F23" s="338"/>
      <c r="G23" s="338"/>
    </row>
    <row r="24" spans="1:7" ht="15.75">
      <c r="A24" s="374"/>
      <c r="B24" s="378" t="s">
        <v>771</v>
      </c>
      <c r="C24" s="379">
        <f>C20-C21-C22-C23</f>
        <v>0</v>
      </c>
      <c r="D24" s="338"/>
      <c r="E24" s="370" t="s">
        <v>772</v>
      </c>
      <c r="F24" s="338"/>
      <c r="G24" s="338"/>
    </row>
    <row r="27" spans="1:7">
      <c r="B27" s="302"/>
    </row>
  </sheetData>
  <mergeCells count="2">
    <mergeCell ref="A1:H1"/>
    <mergeCell ref="A2:G2"/>
  </mergeCells>
  <pageMargins left="0.7" right="0.7" top="0.75" bottom="0.75" header="0.3" footer="0.3"/>
  <pageSetup scale="57" orientation="landscape" r:id="rId1"/>
  <headerFooter>
    <oddHeader>&amp;RAccount 456.1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topLeftCell="A28" zoomScale="80" workbookViewId="0">
      <selection activeCell="F58" sqref="F58"/>
    </sheetView>
  </sheetViews>
  <sheetFormatPr defaultRowHeight="12.75"/>
  <cols>
    <col min="1" max="1" width="6.7109375" customWidth="1"/>
    <col min="2" max="2" width="39.7109375" customWidth="1"/>
    <col min="3" max="3" width="16.7109375" customWidth="1"/>
    <col min="4" max="4" width="6.7109375" customWidth="1"/>
    <col min="5" max="5" width="39.7109375" customWidth="1"/>
    <col min="6" max="6" width="16.7109375" customWidth="1"/>
  </cols>
  <sheetData>
    <row r="1" spans="1:6" ht="15.75">
      <c r="A1" s="567" t="s">
        <v>180</v>
      </c>
      <c r="B1" s="567"/>
      <c r="C1" s="567"/>
      <c r="D1" s="567"/>
      <c r="E1" s="567"/>
      <c r="F1" s="567"/>
    </row>
    <row r="2" spans="1:6" ht="15">
      <c r="A2" s="568" t="s">
        <v>0</v>
      </c>
      <c r="B2" s="568"/>
      <c r="C2" s="568"/>
      <c r="D2" s="568"/>
      <c r="E2" s="568"/>
      <c r="F2" s="568"/>
    </row>
    <row r="3" spans="1:6" ht="15">
      <c r="A3" s="568" t="s">
        <v>171</v>
      </c>
      <c r="B3" s="568"/>
      <c r="C3" s="568"/>
      <c r="D3" s="568"/>
      <c r="E3" s="568"/>
      <c r="F3" s="568"/>
    </row>
    <row r="4" spans="1:6" ht="15.75">
      <c r="A4" s="569">
        <v>41639</v>
      </c>
      <c r="B4" s="569"/>
      <c r="C4" s="569"/>
      <c r="D4" s="569"/>
      <c r="E4" s="569"/>
      <c r="F4" s="569"/>
    </row>
    <row r="6" spans="1:6" ht="15">
      <c r="A6" s="570" t="s">
        <v>88</v>
      </c>
      <c r="B6" s="570"/>
      <c r="C6" s="570"/>
      <c r="D6" s="570"/>
      <c r="E6" s="570"/>
      <c r="F6" s="570"/>
    </row>
    <row r="7" spans="1:6">
      <c r="A7" s="26" t="s">
        <v>1</v>
      </c>
      <c r="B7" s="24"/>
      <c r="C7" s="22" t="s">
        <v>4</v>
      </c>
      <c r="D7" s="22" t="s">
        <v>1</v>
      </c>
      <c r="E7" s="24"/>
      <c r="F7" s="22" t="s">
        <v>4</v>
      </c>
    </row>
    <row r="8" spans="1:6">
      <c r="A8" s="28" t="s">
        <v>2</v>
      </c>
      <c r="B8" s="23" t="s">
        <v>3</v>
      </c>
      <c r="C8" s="23" t="s">
        <v>7</v>
      </c>
      <c r="D8" s="23" t="s">
        <v>5</v>
      </c>
      <c r="E8" s="23" t="s">
        <v>6</v>
      </c>
      <c r="F8" s="23" t="s">
        <v>7</v>
      </c>
    </row>
    <row r="9" spans="1:6">
      <c r="A9" s="27"/>
      <c r="B9" s="9" t="s">
        <v>21</v>
      </c>
      <c r="C9" s="14"/>
      <c r="D9" s="26"/>
      <c r="E9" s="9" t="s">
        <v>50</v>
      </c>
      <c r="F9" s="14"/>
    </row>
    <row r="10" spans="1:6">
      <c r="A10" s="27">
        <v>1</v>
      </c>
      <c r="B10" s="4" t="s">
        <v>8</v>
      </c>
      <c r="C10" s="15"/>
      <c r="D10" s="27"/>
      <c r="E10" s="4"/>
      <c r="F10" s="15"/>
    </row>
    <row r="11" spans="1:6">
      <c r="A11" s="28"/>
      <c r="B11" s="66" t="s">
        <v>9</v>
      </c>
      <c r="C11" s="120">
        <f>302224010</f>
        <v>302224010</v>
      </c>
      <c r="D11" s="28">
        <v>29</v>
      </c>
      <c r="E11" s="5" t="s">
        <v>51</v>
      </c>
      <c r="F11" s="120">
        <v>67694762</v>
      </c>
    </row>
    <row r="12" spans="1:6">
      <c r="A12" s="29">
        <v>2</v>
      </c>
      <c r="B12" s="6" t="s">
        <v>10</v>
      </c>
      <c r="C12" s="121">
        <v>24478297</v>
      </c>
      <c r="D12" s="29">
        <v>30</v>
      </c>
      <c r="E12" s="7" t="s">
        <v>52</v>
      </c>
      <c r="F12" s="127">
        <v>0</v>
      </c>
    </row>
    <row r="13" spans="1:6">
      <c r="A13" s="27">
        <v>3</v>
      </c>
      <c r="B13" s="4" t="s">
        <v>11</v>
      </c>
      <c r="C13" s="122"/>
      <c r="D13" s="27"/>
      <c r="E13" s="4"/>
      <c r="F13" s="122"/>
    </row>
    <row r="14" spans="1:6">
      <c r="A14" s="27"/>
      <c r="B14" s="65" t="s">
        <v>12</v>
      </c>
      <c r="C14" s="122"/>
      <c r="D14" s="27">
        <v>31</v>
      </c>
      <c r="E14" s="4" t="s">
        <v>53</v>
      </c>
      <c r="F14" s="122"/>
    </row>
    <row r="15" spans="1:6" ht="13.5" thickBot="1">
      <c r="A15" s="28"/>
      <c r="B15" s="66" t="s">
        <v>13</v>
      </c>
      <c r="C15" s="123">
        <f>173836615</f>
        <v>173836615</v>
      </c>
      <c r="D15" s="28"/>
      <c r="E15" s="66" t="s">
        <v>54</v>
      </c>
      <c r="F15" s="123">
        <v>53969506</v>
      </c>
    </row>
    <row r="16" spans="1:6" ht="13.5" thickBot="1">
      <c r="A16" s="29">
        <v>4</v>
      </c>
      <c r="B16" s="57" t="s">
        <v>14</v>
      </c>
      <c r="C16" s="55">
        <f>+C11+C12-C15</f>
        <v>152865692</v>
      </c>
      <c r="D16" s="54">
        <v>32</v>
      </c>
      <c r="E16" s="53" t="s">
        <v>55</v>
      </c>
      <c r="F16" s="55">
        <f>+F15+F11+F12</f>
        <v>121664268</v>
      </c>
    </row>
    <row r="17" spans="1:6">
      <c r="A17" s="58">
        <v>5</v>
      </c>
      <c r="B17" s="19" t="s">
        <v>15</v>
      </c>
      <c r="C17" s="72">
        <v>0</v>
      </c>
      <c r="D17" s="27"/>
      <c r="E17" s="20" t="s">
        <v>56</v>
      </c>
      <c r="F17" s="15"/>
    </row>
    <row r="18" spans="1:6">
      <c r="A18" s="31">
        <v>6</v>
      </c>
      <c r="B18" s="56" t="s">
        <v>11</v>
      </c>
      <c r="C18" s="15"/>
      <c r="D18" s="22"/>
      <c r="E18" s="4"/>
      <c r="F18" s="15"/>
    </row>
    <row r="19" spans="1:6">
      <c r="A19" s="27"/>
      <c r="B19" s="65" t="s">
        <v>16</v>
      </c>
      <c r="C19" s="15"/>
      <c r="D19" s="27"/>
      <c r="E19" s="4"/>
      <c r="F19" s="15"/>
    </row>
    <row r="20" spans="1:6">
      <c r="A20" s="27"/>
      <c r="B20" s="65" t="s">
        <v>17</v>
      </c>
      <c r="C20" s="71">
        <v>0</v>
      </c>
      <c r="D20" s="28">
        <v>33</v>
      </c>
      <c r="E20" s="5" t="s">
        <v>57</v>
      </c>
      <c r="F20" s="128">
        <v>113490000</v>
      </c>
    </row>
    <row r="21" spans="1:6" ht="13.5" thickBot="1">
      <c r="A21" s="61">
        <v>7</v>
      </c>
      <c r="B21" s="64" t="s">
        <v>18</v>
      </c>
      <c r="C21" s="62"/>
      <c r="D21" s="22">
        <v>34</v>
      </c>
      <c r="E21" s="19" t="s">
        <v>58</v>
      </c>
      <c r="F21" s="122"/>
    </row>
    <row r="22" spans="1:6" ht="13.5" thickBot="1">
      <c r="A22" s="28"/>
      <c r="B22" s="63" t="s">
        <v>19</v>
      </c>
      <c r="C22" s="55">
        <f>+C16+C17-C20</f>
        <v>152865692</v>
      </c>
      <c r="D22" s="23"/>
      <c r="E22" s="66" t="s">
        <v>59</v>
      </c>
      <c r="F22" s="128">
        <v>2235000</v>
      </c>
    </row>
    <row r="23" spans="1:6">
      <c r="A23" s="27"/>
      <c r="B23" s="8" t="s">
        <v>20</v>
      </c>
      <c r="C23" s="15"/>
      <c r="D23" s="27">
        <v>35</v>
      </c>
      <c r="E23" s="19" t="s">
        <v>60</v>
      </c>
      <c r="F23" s="122"/>
    </row>
    <row r="24" spans="1:6">
      <c r="A24" s="28">
        <v>8</v>
      </c>
      <c r="B24" s="137" t="s">
        <v>184</v>
      </c>
      <c r="C24" s="404">
        <v>5866332</v>
      </c>
      <c r="D24" s="28"/>
      <c r="E24" s="67" t="s">
        <v>61</v>
      </c>
      <c r="F24" s="128">
        <v>7487152</v>
      </c>
    </row>
    <row r="25" spans="1:6">
      <c r="A25" s="27">
        <v>9</v>
      </c>
      <c r="B25" s="4" t="s">
        <v>11</v>
      </c>
      <c r="C25" s="125"/>
      <c r="D25" s="27">
        <v>36</v>
      </c>
      <c r="E25" s="19" t="s">
        <v>62</v>
      </c>
      <c r="F25" s="125"/>
    </row>
    <row r="26" spans="1:6">
      <c r="A26" s="28"/>
      <c r="B26" s="136" t="s">
        <v>185</v>
      </c>
      <c r="C26" s="404">
        <v>2331645</v>
      </c>
      <c r="D26" s="28"/>
      <c r="E26" s="66" t="s">
        <v>63</v>
      </c>
      <c r="F26" s="128">
        <v>127612</v>
      </c>
    </row>
    <row r="27" spans="1:6" ht="13.5" thickBot="1">
      <c r="A27" s="27">
        <v>10</v>
      </c>
      <c r="B27" s="4" t="s">
        <v>22</v>
      </c>
      <c r="C27" s="74"/>
      <c r="D27" s="27"/>
      <c r="E27" s="19"/>
      <c r="F27" s="74"/>
    </row>
    <row r="28" spans="1:6" ht="13.5" thickBot="1">
      <c r="A28" s="28"/>
      <c r="B28" s="66" t="s">
        <v>23</v>
      </c>
      <c r="C28" s="73">
        <v>0</v>
      </c>
      <c r="D28" s="28">
        <v>37</v>
      </c>
      <c r="E28" s="69" t="s">
        <v>64</v>
      </c>
      <c r="F28" s="76">
        <f>+F20+F22+F24-F26</f>
        <v>123084540</v>
      </c>
    </row>
    <row r="29" spans="1:6" ht="13.5" thickBot="1">
      <c r="A29" s="29">
        <v>11</v>
      </c>
      <c r="B29" s="6" t="s">
        <v>24</v>
      </c>
      <c r="C29" s="124">
        <v>33405354</v>
      </c>
      <c r="D29" s="28"/>
      <c r="E29" s="5"/>
      <c r="F29" s="81"/>
    </row>
    <row r="30" spans="1:6" ht="13.5" thickBot="1">
      <c r="A30" s="29">
        <v>12</v>
      </c>
      <c r="B30" s="59" t="s">
        <v>25</v>
      </c>
      <c r="C30" s="76">
        <f>+C24-C26+C28+C29</f>
        <v>36940041</v>
      </c>
      <c r="D30" s="23"/>
      <c r="E30" s="21" t="s">
        <v>65</v>
      </c>
      <c r="F30" s="81"/>
    </row>
    <row r="31" spans="1:6">
      <c r="A31" s="27"/>
      <c r="B31" s="8" t="s">
        <v>26</v>
      </c>
      <c r="C31" s="74"/>
      <c r="D31" s="29">
        <v>38</v>
      </c>
      <c r="E31" s="7" t="s">
        <v>66</v>
      </c>
      <c r="F31" s="123">
        <v>1708190</v>
      </c>
    </row>
    <row r="32" spans="1:6" ht="13.5" thickBot="1">
      <c r="A32" s="27">
        <v>13</v>
      </c>
      <c r="B32" s="4" t="s">
        <v>27</v>
      </c>
      <c r="C32" s="74"/>
      <c r="D32" s="29">
        <v>39</v>
      </c>
      <c r="E32" s="7" t="s">
        <v>67</v>
      </c>
      <c r="F32" s="75">
        <v>0</v>
      </c>
    </row>
    <row r="33" spans="1:6" ht="13.5" thickBot="1">
      <c r="A33" s="28"/>
      <c r="B33" s="66" t="s">
        <v>28</v>
      </c>
      <c r="C33" s="124">
        <v>42696350</v>
      </c>
      <c r="D33" s="28">
        <v>40</v>
      </c>
      <c r="E33" s="60" t="s">
        <v>68</v>
      </c>
      <c r="F33" s="76">
        <f>SUM(F31:F32)</f>
        <v>1708190</v>
      </c>
    </row>
    <row r="34" spans="1:6">
      <c r="A34" s="27">
        <v>14</v>
      </c>
      <c r="B34" s="4" t="s">
        <v>29</v>
      </c>
      <c r="C34" s="74"/>
      <c r="D34" s="27"/>
      <c r="E34" s="4"/>
      <c r="F34" s="74"/>
    </row>
    <row r="35" spans="1:6">
      <c r="A35" s="28"/>
      <c r="B35" s="66" t="s">
        <v>30</v>
      </c>
      <c r="C35" s="124">
        <v>0</v>
      </c>
      <c r="D35" s="28"/>
      <c r="E35" s="21" t="s">
        <v>69</v>
      </c>
      <c r="F35" s="81"/>
    </row>
    <row r="36" spans="1:6">
      <c r="A36" s="29">
        <v>15</v>
      </c>
      <c r="B36" s="6" t="s">
        <v>31</v>
      </c>
      <c r="C36" s="124">
        <v>6985750</v>
      </c>
      <c r="D36" s="28">
        <v>41</v>
      </c>
      <c r="E36" s="5" t="s">
        <v>70</v>
      </c>
      <c r="F36" s="73">
        <v>0</v>
      </c>
    </row>
    <row r="37" spans="1:6">
      <c r="A37" s="27">
        <v>16</v>
      </c>
      <c r="B37" s="4" t="s">
        <v>11</v>
      </c>
      <c r="C37" s="125"/>
      <c r="D37" s="27"/>
      <c r="E37" s="4"/>
      <c r="F37" s="74"/>
    </row>
    <row r="38" spans="1:6">
      <c r="A38" s="28"/>
      <c r="B38" s="66" t="s">
        <v>32</v>
      </c>
      <c r="C38" s="124">
        <v>200000</v>
      </c>
      <c r="D38" s="28">
        <v>42</v>
      </c>
      <c r="E38" s="5" t="s">
        <v>71</v>
      </c>
      <c r="F38" s="128">
        <v>10224147</v>
      </c>
    </row>
    <row r="39" spans="1:6">
      <c r="A39" s="27">
        <v>17</v>
      </c>
      <c r="B39" s="4" t="s">
        <v>33</v>
      </c>
      <c r="C39" s="125" t="s">
        <v>168</v>
      </c>
      <c r="D39" s="27">
        <v>43</v>
      </c>
      <c r="E39" s="19" t="s">
        <v>73</v>
      </c>
      <c r="F39" s="125"/>
    </row>
    <row r="40" spans="1:6">
      <c r="A40" s="28"/>
      <c r="B40" s="66" t="s">
        <v>34</v>
      </c>
      <c r="C40" s="124">
        <v>112563</v>
      </c>
      <c r="D40" s="28"/>
      <c r="E40" s="66" t="s">
        <v>72</v>
      </c>
      <c r="F40" s="128">
        <v>2352573</v>
      </c>
    </row>
    <row r="41" spans="1:6">
      <c r="A41" s="29">
        <v>18</v>
      </c>
      <c r="B41" s="6" t="s">
        <v>35</v>
      </c>
      <c r="C41" s="124">
        <v>5649187</v>
      </c>
      <c r="D41" s="28">
        <v>44</v>
      </c>
      <c r="E41" s="5" t="s">
        <v>74</v>
      </c>
      <c r="F41" s="128">
        <v>525810</v>
      </c>
    </row>
    <row r="42" spans="1:6">
      <c r="A42" s="29">
        <v>19</v>
      </c>
      <c r="B42" s="6" t="s">
        <v>36</v>
      </c>
      <c r="C42" s="126">
        <v>0</v>
      </c>
      <c r="D42" s="28">
        <v>45</v>
      </c>
      <c r="E42" s="5" t="s">
        <v>75</v>
      </c>
      <c r="F42" s="128">
        <v>0</v>
      </c>
    </row>
    <row r="43" spans="1:6">
      <c r="A43" s="29">
        <v>20</v>
      </c>
      <c r="B43" s="6" t="s">
        <v>37</v>
      </c>
      <c r="C43" s="124">
        <f>'Pre Payments'!B13</f>
        <v>76640</v>
      </c>
      <c r="D43" s="28">
        <v>46</v>
      </c>
      <c r="E43" s="5" t="s">
        <v>76</v>
      </c>
      <c r="F43" s="128">
        <v>0</v>
      </c>
    </row>
    <row r="44" spans="1:6" ht="13.5" thickBot="1">
      <c r="A44" s="30">
        <v>21</v>
      </c>
      <c r="B44" s="6" t="s">
        <v>38</v>
      </c>
      <c r="C44" s="124">
        <v>4844354</v>
      </c>
      <c r="D44" s="28">
        <v>47</v>
      </c>
      <c r="E44" s="5" t="s">
        <v>77</v>
      </c>
      <c r="F44" s="123">
        <f>429794+477937+2199669+258122</f>
        <v>3365522</v>
      </c>
    </row>
    <row r="45" spans="1:6" ht="13.5" thickBot="1">
      <c r="A45" s="30">
        <v>22</v>
      </c>
      <c r="B45" s="6" t="s">
        <v>39</v>
      </c>
      <c r="C45" s="124">
        <v>0</v>
      </c>
      <c r="D45" s="28">
        <v>48</v>
      </c>
      <c r="E45" s="60" t="s">
        <v>78</v>
      </c>
      <c r="F45" s="76">
        <f>+F44+F43+F42+F41+F40+F38+F36</f>
        <v>16468052</v>
      </c>
    </row>
    <row r="46" spans="1:6" ht="13.5" thickBot="1">
      <c r="A46" s="30">
        <v>23</v>
      </c>
      <c r="B46" s="59" t="s">
        <v>40</v>
      </c>
      <c r="C46" s="76">
        <f>+C33+C35+C36-C38+C40+C42+C43+C44+C45+C41</f>
        <v>60164844</v>
      </c>
      <c r="D46" s="23"/>
      <c r="E46" s="21" t="s">
        <v>82</v>
      </c>
      <c r="F46" s="81"/>
    </row>
    <row r="47" spans="1:6">
      <c r="A47" s="4"/>
      <c r="B47" s="8" t="s">
        <v>48</v>
      </c>
      <c r="C47" s="74"/>
      <c r="D47" s="31">
        <v>49</v>
      </c>
      <c r="E47" s="19" t="s">
        <v>83</v>
      </c>
      <c r="F47" s="74"/>
    </row>
    <row r="48" spans="1:6">
      <c r="A48" s="45">
        <v>24</v>
      </c>
      <c r="B48" s="5" t="s">
        <v>41</v>
      </c>
      <c r="C48" s="73">
        <v>0</v>
      </c>
      <c r="D48" s="28"/>
      <c r="E48" s="68" t="s">
        <v>84</v>
      </c>
      <c r="F48" s="73">
        <v>0</v>
      </c>
    </row>
    <row r="49" spans="1:6">
      <c r="A49" s="31">
        <v>25</v>
      </c>
      <c r="B49" s="4" t="s">
        <v>42</v>
      </c>
      <c r="C49" s="74"/>
      <c r="D49" s="31">
        <v>50</v>
      </c>
      <c r="E49" s="4" t="s">
        <v>85</v>
      </c>
      <c r="F49" s="74"/>
    </row>
    <row r="50" spans="1:6">
      <c r="A50" s="5"/>
      <c r="B50" s="66" t="s">
        <v>43</v>
      </c>
      <c r="C50" s="124">
        <v>12274586</v>
      </c>
      <c r="D50" s="28"/>
      <c r="E50" s="66" t="s">
        <v>86</v>
      </c>
      <c r="F50" s="128">
        <v>592535</v>
      </c>
    </row>
    <row r="51" spans="1:6">
      <c r="A51" s="31">
        <v>26</v>
      </c>
      <c r="B51" s="4" t="s">
        <v>44</v>
      </c>
      <c r="C51" s="74"/>
      <c r="D51" s="27"/>
      <c r="E51" s="4"/>
      <c r="F51" s="74"/>
    </row>
    <row r="52" spans="1:6">
      <c r="A52" s="27"/>
      <c r="B52" s="65" t="s">
        <v>45</v>
      </c>
      <c r="C52" s="74"/>
      <c r="D52" s="27">
        <v>51</v>
      </c>
      <c r="E52" s="4" t="s">
        <v>81</v>
      </c>
      <c r="F52" s="74"/>
    </row>
    <row r="53" spans="1:6" ht="13.5" thickBot="1">
      <c r="A53" s="28"/>
      <c r="B53" s="66" t="s">
        <v>46</v>
      </c>
      <c r="C53" s="78">
        <v>1272422</v>
      </c>
      <c r="D53" s="28"/>
      <c r="E53" s="68" t="s">
        <v>87</v>
      </c>
      <c r="F53" s="78">
        <v>0</v>
      </c>
    </row>
    <row r="54" spans="1:6" ht="13.5" thickBot="1">
      <c r="A54" s="29">
        <v>27</v>
      </c>
      <c r="B54" s="59" t="s">
        <v>47</v>
      </c>
      <c r="C54" s="76">
        <f>C48+C50+C53</f>
        <v>13547008</v>
      </c>
      <c r="D54" s="23">
        <v>52</v>
      </c>
      <c r="E54" s="60" t="s">
        <v>80</v>
      </c>
      <c r="F54" s="76">
        <f>+F53+F50+F48</f>
        <v>592535</v>
      </c>
    </row>
    <row r="55" spans="1:6" ht="13.5" thickBot="1">
      <c r="A55" s="27"/>
      <c r="B55" s="12"/>
      <c r="C55" s="79"/>
      <c r="D55" s="27"/>
      <c r="E55" s="4"/>
      <c r="F55" s="74"/>
    </row>
    <row r="56" spans="1:6" ht="13.5" thickBot="1">
      <c r="A56" s="32">
        <v>28</v>
      </c>
      <c r="B56" s="70" t="s">
        <v>49</v>
      </c>
      <c r="C56" s="83">
        <f>+C54+C46+C21+C22+C30</f>
        <v>263517585</v>
      </c>
      <c r="D56" s="82">
        <v>53</v>
      </c>
      <c r="E56" s="70" t="s">
        <v>79</v>
      </c>
      <c r="F56" s="83">
        <f>+F54+F45+F28+F16+F33</f>
        <v>263517585</v>
      </c>
    </row>
    <row r="57" spans="1:6">
      <c r="A57" s="2"/>
      <c r="B57" s="2"/>
      <c r="C57" s="16"/>
      <c r="D57" s="2"/>
      <c r="E57" s="2"/>
    </row>
    <row r="58" spans="1:6">
      <c r="A58" s="2"/>
      <c r="B58" s="2"/>
      <c r="C58" s="18"/>
      <c r="D58" s="2"/>
      <c r="E58" s="2"/>
      <c r="F58" s="17"/>
    </row>
    <row r="59" spans="1:6">
      <c r="B59" s="403" t="s">
        <v>808</v>
      </c>
      <c r="C59" s="18"/>
      <c r="D59" s="2"/>
      <c r="E59" s="2"/>
      <c r="F59" s="2"/>
    </row>
    <row r="60" spans="1:6">
      <c r="B60" s="403" t="s">
        <v>809</v>
      </c>
      <c r="C60" s="18"/>
      <c r="D60" s="2"/>
      <c r="E60" s="2"/>
      <c r="F60" s="2"/>
    </row>
    <row r="61" spans="1:6">
      <c r="A61" s="2"/>
      <c r="B61" s="2"/>
      <c r="C61" s="2"/>
      <c r="D61" s="2"/>
      <c r="E61" s="2"/>
      <c r="F61" s="2"/>
    </row>
    <row r="62" spans="1:6">
      <c r="A62" s="2"/>
      <c r="B62" s="2"/>
      <c r="C62" s="2"/>
      <c r="D62" s="2"/>
      <c r="E62" s="2"/>
      <c r="F62" s="2"/>
    </row>
    <row r="63" spans="1:6">
      <c r="A63" s="2"/>
      <c r="B63" s="2"/>
      <c r="C63" s="2"/>
      <c r="D63" s="2"/>
      <c r="E63" s="2"/>
      <c r="F63" s="2"/>
    </row>
    <row r="64" spans="1:6">
      <c r="A64" s="2"/>
      <c r="B64" s="2"/>
      <c r="C64" s="2"/>
      <c r="D64" s="2"/>
      <c r="E64" s="2"/>
      <c r="F64" s="2"/>
    </row>
    <row r="65" spans="1:6">
      <c r="A65" s="2"/>
      <c r="B65" s="2"/>
      <c r="C65" s="2"/>
      <c r="D65" s="2"/>
      <c r="E65" s="2"/>
      <c r="F65" s="2"/>
    </row>
    <row r="66" spans="1:6">
      <c r="A66" s="2"/>
      <c r="B66" s="2"/>
      <c r="C66" s="2"/>
      <c r="D66" s="2"/>
      <c r="E66" s="2"/>
      <c r="F66" s="2"/>
    </row>
    <row r="67" spans="1:6">
      <c r="A67" s="2"/>
      <c r="B67" s="2"/>
      <c r="C67" s="2"/>
      <c r="D67" s="2"/>
      <c r="E67" s="2"/>
      <c r="F67" s="2"/>
    </row>
    <row r="68" spans="1:6">
      <c r="A68" s="2"/>
      <c r="B68" s="2"/>
      <c r="C68" s="2"/>
    </row>
  </sheetData>
  <mergeCells count="5">
    <mergeCell ref="A1:F1"/>
    <mergeCell ref="A2:F2"/>
    <mergeCell ref="A4:F4"/>
    <mergeCell ref="A6:F6"/>
    <mergeCell ref="A3:F3"/>
  </mergeCells>
  <phoneticPr fontId="0" type="noConversion"/>
  <pageMargins left="0.47" right="0.45" top="1" bottom="0.5" header="0.5" footer="0.5"/>
  <pageSetup scale="78" orientation="portrait"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zoomScale="90" workbookViewId="0">
      <selection activeCell="C19" sqref="C19"/>
    </sheetView>
  </sheetViews>
  <sheetFormatPr defaultRowHeight="12.75"/>
  <cols>
    <col min="1" max="1" width="6.7109375" customWidth="1"/>
    <col min="2" max="2" width="77.140625" customWidth="1"/>
    <col min="3" max="3" width="16.7109375" customWidth="1"/>
    <col min="6" max="6" width="11.28515625" bestFit="1" customWidth="1"/>
  </cols>
  <sheetData>
    <row r="1" spans="1:6" ht="15.75">
      <c r="A1" s="567" t="str">
        <f>+'Balance sheet'!A1:F1</f>
        <v>Rochester Public Utilities</v>
      </c>
      <c r="B1" s="567"/>
      <c r="C1" s="567"/>
      <c r="D1" s="34"/>
      <c r="E1" s="34"/>
      <c r="F1" s="34"/>
    </row>
    <row r="2" spans="1:6" ht="15">
      <c r="A2" s="568" t="s">
        <v>0</v>
      </c>
      <c r="B2" s="568"/>
      <c r="C2" s="568"/>
      <c r="D2" s="34"/>
      <c r="E2" s="34"/>
      <c r="F2" s="34"/>
    </row>
    <row r="3" spans="1:6" ht="15">
      <c r="A3" s="568" t="s">
        <v>172</v>
      </c>
      <c r="B3" s="568"/>
      <c r="C3" s="568"/>
      <c r="D3" s="34"/>
      <c r="E3" s="34"/>
      <c r="F3" s="34"/>
    </row>
    <row r="4" spans="1:6" ht="15.75">
      <c r="A4" s="569">
        <f>+'Balance sheet'!A4:F4</f>
        <v>41639</v>
      </c>
      <c r="B4" s="569"/>
      <c r="C4" s="569"/>
      <c r="D4" s="35"/>
      <c r="E4" s="35"/>
      <c r="F4" s="35"/>
    </row>
    <row r="5" spans="1:6">
      <c r="A5" s="33"/>
      <c r="B5" s="33"/>
      <c r="C5" s="33"/>
      <c r="D5" s="33"/>
      <c r="E5" s="33"/>
      <c r="F5" s="33"/>
    </row>
    <row r="6" spans="1:6" ht="15">
      <c r="A6" s="570" t="s">
        <v>89</v>
      </c>
      <c r="B6" s="570"/>
      <c r="C6" s="570"/>
      <c r="D6" s="36"/>
      <c r="E6" s="36"/>
      <c r="F6" s="36"/>
    </row>
    <row r="7" spans="1:6">
      <c r="A7" s="50" t="s">
        <v>1</v>
      </c>
      <c r="B7" s="38"/>
      <c r="C7" s="40" t="s">
        <v>91</v>
      </c>
    </row>
    <row r="8" spans="1:6">
      <c r="A8" s="5" t="s">
        <v>2</v>
      </c>
      <c r="B8" s="39"/>
      <c r="C8" s="23" t="s">
        <v>7</v>
      </c>
    </row>
    <row r="9" spans="1:6">
      <c r="A9" s="28">
        <v>1</v>
      </c>
      <c r="B9" s="39" t="s">
        <v>90</v>
      </c>
      <c r="C9" s="109">
        <v>136291271</v>
      </c>
    </row>
    <row r="10" spans="1:6">
      <c r="A10" s="28">
        <v>2</v>
      </c>
      <c r="B10" s="39" t="s">
        <v>92</v>
      </c>
      <c r="C10" s="105">
        <f>'Op &amp; Maint'!D42</f>
        <v>108119576.95</v>
      </c>
    </row>
    <row r="11" spans="1:6">
      <c r="A11" s="28">
        <v>3</v>
      </c>
      <c r="B11" s="135" t="s">
        <v>93</v>
      </c>
      <c r="C11" s="105">
        <f>'Op &amp; Maint'!E42</f>
        <v>6291919.4900000002</v>
      </c>
    </row>
    <row r="12" spans="1:6">
      <c r="A12" s="29">
        <v>4</v>
      </c>
      <c r="B12" s="42" t="s">
        <v>94</v>
      </c>
      <c r="C12" s="110">
        <v>10184577</v>
      </c>
    </row>
    <row r="13" spans="1:6">
      <c r="A13" s="28">
        <v>5</v>
      </c>
      <c r="B13" s="39" t="s">
        <v>95</v>
      </c>
      <c r="C13" s="105">
        <v>510786</v>
      </c>
    </row>
    <row r="14" spans="1:6" ht="13.5" thickBot="1">
      <c r="A14" s="27">
        <v>6</v>
      </c>
      <c r="B14" s="24" t="s">
        <v>96</v>
      </c>
      <c r="C14" s="104">
        <v>9205815</v>
      </c>
    </row>
    <row r="15" spans="1:6" ht="13.5" thickBot="1">
      <c r="A15" s="51">
        <v>7</v>
      </c>
      <c r="B15" s="47" t="s">
        <v>97</v>
      </c>
      <c r="C15" s="84">
        <f>SUM(C10:C14)</f>
        <v>134312674.44</v>
      </c>
    </row>
    <row r="16" spans="1:6" ht="13.5" thickBot="1">
      <c r="A16" s="51">
        <v>8</v>
      </c>
      <c r="B16" s="48" t="s">
        <v>98</v>
      </c>
      <c r="C16" s="84">
        <f>+C9-C15</f>
        <v>1978596.5600000024</v>
      </c>
    </row>
    <row r="17" spans="1:3" ht="13.5" thickBot="1">
      <c r="A17" s="27">
        <v>9</v>
      </c>
      <c r="B17" s="24" t="s">
        <v>99</v>
      </c>
      <c r="C17" s="104"/>
    </row>
    <row r="18" spans="1:3" ht="13.5" thickBot="1">
      <c r="A18" s="52">
        <v>10</v>
      </c>
      <c r="B18" s="49" t="s">
        <v>100</v>
      </c>
      <c r="C18" s="84">
        <f>+C17+C16</f>
        <v>1978596.5600000024</v>
      </c>
    </row>
    <row r="19" spans="1:3">
      <c r="A19" s="28">
        <v>11</v>
      </c>
      <c r="B19" s="39" t="s">
        <v>101</v>
      </c>
      <c r="C19" s="105">
        <f>ROUND(164613.85+24429.12+1337398,0)</f>
        <v>1526441</v>
      </c>
    </row>
    <row r="20" spans="1:3">
      <c r="A20" s="28">
        <v>12</v>
      </c>
      <c r="B20" s="135" t="s">
        <v>183</v>
      </c>
      <c r="C20" s="105">
        <f>ROUND(208508.42+24429.12,0)</f>
        <v>232938</v>
      </c>
    </row>
    <row r="21" spans="1:3">
      <c r="A21" s="28">
        <v>13</v>
      </c>
      <c r="B21" s="39" t="s">
        <v>102</v>
      </c>
      <c r="C21" s="105"/>
    </row>
    <row r="22" spans="1:3" ht="13.5" thickBot="1">
      <c r="A22" s="27">
        <v>14</v>
      </c>
      <c r="B22" s="24" t="s">
        <v>103</v>
      </c>
      <c r="C22" s="104"/>
    </row>
    <row r="23" spans="1:3" ht="13.5" thickBot="1">
      <c r="A23" s="51">
        <v>15</v>
      </c>
      <c r="B23" s="47" t="s">
        <v>104</v>
      </c>
      <c r="C23" s="84">
        <f>+C18+C19-C20-C21-C22</f>
        <v>3272099.5600000024</v>
      </c>
    </row>
    <row r="24" spans="1:3">
      <c r="A24" s="28">
        <v>16</v>
      </c>
      <c r="B24" s="39" t="s">
        <v>105</v>
      </c>
      <c r="C24" s="105">
        <v>4562436</v>
      </c>
    </row>
    <row r="25" spans="1:3">
      <c r="A25" s="28">
        <v>17</v>
      </c>
      <c r="B25" s="39" t="s">
        <v>106</v>
      </c>
      <c r="C25" s="105">
        <v>-325691</v>
      </c>
    </row>
    <row r="26" spans="1:3" ht="13.5" thickBot="1">
      <c r="A26" s="27">
        <v>18</v>
      </c>
      <c r="B26" s="24" t="s">
        <v>107</v>
      </c>
      <c r="C26" s="105">
        <v>-815333</v>
      </c>
    </row>
    <row r="27" spans="1:3" ht="13.5" thickBot="1">
      <c r="A27" s="51">
        <v>19</v>
      </c>
      <c r="B27" s="47" t="s">
        <v>108</v>
      </c>
      <c r="C27" s="84">
        <f>SUM(C24:C26)</f>
        <v>3421412</v>
      </c>
    </row>
    <row r="28" spans="1:3" ht="13.5" thickBot="1">
      <c r="A28" s="51">
        <v>20</v>
      </c>
      <c r="B28" s="47" t="s">
        <v>109</v>
      </c>
      <c r="C28" s="84">
        <f>+C23-C27</f>
        <v>-149312.43999999762</v>
      </c>
    </row>
    <row r="29" spans="1:3">
      <c r="A29" s="28">
        <v>21</v>
      </c>
      <c r="B29" s="39" t="s">
        <v>110</v>
      </c>
      <c r="C29" s="105">
        <v>0</v>
      </c>
    </row>
    <row r="30" spans="1:3" ht="13.5" thickBot="1">
      <c r="A30" s="27">
        <v>22</v>
      </c>
      <c r="B30" s="24" t="s">
        <v>111</v>
      </c>
      <c r="C30" s="104">
        <v>0</v>
      </c>
    </row>
    <row r="31" spans="1:3" ht="13.5" thickBot="1">
      <c r="A31" s="51">
        <v>23</v>
      </c>
      <c r="B31" s="48" t="s">
        <v>112</v>
      </c>
      <c r="C31" s="87">
        <f>SUM(C28:C30)</f>
        <v>-149312.43999999762</v>
      </c>
    </row>
    <row r="32" spans="1:3">
      <c r="A32" s="2"/>
      <c r="B32" s="2"/>
      <c r="C32" s="18"/>
    </row>
    <row r="33" spans="1:4">
      <c r="A33" s="2"/>
      <c r="B33" s="2"/>
      <c r="C33" s="18"/>
    </row>
    <row r="34" spans="1:4">
      <c r="A34" s="2"/>
      <c r="B34" s="403" t="s">
        <v>810</v>
      </c>
      <c r="C34" s="18"/>
      <c r="D34" s="2"/>
    </row>
    <row r="35" spans="1:4">
      <c r="A35" s="2"/>
      <c r="B35" s="403" t="s">
        <v>811</v>
      </c>
      <c r="C35" s="18"/>
      <c r="D35" s="2"/>
    </row>
    <row r="36" spans="1:4">
      <c r="A36" s="2"/>
      <c r="B36" s="2"/>
      <c r="C36" s="18"/>
      <c r="D36" s="2"/>
    </row>
    <row r="37" spans="1:4">
      <c r="C37" s="10"/>
    </row>
    <row r="38" spans="1:4">
      <c r="C38" s="10"/>
    </row>
    <row r="39" spans="1:4">
      <c r="C39" s="10"/>
    </row>
    <row r="40" spans="1:4">
      <c r="C40" s="10"/>
    </row>
    <row r="41" spans="1:4">
      <c r="C41" s="10"/>
    </row>
    <row r="42" spans="1:4">
      <c r="C42" s="10"/>
    </row>
    <row r="43" spans="1:4">
      <c r="C43" s="10"/>
    </row>
    <row r="44" spans="1:4">
      <c r="C44" s="10"/>
    </row>
    <row r="45" spans="1:4">
      <c r="C45" s="10"/>
    </row>
    <row r="46" spans="1:4">
      <c r="C46" s="10"/>
    </row>
  </sheetData>
  <mergeCells count="5">
    <mergeCell ref="A1:C1"/>
    <mergeCell ref="A2:C2"/>
    <mergeCell ref="A4:C4"/>
    <mergeCell ref="A6:C6"/>
    <mergeCell ref="A3:C3"/>
  </mergeCells>
  <phoneticPr fontId="0" type="noConversion"/>
  <pageMargins left="0.75" right="0.75" top="1" bottom="1" header="0.5" footer="0.5"/>
  <pageSetup scale="89" orientation="portrait" horizontalDpi="4294967293" r:id="rId1"/>
  <headerFooter alignWithMargins="0">
    <oddFooter>&amp;L&amp;Z&amp;F
&amp;D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opLeftCell="A6" zoomScale="90" workbookViewId="0">
      <selection activeCell="C18" sqref="C18"/>
    </sheetView>
  </sheetViews>
  <sheetFormatPr defaultRowHeight="12.75"/>
  <cols>
    <col min="1" max="1" width="6.7109375" customWidth="1"/>
    <col min="2" max="2" width="29.28515625" customWidth="1"/>
    <col min="3" max="7" width="15.7109375" customWidth="1"/>
    <col min="10" max="10" width="17.28515625" style="395" bestFit="1" customWidth="1"/>
    <col min="11" max="11" width="18.28515625" customWidth="1"/>
  </cols>
  <sheetData>
    <row r="1" spans="1:11" ht="15.75">
      <c r="A1" s="567" t="str">
        <f>+'Balance sheet'!A1:F1</f>
        <v>Rochester Public Utilities</v>
      </c>
      <c r="B1" s="567"/>
      <c r="C1" s="567"/>
      <c r="D1" s="567"/>
      <c r="E1" s="567"/>
      <c r="F1" s="567"/>
      <c r="G1" s="567"/>
    </row>
    <row r="2" spans="1:11" ht="15">
      <c r="A2" s="568" t="s">
        <v>0</v>
      </c>
      <c r="B2" s="568"/>
      <c r="C2" s="568"/>
      <c r="D2" s="568"/>
      <c r="E2" s="568"/>
      <c r="F2" s="568"/>
      <c r="G2" s="568"/>
    </row>
    <row r="3" spans="1:11" ht="15">
      <c r="A3" s="568" t="s">
        <v>173</v>
      </c>
      <c r="B3" s="568"/>
      <c r="C3" s="568"/>
      <c r="D3" s="568"/>
      <c r="E3" s="568"/>
      <c r="F3" s="568"/>
      <c r="G3" s="568"/>
    </row>
    <row r="4" spans="1:11" ht="15.75">
      <c r="A4" s="569">
        <f>+'Balance sheet'!A4:F4</f>
        <v>41639</v>
      </c>
      <c r="B4" s="569"/>
      <c r="C4" s="569"/>
      <c r="D4" s="569"/>
      <c r="E4" s="569"/>
      <c r="F4" s="569"/>
      <c r="G4" s="569"/>
    </row>
    <row r="5" spans="1:11">
      <c r="A5" s="33"/>
      <c r="B5" s="33"/>
      <c r="C5" s="33"/>
    </row>
    <row r="6" spans="1:11" ht="15">
      <c r="A6" s="570" t="s">
        <v>21</v>
      </c>
      <c r="B6" s="570"/>
      <c r="C6" s="570"/>
      <c r="D6" s="570"/>
      <c r="E6" s="570"/>
      <c r="F6" s="570"/>
      <c r="G6" s="570"/>
    </row>
    <row r="7" spans="1:11">
      <c r="A7" s="26" t="s">
        <v>1</v>
      </c>
      <c r="B7" s="40"/>
      <c r="C7" s="40" t="s">
        <v>113</v>
      </c>
      <c r="D7" s="40"/>
      <c r="E7" s="40"/>
      <c r="F7" s="40"/>
      <c r="G7" s="40" t="s">
        <v>118</v>
      </c>
      <c r="J7" s="571"/>
      <c r="K7" s="571"/>
    </row>
    <row r="8" spans="1:11">
      <c r="A8" s="28" t="s">
        <v>2</v>
      </c>
      <c r="B8" s="23"/>
      <c r="C8" s="23" t="s">
        <v>114</v>
      </c>
      <c r="D8" s="23" t="s">
        <v>115</v>
      </c>
      <c r="E8" s="23" t="s">
        <v>116</v>
      </c>
      <c r="F8" s="23" t="s">
        <v>117</v>
      </c>
      <c r="G8" s="23" t="s">
        <v>114</v>
      </c>
    </row>
    <row r="9" spans="1:11" ht="20.100000000000001" customHeight="1">
      <c r="A9" s="29">
        <v>1</v>
      </c>
      <c r="B9" s="6" t="s">
        <v>119</v>
      </c>
      <c r="C9" s="108">
        <v>367829</v>
      </c>
      <c r="D9" s="108">
        <v>-67</v>
      </c>
      <c r="E9" s="108">
        <v>0</v>
      </c>
      <c r="F9" s="108">
        <v>0</v>
      </c>
      <c r="G9" s="89">
        <f>+C9+D9-E9+F9</f>
        <v>367762</v>
      </c>
      <c r="K9" s="133"/>
    </row>
    <row r="10" spans="1:11" ht="12.75" customHeight="1">
      <c r="A10" s="29"/>
      <c r="B10" s="6"/>
      <c r="C10" s="88"/>
      <c r="D10" s="88"/>
      <c r="E10" s="88"/>
      <c r="F10" s="88"/>
      <c r="G10" s="89"/>
    </row>
    <row r="11" spans="1:11" ht="20.100000000000001" customHeight="1">
      <c r="A11" s="29">
        <v>2</v>
      </c>
      <c r="B11" s="6" t="s">
        <v>120</v>
      </c>
      <c r="C11" s="77">
        <v>73364764</v>
      </c>
      <c r="D11" s="75">
        <v>4699</v>
      </c>
      <c r="E11" s="106">
        <v>0</v>
      </c>
      <c r="F11" s="106">
        <v>324681</v>
      </c>
      <c r="G11" s="90">
        <f>+C11+D11-E11+F11</f>
        <v>73694144</v>
      </c>
      <c r="K11" s="133"/>
    </row>
    <row r="12" spans="1:11" ht="20.100000000000001" customHeight="1">
      <c r="A12" s="29">
        <v>3</v>
      </c>
      <c r="B12" s="6" t="s">
        <v>121</v>
      </c>
      <c r="C12" s="77">
        <v>0</v>
      </c>
      <c r="D12" s="77">
        <v>0</v>
      </c>
      <c r="E12" s="106">
        <v>0</v>
      </c>
      <c r="F12" s="106">
        <v>0</v>
      </c>
      <c r="G12" s="90">
        <f>+C12+D12-E12+F12</f>
        <v>0</v>
      </c>
    </row>
    <row r="13" spans="1:11" ht="20.100000000000001" customHeight="1">
      <c r="A13" s="29">
        <v>4</v>
      </c>
      <c r="B13" s="6" t="s">
        <v>122</v>
      </c>
      <c r="C13" s="77">
        <v>3624639</v>
      </c>
      <c r="D13" s="75">
        <v>0</v>
      </c>
      <c r="E13" s="106">
        <v>0</v>
      </c>
      <c r="F13" s="106">
        <v>0</v>
      </c>
      <c r="G13" s="90">
        <f>+C13+D13-E13+F13</f>
        <v>3624639</v>
      </c>
      <c r="K13" s="133"/>
    </row>
    <row r="14" spans="1:11" ht="20.100000000000001" customHeight="1" thickBot="1">
      <c r="A14" s="29">
        <v>5</v>
      </c>
      <c r="B14" s="6" t="s">
        <v>123</v>
      </c>
      <c r="C14" s="75">
        <v>33477809</v>
      </c>
      <c r="D14" s="75">
        <v>41096</v>
      </c>
      <c r="E14" s="107">
        <v>0</v>
      </c>
      <c r="F14" s="107">
        <v>26072</v>
      </c>
      <c r="G14" s="91">
        <f>+C14+D14-E14+F14</f>
        <v>33544977</v>
      </c>
      <c r="K14" s="133"/>
    </row>
    <row r="15" spans="1:11" ht="20.100000000000001" customHeight="1" thickBot="1">
      <c r="A15" s="29">
        <v>6</v>
      </c>
      <c r="B15" s="59" t="s">
        <v>124</v>
      </c>
      <c r="C15" s="93">
        <f>SUM(C11:C14)</f>
        <v>110467212</v>
      </c>
      <c r="D15" s="94">
        <f>SUM(D11:D14)</f>
        <v>45795</v>
      </c>
      <c r="E15" s="94">
        <f>SUM(E11:E14)</f>
        <v>0</v>
      </c>
      <c r="F15" s="94">
        <f>SUM(F11:F14)</f>
        <v>350753</v>
      </c>
      <c r="G15" s="87">
        <f>+C15+D15-E15+F15</f>
        <v>110863760</v>
      </c>
      <c r="K15" s="133"/>
    </row>
    <row r="16" spans="1:11" ht="12" customHeight="1">
      <c r="A16" s="29"/>
      <c r="B16" s="13"/>
      <c r="C16" s="92"/>
      <c r="D16" s="92"/>
      <c r="E16" s="92"/>
      <c r="F16" s="92"/>
      <c r="G16" s="92"/>
    </row>
    <row r="17" spans="1:11" ht="20.100000000000001" customHeight="1">
      <c r="A17" s="29">
        <v>7</v>
      </c>
      <c r="B17" s="6" t="s">
        <v>126</v>
      </c>
      <c r="C17" s="77">
        <f>24324990+160310</f>
        <v>24485300</v>
      </c>
      <c r="D17" s="75">
        <v>-3875</v>
      </c>
      <c r="E17" s="77">
        <v>0</v>
      </c>
      <c r="F17" s="106">
        <v>307823</v>
      </c>
      <c r="G17" s="90">
        <f>+C17+D17-E17+F17</f>
        <v>24789248</v>
      </c>
      <c r="K17" s="133"/>
    </row>
    <row r="18" spans="1:11" ht="20.100000000000001" customHeight="1">
      <c r="A18" s="29">
        <v>8</v>
      </c>
      <c r="B18" s="6" t="s">
        <v>127</v>
      </c>
      <c r="C18" s="77">
        <f>125365831-160310</f>
        <v>125205521</v>
      </c>
      <c r="D18" s="75">
        <v>1677309</v>
      </c>
      <c r="E18" s="77">
        <v>301268</v>
      </c>
      <c r="F18" s="106">
        <v>876567</v>
      </c>
      <c r="G18" s="90">
        <f>+C18+D18-E18+F18</f>
        <v>127458129</v>
      </c>
      <c r="K18" s="133"/>
    </row>
    <row r="19" spans="1:11" ht="20.100000000000001" customHeight="1" thickBot="1">
      <c r="A19" s="29">
        <v>9</v>
      </c>
      <c r="B19" s="6" t="s">
        <v>128</v>
      </c>
      <c r="C19" s="75">
        <f>36625665+18925-1</f>
        <v>36644589</v>
      </c>
      <c r="D19" s="75">
        <v>1104601</v>
      </c>
      <c r="E19" s="77">
        <f>801933+18925+1</f>
        <v>820859</v>
      </c>
      <c r="F19" s="107">
        <v>1816780</v>
      </c>
      <c r="G19" s="91">
        <f>+C19+D19-E19+F19</f>
        <v>38745111</v>
      </c>
      <c r="K19" s="133"/>
    </row>
    <row r="20" spans="1:11" ht="20.100000000000001" customHeight="1" thickBot="1">
      <c r="A20" s="29">
        <v>10</v>
      </c>
      <c r="B20" s="59" t="s">
        <v>129</v>
      </c>
      <c r="C20" s="93">
        <f>SUM(C15:C19)+C9</f>
        <v>297170451</v>
      </c>
      <c r="D20" s="93">
        <f>SUM(D15:D19)+D9</f>
        <v>2823763</v>
      </c>
      <c r="E20" s="93">
        <f>SUM(E15:E19)+E9</f>
        <v>1122127</v>
      </c>
      <c r="F20" s="93">
        <f>SUM(F15:F19)+F9</f>
        <v>3351923</v>
      </c>
      <c r="G20" s="87">
        <f>+C20+D20-E20+F20</f>
        <v>302224010</v>
      </c>
      <c r="K20" s="133"/>
    </row>
    <row r="21" spans="1:11" ht="11.25" customHeight="1">
      <c r="A21" s="29"/>
      <c r="B21" s="13"/>
      <c r="C21" s="92"/>
      <c r="D21" s="92"/>
      <c r="E21" s="92"/>
      <c r="F21" s="92"/>
      <c r="G21" s="92"/>
    </row>
    <row r="22" spans="1:11" ht="20.100000000000001" customHeight="1">
      <c r="A22" s="29">
        <v>11</v>
      </c>
      <c r="B22" s="6" t="s">
        <v>130</v>
      </c>
      <c r="C22" s="77"/>
      <c r="D22" s="75">
        <v>0</v>
      </c>
      <c r="E22" s="77"/>
      <c r="F22" s="106">
        <v>0</v>
      </c>
      <c r="G22" s="90">
        <f>+C22+D22-E22+F22</f>
        <v>0</v>
      </c>
    </row>
    <row r="23" spans="1:11" ht="20.100000000000001" customHeight="1">
      <c r="A23" s="29">
        <v>12</v>
      </c>
      <c r="B23" s="6" t="s">
        <v>131</v>
      </c>
      <c r="C23" s="106">
        <v>0</v>
      </c>
      <c r="D23" s="106">
        <v>0</v>
      </c>
      <c r="E23" s="106">
        <v>0</v>
      </c>
      <c r="F23" s="106">
        <v>0</v>
      </c>
      <c r="G23" s="90">
        <f>+C23+D23-E23+F23</f>
        <v>0</v>
      </c>
    </row>
    <row r="24" spans="1:11" ht="20.100000000000001" customHeight="1" thickBot="1">
      <c r="A24" s="29">
        <v>13</v>
      </c>
      <c r="B24" s="6" t="s">
        <v>132</v>
      </c>
      <c r="C24" s="107">
        <v>0</v>
      </c>
      <c r="D24" s="107">
        <v>0</v>
      </c>
      <c r="E24" s="107">
        <v>0</v>
      </c>
      <c r="F24" s="107">
        <v>0</v>
      </c>
      <c r="G24" s="91">
        <f>+C24+D24-E24+F24</f>
        <v>0</v>
      </c>
    </row>
    <row r="25" spans="1:11" ht="20.100000000000001" customHeight="1" thickBot="1">
      <c r="A25" s="29">
        <v>14</v>
      </c>
      <c r="B25" s="59" t="s">
        <v>8</v>
      </c>
      <c r="C25" s="93">
        <f>SUM(C20:C24)</f>
        <v>297170451</v>
      </c>
      <c r="D25" s="94">
        <f>SUM(D20:D24)</f>
        <v>2823763</v>
      </c>
      <c r="E25" s="94">
        <f>SUM(E20:E24)</f>
        <v>1122127</v>
      </c>
      <c r="F25" s="94">
        <f>SUM(F20:F24)</f>
        <v>3351923</v>
      </c>
      <c r="G25" s="87">
        <f>+C25+D25-E25+F25</f>
        <v>302224010</v>
      </c>
      <c r="K25" s="133"/>
    </row>
    <row r="26" spans="1:11" ht="11.25" customHeight="1">
      <c r="A26" s="29"/>
      <c r="B26" s="13"/>
      <c r="C26" s="95"/>
      <c r="D26" s="95"/>
      <c r="E26" s="95"/>
      <c r="F26" s="95"/>
      <c r="G26" s="95"/>
    </row>
    <row r="27" spans="1:11" ht="20.100000000000001" customHeight="1" thickBot="1">
      <c r="A27" s="29">
        <v>15</v>
      </c>
      <c r="B27" s="6" t="s">
        <v>133</v>
      </c>
      <c r="C27" s="75">
        <f>8485018-1</f>
        <v>8485017</v>
      </c>
      <c r="D27" s="75">
        <v>19345203</v>
      </c>
      <c r="E27" s="77">
        <v>0</v>
      </c>
      <c r="F27" s="107">
        <v>-3351923</v>
      </c>
      <c r="G27" s="91">
        <f>+C27+D27-E27+F27</f>
        <v>24478297</v>
      </c>
      <c r="K27" s="133"/>
    </row>
    <row r="28" spans="1:11" ht="20.100000000000001" customHeight="1" thickBot="1">
      <c r="A28" s="29">
        <v>16</v>
      </c>
      <c r="B28" s="59" t="s">
        <v>134</v>
      </c>
      <c r="C28" s="93">
        <f>SUM(C25:C27)</f>
        <v>305655468</v>
      </c>
      <c r="D28" s="94">
        <f>SUM(D25:D27)</f>
        <v>22168966</v>
      </c>
      <c r="E28" s="94">
        <f>SUM(E25:E27)</f>
        <v>1122127</v>
      </c>
      <c r="F28" s="94">
        <f>SUM(F25:F27)</f>
        <v>0</v>
      </c>
      <c r="G28" s="87">
        <f>+C28+D28-E28+F28</f>
        <v>326702307</v>
      </c>
      <c r="K28" s="133"/>
    </row>
    <row r="29" spans="1:11" ht="20.100000000000001" customHeight="1">
      <c r="B29" t="s">
        <v>125</v>
      </c>
      <c r="G29" s="10" t="s">
        <v>168</v>
      </c>
    </row>
    <row r="30" spans="1:11">
      <c r="B30" s="403"/>
    </row>
    <row r="31" spans="1:11">
      <c r="G31" s="10"/>
    </row>
    <row r="32" spans="1:11">
      <c r="G32" s="10" t="s">
        <v>168</v>
      </c>
    </row>
  </sheetData>
  <mergeCells count="6">
    <mergeCell ref="J7:K7"/>
    <mergeCell ref="A1:G1"/>
    <mergeCell ref="A2:G2"/>
    <mergeCell ref="A4:G4"/>
    <mergeCell ref="A6:G6"/>
    <mergeCell ref="A3:G3"/>
  </mergeCells>
  <phoneticPr fontId="0" type="noConversion"/>
  <pageMargins left="0.5" right="0.5" top="0.75" bottom="0.5" header="0.5" footer="0.5"/>
  <pageSetup scale="98" orientation="landscape" horizontalDpi="4294967293"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workbookViewId="0">
      <selection sqref="A1:G1"/>
    </sheetView>
  </sheetViews>
  <sheetFormatPr defaultRowHeight="12.75"/>
  <cols>
    <col min="2" max="2" width="45" customWidth="1"/>
    <col min="3" max="3" width="12.140625" customWidth="1"/>
  </cols>
  <sheetData>
    <row r="1" spans="1:7" ht="15.75">
      <c r="A1" s="567" t="str">
        <f>+'Balance sheet'!A1:F1</f>
        <v>Rochester Public Utilities</v>
      </c>
      <c r="B1" s="567"/>
      <c r="C1" s="567"/>
      <c r="D1" s="567"/>
      <c r="E1" s="567"/>
      <c r="F1" s="567"/>
      <c r="G1" s="567"/>
    </row>
    <row r="2" spans="1:7" ht="15">
      <c r="A2" s="568" t="s">
        <v>0</v>
      </c>
      <c r="B2" s="568"/>
      <c r="C2" s="568"/>
      <c r="D2" s="568"/>
      <c r="E2" s="568"/>
      <c r="F2" s="568"/>
      <c r="G2" s="568"/>
    </row>
    <row r="3" spans="1:7" ht="15">
      <c r="A3" s="568" t="s">
        <v>174</v>
      </c>
      <c r="B3" s="568"/>
      <c r="C3" s="568"/>
      <c r="D3" s="568"/>
      <c r="E3" s="568"/>
      <c r="F3" s="568"/>
      <c r="G3" s="568"/>
    </row>
    <row r="4" spans="1:7" ht="15.75">
      <c r="A4" s="569">
        <f>+'Balance sheet'!A4:F4</f>
        <v>41639</v>
      </c>
      <c r="B4" s="569"/>
      <c r="C4" s="569"/>
      <c r="D4" s="569"/>
      <c r="E4" s="569"/>
      <c r="F4" s="569"/>
      <c r="G4" s="569"/>
    </row>
    <row r="5" spans="1:7">
      <c r="A5" s="33"/>
      <c r="B5" s="33"/>
      <c r="C5" s="33"/>
    </row>
    <row r="6" spans="1:7">
      <c r="A6" t="s">
        <v>135</v>
      </c>
    </row>
    <row r="7" spans="1:7">
      <c r="A7" t="s">
        <v>5</v>
      </c>
    </row>
    <row r="8" spans="1:7">
      <c r="A8">
        <v>1</v>
      </c>
      <c r="B8" t="s">
        <v>136</v>
      </c>
      <c r="C8" s="10">
        <f>'Taxes other than inc tax'!E11</f>
        <v>8307133.0499999998</v>
      </c>
    </row>
  </sheetData>
  <mergeCells count="4">
    <mergeCell ref="A1:G1"/>
    <mergeCell ref="A2:G2"/>
    <mergeCell ref="A4:G4"/>
    <mergeCell ref="A3:G3"/>
  </mergeCells>
  <phoneticPr fontId="0" type="noConversion"/>
  <pageMargins left="0.75" right="0.75" top="1" bottom="1" header="0.5" footer="0.5"/>
  <pageSetup scale="86" orientation="portrait" horizontalDpi="4294967293" r:id="rId1"/>
  <headerFooter alignWithMargins="0">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zoomScale="90" zoomScaleNormal="90" workbookViewId="0">
      <selection activeCell="A5" sqref="A5"/>
    </sheetView>
  </sheetViews>
  <sheetFormatPr defaultRowHeight="12.75"/>
  <cols>
    <col min="1" max="1" width="6.7109375" customWidth="1"/>
    <col min="2" max="2" width="31" customWidth="1"/>
    <col min="3" max="6" width="15.7109375" customWidth="1"/>
  </cols>
  <sheetData>
    <row r="1" spans="1:7" ht="15.75">
      <c r="A1" s="567" t="str">
        <f>+'Balance sheet'!A1:F1</f>
        <v>Rochester Public Utilities</v>
      </c>
      <c r="B1" s="567"/>
      <c r="C1" s="567"/>
      <c r="D1" s="567"/>
      <c r="E1" s="567"/>
      <c r="F1" s="567"/>
      <c r="G1" s="11"/>
    </row>
    <row r="2" spans="1:7" ht="15">
      <c r="A2" s="568" t="s">
        <v>0</v>
      </c>
      <c r="B2" s="568"/>
      <c r="C2" s="568"/>
      <c r="D2" s="568"/>
      <c r="E2" s="568"/>
      <c r="F2" s="568"/>
      <c r="G2" s="11"/>
    </row>
    <row r="3" spans="1:7" ht="15">
      <c r="A3" s="568" t="s">
        <v>175</v>
      </c>
      <c r="B3" s="568"/>
      <c r="C3" s="568"/>
      <c r="D3" s="568"/>
      <c r="E3" s="568"/>
      <c r="F3" s="568"/>
      <c r="G3" s="11"/>
    </row>
    <row r="4" spans="1:7" ht="15.75">
      <c r="A4" s="569">
        <f>+'Balance sheet'!A4:F4</f>
        <v>41639</v>
      </c>
      <c r="B4" s="569"/>
      <c r="C4" s="569"/>
      <c r="D4" s="569"/>
      <c r="E4" s="569"/>
      <c r="F4" s="569"/>
      <c r="G4" s="25"/>
    </row>
    <row r="6" spans="1:7">
      <c r="A6" s="572" t="s">
        <v>138</v>
      </c>
      <c r="B6" s="572"/>
      <c r="C6" s="572"/>
      <c r="D6" s="572"/>
      <c r="E6" s="572"/>
      <c r="F6" s="572"/>
    </row>
    <row r="7" spans="1:7">
      <c r="A7" s="26" t="s">
        <v>1</v>
      </c>
      <c r="B7" s="22"/>
      <c r="C7" s="22" t="s">
        <v>176</v>
      </c>
      <c r="D7" s="22" t="s">
        <v>177</v>
      </c>
      <c r="E7" s="22" t="s">
        <v>179</v>
      </c>
      <c r="F7" s="22" t="s">
        <v>178</v>
      </c>
    </row>
    <row r="8" spans="1:7">
      <c r="A8" s="28" t="s">
        <v>5</v>
      </c>
      <c r="B8" s="23"/>
      <c r="C8" s="22" t="s">
        <v>137</v>
      </c>
      <c r="D8" s="23" t="s">
        <v>139</v>
      </c>
      <c r="E8" s="23" t="s">
        <v>140</v>
      </c>
      <c r="F8" s="23" t="s">
        <v>141</v>
      </c>
    </row>
    <row r="9" spans="1:7">
      <c r="A9" s="4">
        <v>1</v>
      </c>
      <c r="B9" s="2" t="s">
        <v>142</v>
      </c>
      <c r="C9" s="46"/>
      <c r="D9" s="41"/>
      <c r="E9" s="41"/>
      <c r="F9" s="41"/>
    </row>
    <row r="10" spans="1:7">
      <c r="A10" s="5"/>
      <c r="B10" s="1" t="s">
        <v>143</v>
      </c>
      <c r="C10" s="80">
        <v>2308822</v>
      </c>
      <c r="D10" s="109">
        <v>1229136</v>
      </c>
      <c r="E10" s="109">
        <v>1534469</v>
      </c>
      <c r="F10" s="113">
        <f>SUM(C10:E10)</f>
        <v>5072427</v>
      </c>
    </row>
    <row r="11" spans="1:7">
      <c r="A11" s="5">
        <v>2</v>
      </c>
      <c r="B11" s="1" t="s">
        <v>144</v>
      </c>
      <c r="C11" s="73">
        <v>0</v>
      </c>
      <c r="D11" s="105">
        <v>0</v>
      </c>
      <c r="E11" s="105">
        <v>0</v>
      </c>
      <c r="F11" s="114">
        <f>SUM(C11:E11)</f>
        <v>0</v>
      </c>
    </row>
    <row r="12" spans="1:7">
      <c r="A12" s="4">
        <v>3</v>
      </c>
      <c r="B12" s="2" t="s">
        <v>145</v>
      </c>
      <c r="C12" s="78"/>
      <c r="D12" s="104"/>
      <c r="E12" s="104"/>
      <c r="F12" s="115"/>
    </row>
    <row r="13" spans="1:7">
      <c r="A13" s="5"/>
      <c r="B13" s="101" t="s">
        <v>146</v>
      </c>
      <c r="C13" s="73">
        <v>0</v>
      </c>
      <c r="D13" s="105">
        <v>2253</v>
      </c>
      <c r="E13" s="105">
        <v>69991</v>
      </c>
      <c r="F13" s="114">
        <f>SUM(C13:E13)</f>
        <v>72244</v>
      </c>
    </row>
    <row r="14" spans="1:7">
      <c r="A14" s="19">
        <v>4</v>
      </c>
      <c r="B14" s="43" t="s">
        <v>147</v>
      </c>
      <c r="C14" s="78"/>
      <c r="D14" s="104"/>
      <c r="E14" s="104"/>
      <c r="F14" s="115"/>
    </row>
    <row r="15" spans="1:7">
      <c r="A15" s="5"/>
      <c r="B15" s="102" t="s">
        <v>148</v>
      </c>
      <c r="C15" s="73">
        <v>398039</v>
      </c>
      <c r="D15" s="105">
        <v>99878</v>
      </c>
      <c r="E15" s="105">
        <v>341943</v>
      </c>
      <c r="F15" s="114">
        <f>SUM(C15:E15)</f>
        <v>839860</v>
      </c>
    </row>
    <row r="16" spans="1:7">
      <c r="A16" s="7">
        <v>5</v>
      </c>
      <c r="B16" s="44" t="s">
        <v>149</v>
      </c>
      <c r="C16" s="77">
        <v>0</v>
      </c>
      <c r="D16" s="105">
        <v>80740058</v>
      </c>
      <c r="E16" s="110">
        <v>0</v>
      </c>
      <c r="F16" s="116">
        <f>SUM(C16:E16)</f>
        <v>80740058</v>
      </c>
    </row>
    <row r="17" spans="1:7">
      <c r="A17" s="4">
        <v>6</v>
      </c>
      <c r="B17" s="2" t="s">
        <v>150</v>
      </c>
      <c r="C17" s="78"/>
      <c r="D17" s="104"/>
      <c r="E17" s="104"/>
      <c r="F17" s="115"/>
    </row>
    <row r="18" spans="1:7" ht="13.5" thickBot="1">
      <c r="A18" s="5"/>
      <c r="B18" s="101" t="s">
        <v>151</v>
      </c>
      <c r="C18" s="78">
        <v>0</v>
      </c>
      <c r="D18" s="104">
        <v>0</v>
      </c>
      <c r="E18" s="104">
        <v>0</v>
      </c>
      <c r="F18" s="115">
        <f>SUM(C18:E18)</f>
        <v>0</v>
      </c>
    </row>
    <row r="19" spans="1:7" ht="13.5" thickBot="1">
      <c r="A19" s="6">
        <v>7</v>
      </c>
      <c r="B19" s="98" t="s">
        <v>152</v>
      </c>
      <c r="C19" s="93">
        <f>SUM(C10:C18)</f>
        <v>2706861</v>
      </c>
      <c r="D19" s="99">
        <f>SUM(D10:D18)</f>
        <v>82071325</v>
      </c>
      <c r="E19" s="99">
        <f>SUM(E10:E18)</f>
        <v>1946403</v>
      </c>
      <c r="F19" s="100">
        <f>SUM(C19:E19)</f>
        <v>86724589</v>
      </c>
    </row>
    <row r="20" spans="1:7">
      <c r="A20" s="4">
        <v>8</v>
      </c>
      <c r="B20" s="24" t="s">
        <v>153</v>
      </c>
      <c r="C20" s="111"/>
      <c r="D20" s="111"/>
      <c r="E20" s="111"/>
      <c r="F20" s="41"/>
    </row>
    <row r="21" spans="1:7">
      <c r="A21" s="5"/>
      <c r="B21" s="103" t="s">
        <v>154</v>
      </c>
      <c r="C21" s="117" t="s">
        <v>169</v>
      </c>
      <c r="D21" s="105">
        <f>'Transmission O&amp;M'!C22</f>
        <v>8005240.5599999996</v>
      </c>
      <c r="E21" s="105">
        <f>'Transmission O&amp;M'!C34</f>
        <v>131542.63</v>
      </c>
      <c r="F21" s="86">
        <f>'Transmission O&amp;M'!C35</f>
        <v>8136783.1899999995</v>
      </c>
      <c r="G21" t="s">
        <v>168</v>
      </c>
    </row>
    <row r="22" spans="1:7">
      <c r="A22" s="4">
        <v>9</v>
      </c>
      <c r="B22" s="24" t="s">
        <v>155</v>
      </c>
      <c r="C22" s="118"/>
      <c r="D22" s="104"/>
      <c r="E22" s="104"/>
      <c r="F22" s="85"/>
    </row>
    <row r="23" spans="1:7">
      <c r="A23" s="5"/>
      <c r="B23" s="103" t="s">
        <v>156</v>
      </c>
      <c r="C23" s="117" t="s">
        <v>169</v>
      </c>
      <c r="D23" s="105">
        <v>1612130</v>
      </c>
      <c r="E23" s="105">
        <v>3478785</v>
      </c>
      <c r="F23" s="86">
        <f>+D23+E23</f>
        <v>5090915</v>
      </c>
    </row>
    <row r="24" spans="1:7">
      <c r="A24" s="4">
        <v>10</v>
      </c>
      <c r="B24" s="24" t="s">
        <v>157</v>
      </c>
      <c r="C24" s="118"/>
      <c r="D24" s="104"/>
      <c r="E24" s="104"/>
      <c r="F24" s="85"/>
    </row>
    <row r="25" spans="1:7">
      <c r="A25" s="5"/>
      <c r="B25" s="103" t="s">
        <v>158</v>
      </c>
      <c r="C25" s="117" t="s">
        <v>169</v>
      </c>
      <c r="D25" s="105">
        <v>1728982</v>
      </c>
      <c r="E25" s="105">
        <v>0</v>
      </c>
      <c r="F25" s="86">
        <f>+D25+E25</f>
        <v>1728982</v>
      </c>
    </row>
    <row r="26" spans="1:7">
      <c r="A26" s="4">
        <v>11</v>
      </c>
      <c r="B26" s="24" t="s">
        <v>159</v>
      </c>
      <c r="C26" s="118"/>
      <c r="D26" s="104"/>
      <c r="E26" s="104"/>
      <c r="F26" s="85"/>
    </row>
    <row r="27" spans="1:7">
      <c r="A27" s="5"/>
      <c r="B27" s="103" t="s">
        <v>160</v>
      </c>
      <c r="C27" s="117" t="s">
        <v>169</v>
      </c>
      <c r="D27" s="105">
        <v>1050441</v>
      </c>
      <c r="E27" s="105">
        <v>0</v>
      </c>
      <c r="F27" s="86">
        <f>+D27+E27</f>
        <v>1050441</v>
      </c>
    </row>
    <row r="28" spans="1:7">
      <c r="A28" s="6">
        <v>12</v>
      </c>
      <c r="B28" s="42" t="s">
        <v>161</v>
      </c>
      <c r="C28" s="112" t="s">
        <v>169</v>
      </c>
      <c r="D28" s="105">
        <v>658207</v>
      </c>
      <c r="E28" s="110">
        <v>0</v>
      </c>
      <c r="F28" s="86">
        <f>+D28+E28</f>
        <v>658207</v>
      </c>
    </row>
    <row r="29" spans="1:7">
      <c r="A29" s="6">
        <v>13</v>
      </c>
      <c r="B29" s="393" t="s">
        <v>162</v>
      </c>
      <c r="C29" s="112" t="s">
        <v>169</v>
      </c>
      <c r="D29" s="105">
        <f>'Admin &amp; General'!C43</f>
        <v>10169704.390000001</v>
      </c>
      <c r="E29" s="105">
        <f>'Admin &amp; General'!C45</f>
        <v>735188.86</v>
      </c>
      <c r="F29" s="86">
        <f>'Admin &amp; General'!C46</f>
        <v>10904893.25</v>
      </c>
    </row>
    <row r="30" spans="1:7" ht="13.5" thickBot="1">
      <c r="A30" s="4">
        <v>14</v>
      </c>
      <c r="B30" s="24" t="s">
        <v>163</v>
      </c>
      <c r="C30" s="119"/>
      <c r="D30" s="111"/>
      <c r="E30" s="111"/>
      <c r="F30" s="41"/>
    </row>
    <row r="31" spans="1:7" ht="13.5" thickBot="1">
      <c r="A31" s="5"/>
      <c r="B31" s="101" t="s">
        <v>164</v>
      </c>
      <c r="C31" s="93" t="s">
        <v>170</v>
      </c>
      <c r="D31" s="99">
        <f>SUM(D19:D29)</f>
        <v>105296029.95</v>
      </c>
      <c r="E31" s="99">
        <f>SUM(E19:E29)</f>
        <v>6291919.4900000002</v>
      </c>
      <c r="F31" s="100">
        <f>SUM(F19:F30)</f>
        <v>114294810.44</v>
      </c>
    </row>
    <row r="32" spans="1:7">
      <c r="C32" s="10"/>
      <c r="D32" s="10"/>
      <c r="E32" s="10"/>
      <c r="F32" s="10"/>
    </row>
    <row r="33" spans="2:6">
      <c r="B33" s="573" t="s">
        <v>165</v>
      </c>
      <c r="C33" s="574"/>
      <c r="D33" s="96">
        <v>163</v>
      </c>
      <c r="E33" s="10"/>
      <c r="F33" s="10"/>
    </row>
    <row r="34" spans="2:6">
      <c r="B34" s="3" t="s">
        <v>166</v>
      </c>
      <c r="C34" s="37"/>
      <c r="D34" s="97">
        <v>3</v>
      </c>
      <c r="E34" s="10"/>
      <c r="F34" s="10"/>
    </row>
    <row r="35" spans="2:6">
      <c r="C35" s="10"/>
      <c r="D35" s="10"/>
      <c r="E35" s="10"/>
      <c r="F35" s="10"/>
    </row>
    <row r="36" spans="2:6">
      <c r="B36" t="s">
        <v>167</v>
      </c>
    </row>
    <row r="38" spans="2:6">
      <c r="B38" s="50" t="s">
        <v>181</v>
      </c>
      <c r="C38" s="129" t="s">
        <v>169</v>
      </c>
      <c r="D38" s="130">
        <v>116686</v>
      </c>
      <c r="E38" s="130">
        <v>0</v>
      </c>
      <c r="F38" s="131">
        <f>+D38+E38</f>
        <v>116686</v>
      </c>
    </row>
    <row r="39" spans="2:6">
      <c r="B39" s="5" t="s">
        <v>182</v>
      </c>
      <c r="C39" s="5"/>
      <c r="D39" s="5"/>
      <c r="E39" s="5"/>
      <c r="F39" s="39"/>
    </row>
    <row r="41" spans="2:6">
      <c r="B41" s="2" t="s">
        <v>163</v>
      </c>
    </row>
    <row r="42" spans="2:6">
      <c r="B42" s="132" t="s">
        <v>164</v>
      </c>
      <c r="D42" s="133">
        <f>C19+D31+D38</f>
        <v>108119576.95</v>
      </c>
      <c r="E42" s="133">
        <f>E38+E31</f>
        <v>6291919.4900000002</v>
      </c>
      <c r="F42" s="133">
        <f>F38+F31</f>
        <v>114411496.44</v>
      </c>
    </row>
    <row r="43" spans="2:6">
      <c r="D43" s="390"/>
      <c r="E43" s="134"/>
    </row>
  </sheetData>
  <mergeCells count="6">
    <mergeCell ref="A6:F6"/>
    <mergeCell ref="B33:C33"/>
    <mergeCell ref="A1:F1"/>
    <mergeCell ref="A2:F2"/>
    <mergeCell ref="A4:F4"/>
    <mergeCell ref="A3:F3"/>
  </mergeCells>
  <phoneticPr fontId="0" type="noConversion"/>
  <pageMargins left="0.75" right="0.75" top="1" bottom="1" header="0.5" footer="0.5"/>
  <pageSetup scale="83" orientation="portrait" horizontalDpi="4294967293" r:id="rId1"/>
  <headerFooter alignWithMargins="0">
    <oddFooter>&amp;L&amp;Z&amp;F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7" zoomScaleNormal="100" workbookViewId="0">
      <selection activeCell="A24" sqref="A24"/>
    </sheetView>
  </sheetViews>
  <sheetFormatPr defaultColWidth="9.140625" defaultRowHeight="15"/>
  <cols>
    <col min="1" max="1" width="56.42578125" style="299" customWidth="1"/>
    <col min="2" max="2" width="9.140625" style="299"/>
    <col min="3" max="13" width="5.7109375" style="299" customWidth="1"/>
    <col min="14" max="14" width="5.42578125" style="299" bestFit="1" customWidth="1"/>
    <col min="15" max="15" width="8.28515625" style="299" bestFit="1" customWidth="1"/>
    <col min="16" max="16384" width="9.140625" style="299"/>
  </cols>
  <sheetData>
    <row r="1" spans="1:7" ht="15.75">
      <c r="A1" s="575" t="str">
        <f>'Balance sheet'!A1:F1</f>
        <v>Rochester Public Utilities</v>
      </c>
      <c r="B1" s="576"/>
      <c r="C1" s="576"/>
      <c r="D1" s="576"/>
      <c r="E1" s="576"/>
      <c r="F1" s="576"/>
      <c r="G1" s="576"/>
    </row>
    <row r="2" spans="1:7" ht="15.75">
      <c r="A2" s="577" t="s">
        <v>786</v>
      </c>
      <c r="B2" s="577"/>
      <c r="C2" s="577"/>
      <c r="D2" s="577"/>
      <c r="E2" s="577"/>
      <c r="F2" s="577"/>
      <c r="G2" s="577"/>
    </row>
    <row r="3" spans="1:7" ht="15.75">
      <c r="A3" s="300"/>
      <c r="B3" s="300"/>
      <c r="C3" s="300"/>
      <c r="D3" s="300"/>
      <c r="E3" s="300"/>
      <c r="F3" s="300"/>
      <c r="G3" s="300"/>
    </row>
    <row r="4" spans="1:7" ht="22.5">
      <c r="A4" s="301" t="s">
        <v>501</v>
      </c>
    </row>
    <row r="7" spans="1:7">
      <c r="A7" s="302" t="s">
        <v>502</v>
      </c>
      <c r="B7" s="302"/>
      <c r="C7" s="302"/>
      <c r="D7" s="302"/>
    </row>
    <row r="9" spans="1:7" ht="15.75">
      <c r="A9" s="299" t="s">
        <v>503</v>
      </c>
      <c r="B9" s="303">
        <v>0</v>
      </c>
      <c r="D9" s="392"/>
    </row>
    <row r="10" spans="1:7">
      <c r="A10" s="299" t="s">
        <v>504</v>
      </c>
      <c r="B10" s="303">
        <v>0</v>
      </c>
    </row>
    <row r="11" spans="1:7">
      <c r="A11" s="299" t="s">
        <v>505</v>
      </c>
      <c r="B11" s="303">
        <v>0</v>
      </c>
    </row>
    <row r="12" spans="1:7">
      <c r="A12" s="299" t="s">
        <v>506</v>
      </c>
      <c r="B12" s="303">
        <v>0</v>
      </c>
    </row>
    <row r="13" spans="1:7">
      <c r="A13" s="299" t="s">
        <v>507</v>
      </c>
      <c r="B13" s="303">
        <v>0</v>
      </c>
    </row>
    <row r="14" spans="1:7">
      <c r="A14" s="299" t="s">
        <v>508</v>
      </c>
      <c r="B14" s="303">
        <v>12000</v>
      </c>
    </row>
    <row r="15" spans="1:7">
      <c r="A15" s="299" t="s">
        <v>509</v>
      </c>
      <c r="B15" s="303">
        <v>55000</v>
      </c>
    </row>
    <row r="16" spans="1:7">
      <c r="A16" s="299" t="s">
        <v>510</v>
      </c>
      <c r="B16" s="303">
        <v>61000</v>
      </c>
    </row>
    <row r="17" spans="1:3">
      <c r="A17" s="299" t="s">
        <v>511</v>
      </c>
      <c r="B17" s="303">
        <v>35000</v>
      </c>
    </row>
    <row r="18" spans="1:3">
      <c r="A18" s="299" t="s">
        <v>512</v>
      </c>
      <c r="B18" s="303">
        <v>0</v>
      </c>
    </row>
    <row r="19" spans="1:3">
      <c r="A19" s="299" t="s">
        <v>513</v>
      </c>
      <c r="B19" s="303">
        <v>0</v>
      </c>
    </row>
    <row r="20" spans="1:3">
      <c r="A20" s="299" t="s">
        <v>514</v>
      </c>
      <c r="B20" s="304">
        <v>0</v>
      </c>
    </row>
    <row r="21" spans="1:3">
      <c r="A21" s="305" t="s">
        <v>515</v>
      </c>
      <c r="B21" s="303">
        <f>SUM(B9:B20)</f>
        <v>163000</v>
      </c>
    </row>
    <row r="22" spans="1:3">
      <c r="B22" s="303"/>
    </row>
    <row r="23" spans="1:3">
      <c r="A23" s="299" t="s">
        <v>516</v>
      </c>
      <c r="B23" s="411">
        <f>B21/12</f>
        <v>13583.333333333334</v>
      </c>
      <c r="C23" s="299" t="s">
        <v>517</v>
      </c>
    </row>
  </sheetData>
  <mergeCells count="2">
    <mergeCell ref="A1:G1"/>
    <mergeCell ref="A2:G2"/>
  </mergeCells>
  <pageMargins left="0.45" right="0.2" top="0.75" bottom="0.5" header="0.3" footer="0.3"/>
  <pageSetup scale="83" orientation="landscape"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2"/>
  <sheetViews>
    <sheetView zoomScale="70" zoomScaleNormal="70" zoomScaleSheetLayoutView="100" workbookViewId="0">
      <pane xSplit="1" ySplit="7" topLeftCell="B110" activePane="bottomRight" state="frozen"/>
      <selection pane="topRight" activeCell="B1" sqref="B1"/>
      <selection pane="bottomLeft" activeCell="A8" sqref="A8"/>
      <selection pane="bottomRight" activeCell="A4" sqref="A4"/>
    </sheetView>
  </sheetViews>
  <sheetFormatPr defaultColWidth="11.42578125" defaultRowHeight="15.75"/>
  <cols>
    <col min="1" max="1" width="63.7109375" style="308" customWidth="1"/>
    <col min="2" max="2" width="20.28515625" style="308" bestFit="1" customWidth="1"/>
    <col min="3" max="3" width="23.5703125" style="308" customWidth="1"/>
    <col min="4" max="4" width="4.140625" style="308" customWidth="1"/>
    <col min="5" max="5" width="21.5703125" style="308" bestFit="1" customWidth="1"/>
    <col min="6" max="6" width="20.140625" style="308" bestFit="1" customWidth="1"/>
    <col min="7" max="7" width="21.5703125" style="307" bestFit="1" customWidth="1"/>
    <col min="8" max="9" width="22.28515625" style="307" customWidth="1"/>
    <col min="10" max="10" width="20.140625" style="307" customWidth="1"/>
    <col min="11" max="11" width="0.85546875" style="307" customWidth="1"/>
    <col min="12" max="12" width="1.42578125" style="308" customWidth="1"/>
    <col min="13" max="258" width="11.42578125" style="308"/>
    <col min="259" max="259" width="9.140625" style="308" customWidth="1"/>
    <col min="260" max="260" width="0.85546875" style="308" customWidth="1"/>
    <col min="261" max="261" width="1.140625" style="308" customWidth="1"/>
    <col min="262" max="262" width="11.42578125" style="308" customWidth="1"/>
    <col min="263" max="263" width="31.28515625" style="308" customWidth="1"/>
    <col min="264" max="265" width="22.28515625" style="308" customWidth="1"/>
    <col min="266" max="266" width="20.140625" style="308" customWidth="1"/>
    <col min="267" max="267" width="0.85546875" style="308" customWidth="1"/>
    <col min="268" max="268" width="1.42578125" style="308" customWidth="1"/>
    <col min="269" max="514" width="11.42578125" style="308"/>
    <col min="515" max="515" width="9.140625" style="308" customWidth="1"/>
    <col min="516" max="516" width="0.85546875" style="308" customWidth="1"/>
    <col min="517" max="517" width="1.140625" style="308" customWidth="1"/>
    <col min="518" max="518" width="11.42578125" style="308" customWidth="1"/>
    <col min="519" max="519" width="31.28515625" style="308" customWidth="1"/>
    <col min="520" max="521" width="22.28515625" style="308" customWidth="1"/>
    <col min="522" max="522" width="20.140625" style="308" customWidth="1"/>
    <col min="523" max="523" width="0.85546875" style="308" customWidth="1"/>
    <col min="524" max="524" width="1.42578125" style="308" customWidth="1"/>
    <col min="525" max="770" width="11.42578125" style="308"/>
    <col min="771" max="771" width="9.140625" style="308" customWidth="1"/>
    <col min="772" max="772" width="0.85546875" style="308" customWidth="1"/>
    <col min="773" max="773" width="1.140625" style="308" customWidth="1"/>
    <col min="774" max="774" width="11.42578125" style="308" customWidth="1"/>
    <col min="775" max="775" width="31.28515625" style="308" customWidth="1"/>
    <col min="776" max="777" width="22.28515625" style="308" customWidth="1"/>
    <col min="778" max="778" width="20.140625" style="308" customWidth="1"/>
    <col min="779" max="779" width="0.85546875" style="308" customWidth="1"/>
    <col min="780" max="780" width="1.42578125" style="308" customWidth="1"/>
    <col min="781" max="1026" width="11.42578125" style="308"/>
    <col min="1027" max="1027" width="9.140625" style="308" customWidth="1"/>
    <col min="1028" max="1028" width="0.85546875" style="308" customWidth="1"/>
    <col min="1029" max="1029" width="1.140625" style="308" customWidth="1"/>
    <col min="1030" max="1030" width="11.42578125" style="308" customWidth="1"/>
    <col min="1031" max="1031" width="31.28515625" style="308" customWidth="1"/>
    <col min="1032" max="1033" width="22.28515625" style="308" customWidth="1"/>
    <col min="1034" max="1034" width="20.140625" style="308" customWidth="1"/>
    <col min="1035" max="1035" width="0.85546875" style="308" customWidth="1"/>
    <col min="1036" max="1036" width="1.42578125" style="308" customWidth="1"/>
    <col min="1037" max="1282" width="11.42578125" style="308"/>
    <col min="1283" max="1283" width="9.140625" style="308" customWidth="1"/>
    <col min="1284" max="1284" width="0.85546875" style="308" customWidth="1"/>
    <col min="1285" max="1285" width="1.140625" style="308" customWidth="1"/>
    <col min="1286" max="1286" width="11.42578125" style="308" customWidth="1"/>
    <col min="1287" max="1287" width="31.28515625" style="308" customWidth="1"/>
    <col min="1288" max="1289" width="22.28515625" style="308" customWidth="1"/>
    <col min="1290" max="1290" width="20.140625" style="308" customWidth="1"/>
    <col min="1291" max="1291" width="0.85546875" style="308" customWidth="1"/>
    <col min="1292" max="1292" width="1.42578125" style="308" customWidth="1"/>
    <col min="1293" max="1538" width="11.42578125" style="308"/>
    <col min="1539" max="1539" width="9.140625" style="308" customWidth="1"/>
    <col min="1540" max="1540" width="0.85546875" style="308" customWidth="1"/>
    <col min="1541" max="1541" width="1.140625" style="308" customWidth="1"/>
    <col min="1542" max="1542" width="11.42578125" style="308" customWidth="1"/>
    <col min="1543" max="1543" width="31.28515625" style="308" customWidth="1"/>
    <col min="1544" max="1545" width="22.28515625" style="308" customWidth="1"/>
    <col min="1546" max="1546" width="20.140625" style="308" customWidth="1"/>
    <col min="1547" max="1547" width="0.85546875" style="308" customWidth="1"/>
    <col min="1548" max="1548" width="1.42578125" style="308" customWidth="1"/>
    <col min="1549" max="1794" width="11.42578125" style="308"/>
    <col min="1795" max="1795" width="9.140625" style="308" customWidth="1"/>
    <col min="1796" max="1796" width="0.85546875" style="308" customWidth="1"/>
    <col min="1797" max="1797" width="1.140625" style="308" customWidth="1"/>
    <col min="1798" max="1798" width="11.42578125" style="308" customWidth="1"/>
    <col min="1799" max="1799" width="31.28515625" style="308" customWidth="1"/>
    <col min="1800" max="1801" width="22.28515625" style="308" customWidth="1"/>
    <col min="1802" max="1802" width="20.140625" style="308" customWidth="1"/>
    <col min="1803" max="1803" width="0.85546875" style="308" customWidth="1"/>
    <col min="1804" max="1804" width="1.42578125" style="308" customWidth="1"/>
    <col min="1805" max="2050" width="11.42578125" style="308"/>
    <col min="2051" max="2051" width="9.140625" style="308" customWidth="1"/>
    <col min="2052" max="2052" width="0.85546875" style="308" customWidth="1"/>
    <col min="2053" max="2053" width="1.140625" style="308" customWidth="1"/>
    <col min="2054" max="2054" width="11.42578125" style="308" customWidth="1"/>
    <col min="2055" max="2055" width="31.28515625" style="308" customWidth="1"/>
    <col min="2056" max="2057" width="22.28515625" style="308" customWidth="1"/>
    <col min="2058" max="2058" width="20.140625" style="308" customWidth="1"/>
    <col min="2059" max="2059" width="0.85546875" style="308" customWidth="1"/>
    <col min="2060" max="2060" width="1.42578125" style="308" customWidth="1"/>
    <col min="2061" max="2306" width="11.42578125" style="308"/>
    <col min="2307" max="2307" width="9.140625" style="308" customWidth="1"/>
    <col min="2308" max="2308" width="0.85546875" style="308" customWidth="1"/>
    <col min="2309" max="2309" width="1.140625" style="308" customWidth="1"/>
    <col min="2310" max="2310" width="11.42578125" style="308" customWidth="1"/>
    <col min="2311" max="2311" width="31.28515625" style="308" customWidth="1"/>
    <col min="2312" max="2313" width="22.28515625" style="308" customWidth="1"/>
    <col min="2314" max="2314" width="20.140625" style="308" customWidth="1"/>
    <col min="2315" max="2315" width="0.85546875" style="308" customWidth="1"/>
    <col min="2316" max="2316" width="1.42578125" style="308" customWidth="1"/>
    <col min="2317" max="2562" width="11.42578125" style="308"/>
    <col min="2563" max="2563" width="9.140625" style="308" customWidth="1"/>
    <col min="2564" max="2564" width="0.85546875" style="308" customWidth="1"/>
    <col min="2565" max="2565" width="1.140625" style="308" customWidth="1"/>
    <col min="2566" max="2566" width="11.42578125" style="308" customWidth="1"/>
    <col min="2567" max="2567" width="31.28515625" style="308" customWidth="1"/>
    <col min="2568" max="2569" width="22.28515625" style="308" customWidth="1"/>
    <col min="2570" max="2570" width="20.140625" style="308" customWidth="1"/>
    <col min="2571" max="2571" width="0.85546875" style="308" customWidth="1"/>
    <col min="2572" max="2572" width="1.42578125" style="308" customWidth="1"/>
    <col min="2573" max="2818" width="11.42578125" style="308"/>
    <col min="2819" max="2819" width="9.140625" style="308" customWidth="1"/>
    <col min="2820" max="2820" width="0.85546875" style="308" customWidth="1"/>
    <col min="2821" max="2821" width="1.140625" style="308" customWidth="1"/>
    <col min="2822" max="2822" width="11.42578125" style="308" customWidth="1"/>
    <col min="2823" max="2823" width="31.28515625" style="308" customWidth="1"/>
    <col min="2824" max="2825" width="22.28515625" style="308" customWidth="1"/>
    <col min="2826" max="2826" width="20.140625" style="308" customWidth="1"/>
    <col min="2827" max="2827" width="0.85546875" style="308" customWidth="1"/>
    <col min="2828" max="2828" width="1.42578125" style="308" customWidth="1"/>
    <col min="2829" max="3074" width="11.42578125" style="308"/>
    <col min="3075" max="3075" width="9.140625" style="308" customWidth="1"/>
    <col min="3076" max="3076" width="0.85546875" style="308" customWidth="1"/>
    <col min="3077" max="3077" width="1.140625" style="308" customWidth="1"/>
    <col min="3078" max="3078" width="11.42578125" style="308" customWidth="1"/>
    <col min="3079" max="3079" width="31.28515625" style="308" customWidth="1"/>
    <col min="3080" max="3081" width="22.28515625" style="308" customWidth="1"/>
    <col min="3082" max="3082" width="20.140625" style="308" customWidth="1"/>
    <col min="3083" max="3083" width="0.85546875" style="308" customWidth="1"/>
    <col min="3084" max="3084" width="1.42578125" style="308" customWidth="1"/>
    <col min="3085" max="3330" width="11.42578125" style="308"/>
    <col min="3331" max="3331" width="9.140625" style="308" customWidth="1"/>
    <col min="3332" max="3332" width="0.85546875" style="308" customWidth="1"/>
    <col min="3333" max="3333" width="1.140625" style="308" customWidth="1"/>
    <col min="3334" max="3334" width="11.42578125" style="308" customWidth="1"/>
    <col min="3335" max="3335" width="31.28515625" style="308" customWidth="1"/>
    <col min="3336" max="3337" width="22.28515625" style="308" customWidth="1"/>
    <col min="3338" max="3338" width="20.140625" style="308" customWidth="1"/>
    <col min="3339" max="3339" width="0.85546875" style="308" customWidth="1"/>
    <col min="3340" max="3340" width="1.42578125" style="308" customWidth="1"/>
    <col min="3341" max="3586" width="11.42578125" style="308"/>
    <col min="3587" max="3587" width="9.140625" style="308" customWidth="1"/>
    <col min="3588" max="3588" width="0.85546875" style="308" customWidth="1"/>
    <col min="3589" max="3589" width="1.140625" style="308" customWidth="1"/>
    <col min="3590" max="3590" width="11.42578125" style="308" customWidth="1"/>
    <col min="3591" max="3591" width="31.28515625" style="308" customWidth="1"/>
    <col min="3592" max="3593" width="22.28515625" style="308" customWidth="1"/>
    <col min="3594" max="3594" width="20.140625" style="308" customWidth="1"/>
    <col min="3595" max="3595" width="0.85546875" style="308" customWidth="1"/>
    <col min="3596" max="3596" width="1.42578125" style="308" customWidth="1"/>
    <col min="3597" max="3842" width="11.42578125" style="308"/>
    <col min="3843" max="3843" width="9.140625" style="308" customWidth="1"/>
    <col min="3844" max="3844" width="0.85546875" style="308" customWidth="1"/>
    <col min="3845" max="3845" width="1.140625" style="308" customWidth="1"/>
    <col min="3846" max="3846" width="11.42578125" style="308" customWidth="1"/>
    <col min="3847" max="3847" width="31.28515625" style="308" customWidth="1"/>
    <col min="3848" max="3849" width="22.28515625" style="308" customWidth="1"/>
    <col min="3850" max="3850" width="20.140625" style="308" customWidth="1"/>
    <col min="3851" max="3851" width="0.85546875" style="308" customWidth="1"/>
    <col min="3852" max="3852" width="1.42578125" style="308" customWidth="1"/>
    <col min="3853" max="4098" width="11.42578125" style="308"/>
    <col min="4099" max="4099" width="9.140625" style="308" customWidth="1"/>
    <col min="4100" max="4100" width="0.85546875" style="308" customWidth="1"/>
    <col min="4101" max="4101" width="1.140625" style="308" customWidth="1"/>
    <col min="4102" max="4102" width="11.42578125" style="308" customWidth="1"/>
    <col min="4103" max="4103" width="31.28515625" style="308" customWidth="1"/>
    <col min="4104" max="4105" width="22.28515625" style="308" customWidth="1"/>
    <col min="4106" max="4106" width="20.140625" style="308" customWidth="1"/>
    <col min="4107" max="4107" width="0.85546875" style="308" customWidth="1"/>
    <col min="4108" max="4108" width="1.42578125" style="308" customWidth="1"/>
    <col min="4109" max="4354" width="11.42578125" style="308"/>
    <col min="4355" max="4355" width="9.140625" style="308" customWidth="1"/>
    <col min="4356" max="4356" width="0.85546875" style="308" customWidth="1"/>
    <col min="4357" max="4357" width="1.140625" style="308" customWidth="1"/>
    <col min="4358" max="4358" width="11.42578125" style="308" customWidth="1"/>
    <col min="4359" max="4359" width="31.28515625" style="308" customWidth="1"/>
    <col min="4360" max="4361" width="22.28515625" style="308" customWidth="1"/>
    <col min="4362" max="4362" width="20.140625" style="308" customWidth="1"/>
    <col min="4363" max="4363" width="0.85546875" style="308" customWidth="1"/>
    <col min="4364" max="4364" width="1.42578125" style="308" customWidth="1"/>
    <col min="4365" max="4610" width="11.42578125" style="308"/>
    <col min="4611" max="4611" width="9.140625" style="308" customWidth="1"/>
    <col min="4612" max="4612" width="0.85546875" style="308" customWidth="1"/>
    <col min="4613" max="4613" width="1.140625" style="308" customWidth="1"/>
    <col min="4614" max="4614" width="11.42578125" style="308" customWidth="1"/>
    <col min="4615" max="4615" width="31.28515625" style="308" customWidth="1"/>
    <col min="4616" max="4617" width="22.28515625" style="308" customWidth="1"/>
    <col min="4618" max="4618" width="20.140625" style="308" customWidth="1"/>
    <col min="4619" max="4619" width="0.85546875" style="308" customWidth="1"/>
    <col min="4620" max="4620" width="1.42578125" style="308" customWidth="1"/>
    <col min="4621" max="4866" width="11.42578125" style="308"/>
    <col min="4867" max="4867" width="9.140625" style="308" customWidth="1"/>
    <col min="4868" max="4868" width="0.85546875" style="308" customWidth="1"/>
    <col min="4869" max="4869" width="1.140625" style="308" customWidth="1"/>
    <col min="4870" max="4870" width="11.42578125" style="308" customWidth="1"/>
    <col min="4871" max="4871" width="31.28515625" style="308" customWidth="1"/>
    <col min="4872" max="4873" width="22.28515625" style="308" customWidth="1"/>
    <col min="4874" max="4874" width="20.140625" style="308" customWidth="1"/>
    <col min="4875" max="4875" width="0.85546875" style="308" customWidth="1"/>
    <col min="4876" max="4876" width="1.42578125" style="308" customWidth="1"/>
    <col min="4877" max="5122" width="11.42578125" style="308"/>
    <col min="5123" max="5123" width="9.140625" style="308" customWidth="1"/>
    <col min="5124" max="5124" width="0.85546875" style="308" customWidth="1"/>
    <col min="5125" max="5125" width="1.140625" style="308" customWidth="1"/>
    <col min="5126" max="5126" width="11.42578125" style="308" customWidth="1"/>
    <col min="5127" max="5127" width="31.28515625" style="308" customWidth="1"/>
    <col min="5128" max="5129" width="22.28515625" style="308" customWidth="1"/>
    <col min="5130" max="5130" width="20.140625" style="308" customWidth="1"/>
    <col min="5131" max="5131" width="0.85546875" style="308" customWidth="1"/>
    <col min="5132" max="5132" width="1.42578125" style="308" customWidth="1"/>
    <col min="5133" max="5378" width="11.42578125" style="308"/>
    <col min="5379" max="5379" width="9.140625" style="308" customWidth="1"/>
    <col min="5380" max="5380" width="0.85546875" style="308" customWidth="1"/>
    <col min="5381" max="5381" width="1.140625" style="308" customWidth="1"/>
    <col min="5382" max="5382" width="11.42578125" style="308" customWidth="1"/>
    <col min="5383" max="5383" width="31.28515625" style="308" customWidth="1"/>
    <col min="5384" max="5385" width="22.28515625" style="308" customWidth="1"/>
    <col min="5386" max="5386" width="20.140625" style="308" customWidth="1"/>
    <col min="5387" max="5387" width="0.85546875" style="308" customWidth="1"/>
    <col min="5388" max="5388" width="1.42578125" style="308" customWidth="1"/>
    <col min="5389" max="5634" width="11.42578125" style="308"/>
    <col min="5635" max="5635" width="9.140625" style="308" customWidth="1"/>
    <col min="5636" max="5636" width="0.85546875" style="308" customWidth="1"/>
    <col min="5637" max="5637" width="1.140625" style="308" customWidth="1"/>
    <col min="5638" max="5638" width="11.42578125" style="308" customWidth="1"/>
    <col min="5639" max="5639" width="31.28515625" style="308" customWidth="1"/>
    <col min="5640" max="5641" width="22.28515625" style="308" customWidth="1"/>
    <col min="5642" max="5642" width="20.140625" style="308" customWidth="1"/>
    <col min="5643" max="5643" width="0.85546875" style="308" customWidth="1"/>
    <col min="5644" max="5644" width="1.42578125" style="308" customWidth="1"/>
    <col min="5645" max="5890" width="11.42578125" style="308"/>
    <col min="5891" max="5891" width="9.140625" style="308" customWidth="1"/>
    <col min="5892" max="5892" width="0.85546875" style="308" customWidth="1"/>
    <col min="5893" max="5893" width="1.140625" style="308" customWidth="1"/>
    <col min="5894" max="5894" width="11.42578125" style="308" customWidth="1"/>
    <col min="5895" max="5895" width="31.28515625" style="308" customWidth="1"/>
    <col min="5896" max="5897" width="22.28515625" style="308" customWidth="1"/>
    <col min="5898" max="5898" width="20.140625" style="308" customWidth="1"/>
    <col min="5899" max="5899" width="0.85546875" style="308" customWidth="1"/>
    <col min="5900" max="5900" width="1.42578125" style="308" customWidth="1"/>
    <col min="5901" max="6146" width="11.42578125" style="308"/>
    <col min="6147" max="6147" width="9.140625" style="308" customWidth="1"/>
    <col min="6148" max="6148" width="0.85546875" style="308" customWidth="1"/>
    <col min="6149" max="6149" width="1.140625" style="308" customWidth="1"/>
    <col min="6150" max="6150" width="11.42578125" style="308" customWidth="1"/>
    <col min="6151" max="6151" width="31.28515625" style="308" customWidth="1"/>
    <col min="6152" max="6153" width="22.28515625" style="308" customWidth="1"/>
    <col min="6154" max="6154" width="20.140625" style="308" customWidth="1"/>
    <col min="6155" max="6155" width="0.85546875" style="308" customWidth="1"/>
    <col min="6156" max="6156" width="1.42578125" style="308" customWidth="1"/>
    <col min="6157" max="6402" width="11.42578125" style="308"/>
    <col min="6403" max="6403" width="9.140625" style="308" customWidth="1"/>
    <col min="6404" max="6404" width="0.85546875" style="308" customWidth="1"/>
    <col min="6405" max="6405" width="1.140625" style="308" customWidth="1"/>
    <col min="6406" max="6406" width="11.42578125" style="308" customWidth="1"/>
    <col min="6407" max="6407" width="31.28515625" style="308" customWidth="1"/>
    <col min="6408" max="6409" width="22.28515625" style="308" customWidth="1"/>
    <col min="6410" max="6410" width="20.140625" style="308" customWidth="1"/>
    <col min="6411" max="6411" width="0.85546875" style="308" customWidth="1"/>
    <col min="6412" max="6412" width="1.42578125" style="308" customWidth="1"/>
    <col min="6413" max="6658" width="11.42578125" style="308"/>
    <col min="6659" max="6659" width="9.140625" style="308" customWidth="1"/>
    <col min="6660" max="6660" width="0.85546875" style="308" customWidth="1"/>
    <col min="6661" max="6661" width="1.140625" style="308" customWidth="1"/>
    <col min="6662" max="6662" width="11.42578125" style="308" customWidth="1"/>
    <col min="6663" max="6663" width="31.28515625" style="308" customWidth="1"/>
    <col min="6664" max="6665" width="22.28515625" style="308" customWidth="1"/>
    <col min="6666" max="6666" width="20.140625" style="308" customWidth="1"/>
    <col min="6667" max="6667" width="0.85546875" style="308" customWidth="1"/>
    <col min="6668" max="6668" width="1.42578125" style="308" customWidth="1"/>
    <col min="6669" max="6914" width="11.42578125" style="308"/>
    <col min="6915" max="6915" width="9.140625" style="308" customWidth="1"/>
    <col min="6916" max="6916" width="0.85546875" style="308" customWidth="1"/>
    <col min="6917" max="6917" width="1.140625" style="308" customWidth="1"/>
    <col min="6918" max="6918" width="11.42578125" style="308" customWidth="1"/>
    <col min="6919" max="6919" width="31.28515625" style="308" customWidth="1"/>
    <col min="6920" max="6921" width="22.28515625" style="308" customWidth="1"/>
    <col min="6922" max="6922" width="20.140625" style="308" customWidth="1"/>
    <col min="6923" max="6923" width="0.85546875" style="308" customWidth="1"/>
    <col min="6924" max="6924" width="1.42578125" style="308" customWidth="1"/>
    <col min="6925" max="7170" width="11.42578125" style="308"/>
    <col min="7171" max="7171" width="9.140625" style="308" customWidth="1"/>
    <col min="7172" max="7172" width="0.85546875" style="308" customWidth="1"/>
    <col min="7173" max="7173" width="1.140625" style="308" customWidth="1"/>
    <col min="7174" max="7174" width="11.42578125" style="308" customWidth="1"/>
    <col min="7175" max="7175" width="31.28515625" style="308" customWidth="1"/>
    <col min="7176" max="7177" width="22.28515625" style="308" customWidth="1"/>
    <col min="7178" max="7178" width="20.140625" style="308" customWidth="1"/>
    <col min="7179" max="7179" width="0.85546875" style="308" customWidth="1"/>
    <col min="7180" max="7180" width="1.42578125" style="308" customWidth="1"/>
    <col min="7181" max="7426" width="11.42578125" style="308"/>
    <col min="7427" max="7427" width="9.140625" style="308" customWidth="1"/>
    <col min="7428" max="7428" width="0.85546875" style="308" customWidth="1"/>
    <col min="7429" max="7429" width="1.140625" style="308" customWidth="1"/>
    <col min="7430" max="7430" width="11.42578125" style="308" customWidth="1"/>
    <col min="7431" max="7431" width="31.28515625" style="308" customWidth="1"/>
    <col min="7432" max="7433" width="22.28515625" style="308" customWidth="1"/>
    <col min="7434" max="7434" width="20.140625" style="308" customWidth="1"/>
    <col min="7435" max="7435" width="0.85546875" style="308" customWidth="1"/>
    <col min="7436" max="7436" width="1.42578125" style="308" customWidth="1"/>
    <col min="7437" max="7682" width="11.42578125" style="308"/>
    <col min="7683" max="7683" width="9.140625" style="308" customWidth="1"/>
    <col min="7684" max="7684" width="0.85546875" style="308" customWidth="1"/>
    <col min="7685" max="7685" width="1.140625" style="308" customWidth="1"/>
    <col min="7686" max="7686" width="11.42578125" style="308" customWidth="1"/>
    <col min="7687" max="7687" width="31.28515625" style="308" customWidth="1"/>
    <col min="7688" max="7689" width="22.28515625" style="308" customWidth="1"/>
    <col min="7690" max="7690" width="20.140625" style="308" customWidth="1"/>
    <col min="7691" max="7691" width="0.85546875" style="308" customWidth="1"/>
    <col min="7692" max="7692" width="1.42578125" style="308" customWidth="1"/>
    <col min="7693" max="7938" width="11.42578125" style="308"/>
    <col min="7939" max="7939" width="9.140625" style="308" customWidth="1"/>
    <col min="7940" max="7940" width="0.85546875" style="308" customWidth="1"/>
    <col min="7941" max="7941" width="1.140625" style="308" customWidth="1"/>
    <col min="7942" max="7942" width="11.42578125" style="308" customWidth="1"/>
    <col min="7943" max="7943" width="31.28515625" style="308" customWidth="1"/>
    <col min="7944" max="7945" width="22.28515625" style="308" customWidth="1"/>
    <col min="7946" max="7946" width="20.140625" style="308" customWidth="1"/>
    <col min="7947" max="7947" width="0.85546875" style="308" customWidth="1"/>
    <col min="7948" max="7948" width="1.42578125" style="308" customWidth="1"/>
    <col min="7949" max="8194" width="11.42578125" style="308"/>
    <col min="8195" max="8195" width="9.140625" style="308" customWidth="1"/>
    <col min="8196" max="8196" width="0.85546875" style="308" customWidth="1"/>
    <col min="8197" max="8197" width="1.140625" style="308" customWidth="1"/>
    <col min="8198" max="8198" width="11.42578125" style="308" customWidth="1"/>
    <col min="8199" max="8199" width="31.28515625" style="308" customWidth="1"/>
    <col min="8200" max="8201" width="22.28515625" style="308" customWidth="1"/>
    <col min="8202" max="8202" width="20.140625" style="308" customWidth="1"/>
    <col min="8203" max="8203" width="0.85546875" style="308" customWidth="1"/>
    <col min="8204" max="8204" width="1.42578125" style="308" customWidth="1"/>
    <col min="8205" max="8450" width="11.42578125" style="308"/>
    <col min="8451" max="8451" width="9.140625" style="308" customWidth="1"/>
    <col min="8452" max="8452" width="0.85546875" style="308" customWidth="1"/>
    <col min="8453" max="8453" width="1.140625" style="308" customWidth="1"/>
    <col min="8454" max="8454" width="11.42578125" style="308" customWidth="1"/>
    <col min="8455" max="8455" width="31.28515625" style="308" customWidth="1"/>
    <col min="8456" max="8457" width="22.28515625" style="308" customWidth="1"/>
    <col min="8458" max="8458" width="20.140625" style="308" customWidth="1"/>
    <col min="8459" max="8459" width="0.85546875" style="308" customWidth="1"/>
    <col min="8460" max="8460" width="1.42578125" style="308" customWidth="1"/>
    <col min="8461" max="8706" width="11.42578125" style="308"/>
    <col min="8707" max="8707" width="9.140625" style="308" customWidth="1"/>
    <col min="8708" max="8708" width="0.85546875" style="308" customWidth="1"/>
    <col min="8709" max="8709" width="1.140625" style="308" customWidth="1"/>
    <col min="8710" max="8710" width="11.42578125" style="308" customWidth="1"/>
    <col min="8711" max="8711" width="31.28515625" style="308" customWidth="1"/>
    <col min="8712" max="8713" width="22.28515625" style="308" customWidth="1"/>
    <col min="8714" max="8714" width="20.140625" style="308" customWidth="1"/>
    <col min="8715" max="8715" width="0.85546875" style="308" customWidth="1"/>
    <col min="8716" max="8716" width="1.42578125" style="308" customWidth="1"/>
    <col min="8717" max="8962" width="11.42578125" style="308"/>
    <col min="8963" max="8963" width="9.140625" style="308" customWidth="1"/>
    <col min="8964" max="8964" width="0.85546875" style="308" customWidth="1"/>
    <col min="8965" max="8965" width="1.140625" style="308" customWidth="1"/>
    <col min="8966" max="8966" width="11.42578125" style="308" customWidth="1"/>
    <col min="8967" max="8967" width="31.28515625" style="308" customWidth="1"/>
    <col min="8968" max="8969" width="22.28515625" style="308" customWidth="1"/>
    <col min="8970" max="8970" width="20.140625" style="308" customWidth="1"/>
    <col min="8971" max="8971" width="0.85546875" style="308" customWidth="1"/>
    <col min="8972" max="8972" width="1.42578125" style="308" customWidth="1"/>
    <col min="8973" max="9218" width="11.42578125" style="308"/>
    <col min="9219" max="9219" width="9.140625" style="308" customWidth="1"/>
    <col min="9220" max="9220" width="0.85546875" style="308" customWidth="1"/>
    <col min="9221" max="9221" width="1.140625" style="308" customWidth="1"/>
    <col min="9222" max="9222" width="11.42578125" style="308" customWidth="1"/>
    <col min="9223" max="9223" width="31.28515625" style="308" customWidth="1"/>
    <col min="9224" max="9225" width="22.28515625" style="308" customWidth="1"/>
    <col min="9226" max="9226" width="20.140625" style="308" customWidth="1"/>
    <col min="9227" max="9227" width="0.85546875" style="308" customWidth="1"/>
    <col min="9228" max="9228" width="1.42578125" style="308" customWidth="1"/>
    <col min="9229" max="9474" width="11.42578125" style="308"/>
    <col min="9475" max="9475" width="9.140625" style="308" customWidth="1"/>
    <col min="9476" max="9476" width="0.85546875" style="308" customWidth="1"/>
    <col min="9477" max="9477" width="1.140625" style="308" customWidth="1"/>
    <col min="9478" max="9478" width="11.42578125" style="308" customWidth="1"/>
    <col min="9479" max="9479" width="31.28515625" style="308" customWidth="1"/>
    <col min="9480" max="9481" width="22.28515625" style="308" customWidth="1"/>
    <col min="9482" max="9482" width="20.140625" style="308" customWidth="1"/>
    <col min="9483" max="9483" width="0.85546875" style="308" customWidth="1"/>
    <col min="9484" max="9484" width="1.42578125" style="308" customWidth="1"/>
    <col min="9485" max="9730" width="11.42578125" style="308"/>
    <col min="9731" max="9731" width="9.140625" style="308" customWidth="1"/>
    <col min="9732" max="9732" width="0.85546875" style="308" customWidth="1"/>
    <col min="9733" max="9733" width="1.140625" style="308" customWidth="1"/>
    <col min="9734" max="9734" width="11.42578125" style="308" customWidth="1"/>
    <col min="9735" max="9735" width="31.28515625" style="308" customWidth="1"/>
    <col min="9736" max="9737" width="22.28515625" style="308" customWidth="1"/>
    <col min="9738" max="9738" width="20.140625" style="308" customWidth="1"/>
    <col min="9739" max="9739" width="0.85546875" style="308" customWidth="1"/>
    <col min="9740" max="9740" width="1.42578125" style="308" customWidth="1"/>
    <col min="9741" max="9986" width="11.42578125" style="308"/>
    <col min="9987" max="9987" width="9.140625" style="308" customWidth="1"/>
    <col min="9988" max="9988" width="0.85546875" style="308" customWidth="1"/>
    <col min="9989" max="9989" width="1.140625" style="308" customWidth="1"/>
    <col min="9990" max="9990" width="11.42578125" style="308" customWidth="1"/>
    <col min="9991" max="9991" width="31.28515625" style="308" customWidth="1"/>
    <col min="9992" max="9993" width="22.28515625" style="308" customWidth="1"/>
    <col min="9994" max="9994" width="20.140625" style="308" customWidth="1"/>
    <col min="9995" max="9995" width="0.85546875" style="308" customWidth="1"/>
    <col min="9996" max="9996" width="1.42578125" style="308" customWidth="1"/>
    <col min="9997" max="10242" width="11.42578125" style="308"/>
    <col min="10243" max="10243" width="9.140625" style="308" customWidth="1"/>
    <col min="10244" max="10244" width="0.85546875" style="308" customWidth="1"/>
    <col min="10245" max="10245" width="1.140625" style="308" customWidth="1"/>
    <col min="10246" max="10246" width="11.42578125" style="308" customWidth="1"/>
    <col min="10247" max="10247" width="31.28515625" style="308" customWidth="1"/>
    <col min="10248" max="10249" width="22.28515625" style="308" customWidth="1"/>
    <col min="10250" max="10250" width="20.140625" style="308" customWidth="1"/>
    <col min="10251" max="10251" width="0.85546875" style="308" customWidth="1"/>
    <col min="10252" max="10252" width="1.42578125" style="308" customWidth="1"/>
    <col min="10253" max="10498" width="11.42578125" style="308"/>
    <col min="10499" max="10499" width="9.140625" style="308" customWidth="1"/>
    <col min="10500" max="10500" width="0.85546875" style="308" customWidth="1"/>
    <col min="10501" max="10501" width="1.140625" style="308" customWidth="1"/>
    <col min="10502" max="10502" width="11.42578125" style="308" customWidth="1"/>
    <col min="10503" max="10503" width="31.28515625" style="308" customWidth="1"/>
    <col min="10504" max="10505" width="22.28515625" style="308" customWidth="1"/>
    <col min="10506" max="10506" width="20.140625" style="308" customWidth="1"/>
    <col min="10507" max="10507" width="0.85546875" style="308" customWidth="1"/>
    <col min="10508" max="10508" width="1.42578125" style="308" customWidth="1"/>
    <col min="10509" max="10754" width="11.42578125" style="308"/>
    <col min="10755" max="10755" width="9.140625" style="308" customWidth="1"/>
    <col min="10756" max="10756" width="0.85546875" style="308" customWidth="1"/>
    <col min="10757" max="10757" width="1.140625" style="308" customWidth="1"/>
    <col min="10758" max="10758" width="11.42578125" style="308" customWidth="1"/>
    <col min="10759" max="10759" width="31.28515625" style="308" customWidth="1"/>
    <col min="10760" max="10761" width="22.28515625" style="308" customWidth="1"/>
    <col min="10762" max="10762" width="20.140625" style="308" customWidth="1"/>
    <col min="10763" max="10763" width="0.85546875" style="308" customWidth="1"/>
    <col min="10764" max="10764" width="1.42578125" style="308" customWidth="1"/>
    <col min="10765" max="11010" width="11.42578125" style="308"/>
    <col min="11011" max="11011" width="9.140625" style="308" customWidth="1"/>
    <col min="11012" max="11012" width="0.85546875" style="308" customWidth="1"/>
    <col min="11013" max="11013" width="1.140625" style="308" customWidth="1"/>
    <col min="11014" max="11014" width="11.42578125" style="308" customWidth="1"/>
    <col min="11015" max="11015" width="31.28515625" style="308" customWidth="1"/>
    <col min="11016" max="11017" width="22.28515625" style="308" customWidth="1"/>
    <col min="11018" max="11018" width="20.140625" style="308" customWidth="1"/>
    <col min="11019" max="11019" width="0.85546875" style="308" customWidth="1"/>
    <col min="11020" max="11020" width="1.42578125" style="308" customWidth="1"/>
    <col min="11021" max="11266" width="11.42578125" style="308"/>
    <col min="11267" max="11267" width="9.140625" style="308" customWidth="1"/>
    <col min="11268" max="11268" width="0.85546875" style="308" customWidth="1"/>
    <col min="11269" max="11269" width="1.140625" style="308" customWidth="1"/>
    <col min="11270" max="11270" width="11.42578125" style="308" customWidth="1"/>
    <col min="11271" max="11271" width="31.28515625" style="308" customWidth="1"/>
    <col min="11272" max="11273" width="22.28515625" style="308" customWidth="1"/>
    <col min="11274" max="11274" width="20.140625" style="308" customWidth="1"/>
    <col min="11275" max="11275" width="0.85546875" style="308" customWidth="1"/>
    <col min="11276" max="11276" width="1.42578125" style="308" customWidth="1"/>
    <col min="11277" max="11522" width="11.42578125" style="308"/>
    <col min="11523" max="11523" width="9.140625" style="308" customWidth="1"/>
    <col min="11524" max="11524" width="0.85546875" style="308" customWidth="1"/>
    <col min="11525" max="11525" width="1.140625" style="308" customWidth="1"/>
    <col min="11526" max="11526" width="11.42578125" style="308" customWidth="1"/>
    <col min="11527" max="11527" width="31.28515625" style="308" customWidth="1"/>
    <col min="11528" max="11529" width="22.28515625" style="308" customWidth="1"/>
    <col min="11530" max="11530" width="20.140625" style="308" customWidth="1"/>
    <col min="11531" max="11531" width="0.85546875" style="308" customWidth="1"/>
    <col min="11532" max="11532" width="1.42578125" style="308" customWidth="1"/>
    <col min="11533" max="11778" width="11.42578125" style="308"/>
    <col min="11779" max="11779" width="9.140625" style="308" customWidth="1"/>
    <col min="11780" max="11780" width="0.85546875" style="308" customWidth="1"/>
    <col min="11781" max="11781" width="1.140625" style="308" customWidth="1"/>
    <col min="11782" max="11782" width="11.42578125" style="308" customWidth="1"/>
    <col min="11783" max="11783" width="31.28515625" style="308" customWidth="1"/>
    <col min="11784" max="11785" width="22.28515625" style="308" customWidth="1"/>
    <col min="11786" max="11786" width="20.140625" style="308" customWidth="1"/>
    <col min="11787" max="11787" width="0.85546875" style="308" customWidth="1"/>
    <col min="11788" max="11788" width="1.42578125" style="308" customWidth="1"/>
    <col min="11789" max="12034" width="11.42578125" style="308"/>
    <col min="12035" max="12035" width="9.140625" style="308" customWidth="1"/>
    <col min="12036" max="12036" width="0.85546875" style="308" customWidth="1"/>
    <col min="12037" max="12037" width="1.140625" style="308" customWidth="1"/>
    <col min="12038" max="12038" width="11.42578125" style="308" customWidth="1"/>
    <col min="12039" max="12039" width="31.28515625" style="308" customWidth="1"/>
    <col min="12040" max="12041" width="22.28515625" style="308" customWidth="1"/>
    <col min="12042" max="12042" width="20.140625" style="308" customWidth="1"/>
    <col min="12043" max="12043" width="0.85546875" style="308" customWidth="1"/>
    <col min="12044" max="12044" width="1.42578125" style="308" customWidth="1"/>
    <col min="12045" max="12290" width="11.42578125" style="308"/>
    <col min="12291" max="12291" width="9.140625" style="308" customWidth="1"/>
    <col min="12292" max="12292" width="0.85546875" style="308" customWidth="1"/>
    <col min="12293" max="12293" width="1.140625" style="308" customWidth="1"/>
    <col min="12294" max="12294" width="11.42578125" style="308" customWidth="1"/>
    <col min="12295" max="12295" width="31.28515625" style="308" customWidth="1"/>
    <col min="12296" max="12297" width="22.28515625" style="308" customWidth="1"/>
    <col min="12298" max="12298" width="20.140625" style="308" customWidth="1"/>
    <col min="12299" max="12299" width="0.85546875" style="308" customWidth="1"/>
    <col min="12300" max="12300" width="1.42578125" style="308" customWidth="1"/>
    <col min="12301" max="12546" width="11.42578125" style="308"/>
    <col min="12547" max="12547" width="9.140625" style="308" customWidth="1"/>
    <col min="12548" max="12548" width="0.85546875" style="308" customWidth="1"/>
    <col min="12549" max="12549" width="1.140625" style="308" customWidth="1"/>
    <col min="12550" max="12550" width="11.42578125" style="308" customWidth="1"/>
    <col min="12551" max="12551" width="31.28515625" style="308" customWidth="1"/>
    <col min="12552" max="12553" width="22.28515625" style="308" customWidth="1"/>
    <col min="12554" max="12554" width="20.140625" style="308" customWidth="1"/>
    <col min="12555" max="12555" width="0.85546875" style="308" customWidth="1"/>
    <col min="12556" max="12556" width="1.42578125" style="308" customWidth="1"/>
    <col min="12557" max="12802" width="11.42578125" style="308"/>
    <col min="12803" max="12803" width="9.140625" style="308" customWidth="1"/>
    <col min="12804" max="12804" width="0.85546875" style="308" customWidth="1"/>
    <col min="12805" max="12805" width="1.140625" style="308" customWidth="1"/>
    <col min="12806" max="12806" width="11.42578125" style="308" customWidth="1"/>
    <col min="12807" max="12807" width="31.28515625" style="308" customWidth="1"/>
    <col min="12808" max="12809" width="22.28515625" style="308" customWidth="1"/>
    <col min="12810" max="12810" width="20.140625" style="308" customWidth="1"/>
    <col min="12811" max="12811" width="0.85546875" style="308" customWidth="1"/>
    <col min="12812" max="12812" width="1.42578125" style="308" customWidth="1"/>
    <col min="12813" max="13058" width="11.42578125" style="308"/>
    <col min="13059" max="13059" width="9.140625" style="308" customWidth="1"/>
    <col min="13060" max="13060" width="0.85546875" style="308" customWidth="1"/>
    <col min="13061" max="13061" width="1.140625" style="308" customWidth="1"/>
    <col min="13062" max="13062" width="11.42578125" style="308" customWidth="1"/>
    <col min="13063" max="13063" width="31.28515625" style="308" customWidth="1"/>
    <col min="13064" max="13065" width="22.28515625" style="308" customWidth="1"/>
    <col min="13066" max="13066" width="20.140625" style="308" customWidth="1"/>
    <col min="13067" max="13067" width="0.85546875" style="308" customWidth="1"/>
    <col min="13068" max="13068" width="1.42578125" style="308" customWidth="1"/>
    <col min="13069" max="13314" width="11.42578125" style="308"/>
    <col min="13315" max="13315" width="9.140625" style="308" customWidth="1"/>
    <col min="13316" max="13316" width="0.85546875" style="308" customWidth="1"/>
    <col min="13317" max="13317" width="1.140625" style="308" customWidth="1"/>
    <col min="13318" max="13318" width="11.42578125" style="308" customWidth="1"/>
    <col min="13319" max="13319" width="31.28515625" style="308" customWidth="1"/>
    <col min="13320" max="13321" width="22.28515625" style="308" customWidth="1"/>
    <col min="13322" max="13322" width="20.140625" style="308" customWidth="1"/>
    <col min="13323" max="13323" width="0.85546875" style="308" customWidth="1"/>
    <col min="13324" max="13324" width="1.42578125" style="308" customWidth="1"/>
    <col min="13325" max="13570" width="11.42578125" style="308"/>
    <col min="13571" max="13571" width="9.140625" style="308" customWidth="1"/>
    <col min="13572" max="13572" width="0.85546875" style="308" customWidth="1"/>
    <col min="13573" max="13573" width="1.140625" style="308" customWidth="1"/>
    <col min="13574" max="13574" width="11.42578125" style="308" customWidth="1"/>
    <col min="13575" max="13575" width="31.28515625" style="308" customWidth="1"/>
    <col min="13576" max="13577" width="22.28515625" style="308" customWidth="1"/>
    <col min="13578" max="13578" width="20.140625" style="308" customWidth="1"/>
    <col min="13579" max="13579" width="0.85546875" style="308" customWidth="1"/>
    <col min="13580" max="13580" width="1.42578125" style="308" customWidth="1"/>
    <col min="13581" max="13826" width="11.42578125" style="308"/>
    <col min="13827" max="13827" width="9.140625" style="308" customWidth="1"/>
    <col min="13828" max="13828" width="0.85546875" style="308" customWidth="1"/>
    <col min="13829" max="13829" width="1.140625" style="308" customWidth="1"/>
    <col min="13830" max="13830" width="11.42578125" style="308" customWidth="1"/>
    <col min="13831" max="13831" width="31.28515625" style="308" customWidth="1"/>
    <col min="13832" max="13833" width="22.28515625" style="308" customWidth="1"/>
    <col min="13834" max="13834" width="20.140625" style="308" customWidth="1"/>
    <col min="13835" max="13835" width="0.85546875" style="308" customWidth="1"/>
    <col min="13836" max="13836" width="1.42578125" style="308" customWidth="1"/>
    <col min="13837" max="14082" width="11.42578125" style="308"/>
    <col min="14083" max="14083" width="9.140625" style="308" customWidth="1"/>
    <col min="14084" max="14084" width="0.85546875" style="308" customWidth="1"/>
    <col min="14085" max="14085" width="1.140625" style="308" customWidth="1"/>
    <col min="14086" max="14086" width="11.42578125" style="308" customWidth="1"/>
    <col min="14087" max="14087" width="31.28515625" style="308" customWidth="1"/>
    <col min="14088" max="14089" width="22.28515625" style="308" customWidth="1"/>
    <col min="14090" max="14090" width="20.140625" style="308" customWidth="1"/>
    <col min="14091" max="14091" width="0.85546875" style="308" customWidth="1"/>
    <col min="14092" max="14092" width="1.42578125" style="308" customWidth="1"/>
    <col min="14093" max="14338" width="11.42578125" style="308"/>
    <col min="14339" max="14339" width="9.140625" style="308" customWidth="1"/>
    <col min="14340" max="14340" width="0.85546875" style="308" customWidth="1"/>
    <col min="14341" max="14341" width="1.140625" style="308" customWidth="1"/>
    <col min="14342" max="14342" width="11.42578125" style="308" customWidth="1"/>
    <col min="14343" max="14343" width="31.28515625" style="308" customWidth="1"/>
    <col min="14344" max="14345" width="22.28515625" style="308" customWidth="1"/>
    <col min="14346" max="14346" width="20.140625" style="308" customWidth="1"/>
    <col min="14347" max="14347" width="0.85546875" style="308" customWidth="1"/>
    <col min="14348" max="14348" width="1.42578125" style="308" customWidth="1"/>
    <col min="14349" max="14594" width="11.42578125" style="308"/>
    <col min="14595" max="14595" width="9.140625" style="308" customWidth="1"/>
    <col min="14596" max="14596" width="0.85546875" style="308" customWidth="1"/>
    <col min="14597" max="14597" width="1.140625" style="308" customWidth="1"/>
    <col min="14598" max="14598" width="11.42578125" style="308" customWidth="1"/>
    <col min="14599" max="14599" width="31.28515625" style="308" customWidth="1"/>
    <col min="14600" max="14601" width="22.28515625" style="308" customWidth="1"/>
    <col min="14602" max="14602" width="20.140625" style="308" customWidth="1"/>
    <col min="14603" max="14603" width="0.85546875" style="308" customWidth="1"/>
    <col min="14604" max="14604" width="1.42578125" style="308" customWidth="1"/>
    <col min="14605" max="14850" width="11.42578125" style="308"/>
    <col min="14851" max="14851" width="9.140625" style="308" customWidth="1"/>
    <col min="14852" max="14852" width="0.85546875" style="308" customWidth="1"/>
    <col min="14853" max="14853" width="1.140625" style="308" customWidth="1"/>
    <col min="14854" max="14854" width="11.42578125" style="308" customWidth="1"/>
    <col min="14855" max="14855" width="31.28515625" style="308" customWidth="1"/>
    <col min="14856" max="14857" width="22.28515625" style="308" customWidth="1"/>
    <col min="14858" max="14858" width="20.140625" style="308" customWidth="1"/>
    <col min="14859" max="14859" width="0.85546875" style="308" customWidth="1"/>
    <col min="14860" max="14860" width="1.42578125" style="308" customWidth="1"/>
    <col min="14861" max="15106" width="11.42578125" style="308"/>
    <col min="15107" max="15107" width="9.140625" style="308" customWidth="1"/>
    <col min="15108" max="15108" width="0.85546875" style="308" customWidth="1"/>
    <col min="15109" max="15109" width="1.140625" style="308" customWidth="1"/>
    <col min="15110" max="15110" width="11.42578125" style="308" customWidth="1"/>
    <col min="15111" max="15111" width="31.28515625" style="308" customWidth="1"/>
    <col min="15112" max="15113" width="22.28515625" style="308" customWidth="1"/>
    <col min="15114" max="15114" width="20.140625" style="308" customWidth="1"/>
    <col min="15115" max="15115" width="0.85546875" style="308" customWidth="1"/>
    <col min="15116" max="15116" width="1.42578125" style="308" customWidth="1"/>
    <col min="15117" max="15362" width="11.42578125" style="308"/>
    <col min="15363" max="15363" width="9.140625" style="308" customWidth="1"/>
    <col min="15364" max="15364" width="0.85546875" style="308" customWidth="1"/>
    <col min="15365" max="15365" width="1.140625" style="308" customWidth="1"/>
    <col min="15366" max="15366" width="11.42578125" style="308" customWidth="1"/>
    <col min="15367" max="15367" width="31.28515625" style="308" customWidth="1"/>
    <col min="15368" max="15369" width="22.28515625" style="308" customWidth="1"/>
    <col min="15370" max="15370" width="20.140625" style="308" customWidth="1"/>
    <col min="15371" max="15371" width="0.85546875" style="308" customWidth="1"/>
    <col min="15372" max="15372" width="1.42578125" style="308" customWidth="1"/>
    <col min="15373" max="15618" width="11.42578125" style="308"/>
    <col min="15619" max="15619" width="9.140625" style="308" customWidth="1"/>
    <col min="15620" max="15620" width="0.85546875" style="308" customWidth="1"/>
    <col min="15621" max="15621" width="1.140625" style="308" customWidth="1"/>
    <col min="15622" max="15622" width="11.42578125" style="308" customWidth="1"/>
    <col min="15623" max="15623" width="31.28515625" style="308" customWidth="1"/>
    <col min="15624" max="15625" width="22.28515625" style="308" customWidth="1"/>
    <col min="15626" max="15626" width="20.140625" style="308" customWidth="1"/>
    <col min="15627" max="15627" width="0.85546875" style="308" customWidth="1"/>
    <col min="15628" max="15628" width="1.42578125" style="308" customWidth="1"/>
    <col min="15629" max="15874" width="11.42578125" style="308"/>
    <col min="15875" max="15875" width="9.140625" style="308" customWidth="1"/>
    <col min="15876" max="15876" width="0.85546875" style="308" customWidth="1"/>
    <col min="15877" max="15877" width="1.140625" style="308" customWidth="1"/>
    <col min="15878" max="15878" width="11.42578125" style="308" customWidth="1"/>
    <col min="15879" max="15879" width="31.28515625" style="308" customWidth="1"/>
    <col min="15880" max="15881" width="22.28515625" style="308" customWidth="1"/>
    <col min="15882" max="15882" width="20.140625" style="308" customWidth="1"/>
    <col min="15883" max="15883" width="0.85546875" style="308" customWidth="1"/>
    <col min="15884" max="15884" width="1.42578125" style="308" customWidth="1"/>
    <col min="15885" max="16130" width="11.42578125" style="308"/>
    <col min="16131" max="16131" width="9.140625" style="308" customWidth="1"/>
    <col min="16132" max="16132" width="0.85546875" style="308" customWidth="1"/>
    <col min="16133" max="16133" width="1.140625" style="308" customWidth="1"/>
    <col min="16134" max="16134" width="11.42578125" style="308" customWidth="1"/>
    <col min="16135" max="16135" width="31.28515625" style="308" customWidth="1"/>
    <col min="16136" max="16137" width="22.28515625" style="308" customWidth="1"/>
    <col min="16138" max="16138" width="20.140625" style="308" customWidth="1"/>
    <col min="16139" max="16139" width="0.85546875" style="308" customWidth="1"/>
    <col min="16140" max="16140" width="1.42578125" style="308" customWidth="1"/>
    <col min="16141" max="16384" width="11.42578125" style="308"/>
  </cols>
  <sheetData>
    <row r="1" spans="1:33">
      <c r="A1" s="575" t="str">
        <f>'Attachment O, page 1'!A1:G1</f>
        <v>Rochester Public Utilities</v>
      </c>
      <c r="B1" s="576"/>
      <c r="C1" s="576"/>
      <c r="D1" s="576"/>
      <c r="E1" s="576"/>
      <c r="F1" s="576"/>
      <c r="G1" s="576"/>
    </row>
    <row r="2" spans="1:33">
      <c r="A2" s="577" t="str">
        <f>'Attachment O, page 1'!A2:G2</f>
        <v>For the Year ended 12/31/2013</v>
      </c>
      <c r="B2" s="577"/>
      <c r="C2" s="577"/>
      <c r="D2" s="577"/>
      <c r="E2" s="577"/>
      <c r="F2" s="577"/>
      <c r="G2" s="577"/>
    </row>
    <row r="3" spans="1:33">
      <c r="F3" s="309"/>
    </row>
    <row r="4" spans="1:33">
      <c r="A4" s="310" t="s">
        <v>518</v>
      </c>
      <c r="B4" s="311"/>
      <c r="C4" s="311"/>
      <c r="D4" s="311"/>
      <c r="E4" s="311"/>
      <c r="F4" s="311"/>
      <c r="G4" s="311"/>
      <c r="H4" s="311"/>
      <c r="I4" s="312"/>
      <c r="J4" s="312"/>
      <c r="K4" s="313"/>
      <c r="L4" s="313"/>
      <c r="M4" s="313"/>
      <c r="N4" s="313"/>
      <c r="O4" s="313"/>
      <c r="P4" s="313"/>
      <c r="Q4" s="313"/>
      <c r="R4" s="313"/>
      <c r="S4" s="313"/>
      <c r="T4" s="313"/>
      <c r="U4" s="313"/>
      <c r="V4" s="313"/>
      <c r="W4" s="313"/>
      <c r="X4" s="313"/>
      <c r="Y4" s="313"/>
      <c r="Z4" s="313"/>
      <c r="AA4" s="313"/>
      <c r="AB4" s="313"/>
      <c r="AC4" s="313"/>
      <c r="AD4" s="313"/>
      <c r="AE4" s="313"/>
      <c r="AF4" s="313"/>
      <c r="AG4" s="313"/>
    </row>
    <row r="5" spans="1:33">
      <c r="A5" s="312"/>
      <c r="B5" s="311"/>
      <c r="C5" s="311"/>
      <c r="D5" s="311"/>
      <c r="E5" s="311"/>
      <c r="F5" s="311"/>
      <c r="G5" s="311"/>
      <c r="H5" s="311"/>
      <c r="I5" s="314"/>
      <c r="J5" s="315"/>
      <c r="K5" s="316"/>
      <c r="L5" s="316"/>
      <c r="M5" s="316"/>
      <c r="N5" s="316"/>
      <c r="O5" s="313"/>
      <c r="P5" s="313"/>
      <c r="Q5" s="313"/>
      <c r="R5" s="313"/>
      <c r="S5" s="313"/>
      <c r="T5" s="313"/>
      <c r="U5" s="313"/>
      <c r="V5" s="313"/>
      <c r="W5" s="313"/>
      <c r="X5" s="313"/>
      <c r="Y5" s="313"/>
      <c r="Z5" s="313"/>
      <c r="AA5" s="313"/>
      <c r="AB5" s="313"/>
      <c r="AC5" s="313"/>
      <c r="AD5" s="313"/>
      <c r="AE5" s="313"/>
      <c r="AF5" s="313"/>
      <c r="AG5" s="313"/>
    </row>
    <row r="6" spans="1:33">
      <c r="A6" s="312"/>
      <c r="B6" s="312"/>
      <c r="D6" s="312"/>
      <c r="E6" s="317" t="s">
        <v>519</v>
      </c>
      <c r="F6" s="317" t="s">
        <v>520</v>
      </c>
      <c r="G6" s="317" t="s">
        <v>521</v>
      </c>
      <c r="H6" s="311"/>
      <c r="I6" s="312"/>
      <c r="J6" s="312"/>
      <c r="K6" s="313"/>
      <c r="L6" s="313"/>
      <c r="M6" s="313"/>
      <c r="N6" s="313"/>
      <c r="O6" s="313"/>
      <c r="P6" s="313"/>
      <c r="Q6" s="313"/>
      <c r="R6" s="313"/>
      <c r="S6" s="313"/>
      <c r="T6" s="313"/>
      <c r="U6" s="313"/>
      <c r="V6" s="313"/>
      <c r="W6" s="313"/>
      <c r="X6" s="313"/>
      <c r="Y6" s="313"/>
      <c r="Z6" s="313"/>
      <c r="AA6" s="313"/>
      <c r="AB6" s="313"/>
      <c r="AC6" s="313"/>
      <c r="AD6" s="313"/>
      <c r="AE6" s="313"/>
      <c r="AF6" s="313"/>
      <c r="AG6" s="313"/>
    </row>
    <row r="7" spans="1:33" ht="17.25">
      <c r="A7" s="314"/>
      <c r="B7" s="412" t="s">
        <v>522</v>
      </c>
      <c r="C7" s="412"/>
      <c r="D7" s="412"/>
      <c r="E7" s="412" t="s">
        <v>521</v>
      </c>
      <c r="F7" s="412" t="s">
        <v>523</v>
      </c>
      <c r="G7" s="412" t="s">
        <v>524</v>
      </c>
      <c r="H7" s="311"/>
      <c r="I7" s="312"/>
      <c r="J7" s="312"/>
      <c r="K7" s="313"/>
      <c r="L7" s="313"/>
      <c r="M7" s="313"/>
      <c r="N7" s="313"/>
      <c r="O7" s="313"/>
      <c r="P7" s="313"/>
      <c r="Q7" s="313"/>
      <c r="R7" s="313"/>
      <c r="S7" s="313"/>
      <c r="T7" s="313"/>
      <c r="U7" s="313"/>
      <c r="V7" s="313"/>
      <c r="W7" s="313"/>
      <c r="X7" s="313"/>
      <c r="Y7" s="313"/>
      <c r="Z7" s="313"/>
      <c r="AA7" s="313"/>
      <c r="AB7" s="313"/>
      <c r="AC7" s="313"/>
      <c r="AD7" s="313"/>
      <c r="AE7" s="313"/>
      <c r="AF7" s="313"/>
      <c r="AG7" s="313"/>
    </row>
    <row r="8" spans="1:33">
      <c r="A8" s="413" t="s">
        <v>525</v>
      </c>
      <c r="B8" s="414"/>
      <c r="C8" s="414"/>
      <c r="D8" s="414"/>
      <c r="E8" s="414"/>
      <c r="F8" s="414"/>
      <c r="G8" s="414"/>
      <c r="H8" s="385"/>
      <c r="I8" s="314"/>
      <c r="J8" s="314"/>
      <c r="K8" s="313"/>
      <c r="L8" s="313"/>
      <c r="M8" s="313"/>
      <c r="N8" s="313"/>
      <c r="O8" s="313"/>
      <c r="P8" s="313"/>
      <c r="Q8" s="313"/>
      <c r="R8" s="313"/>
      <c r="S8" s="313"/>
      <c r="T8" s="313"/>
      <c r="U8" s="313"/>
      <c r="V8" s="313"/>
      <c r="W8" s="313"/>
      <c r="X8" s="313"/>
      <c r="Y8" s="313"/>
      <c r="Z8" s="313"/>
      <c r="AA8" s="313"/>
      <c r="AB8" s="313"/>
      <c r="AC8" s="313"/>
      <c r="AD8" s="313"/>
      <c r="AE8" s="313"/>
      <c r="AF8" s="313"/>
      <c r="AG8" s="313"/>
    </row>
    <row r="9" spans="1:33">
      <c r="A9" s="413"/>
      <c r="B9" s="319"/>
      <c r="C9" s="319"/>
      <c r="D9" s="319"/>
      <c r="E9" s="319"/>
      <c r="F9" s="319"/>
      <c r="G9" s="319"/>
      <c r="H9" s="318"/>
      <c r="I9" s="314"/>
      <c r="J9" s="314"/>
      <c r="K9" s="313"/>
      <c r="L9" s="313"/>
      <c r="M9" s="313"/>
      <c r="N9" s="313"/>
      <c r="O9" s="313"/>
      <c r="P9" s="313"/>
      <c r="Q9" s="313"/>
      <c r="R9" s="313"/>
      <c r="S9" s="313"/>
      <c r="T9" s="313"/>
      <c r="U9" s="313"/>
      <c r="V9" s="313"/>
      <c r="W9" s="313"/>
      <c r="X9" s="313"/>
      <c r="Y9" s="313"/>
      <c r="Z9" s="313"/>
      <c r="AA9" s="313"/>
      <c r="AB9" s="313"/>
      <c r="AC9" s="313"/>
      <c r="AD9" s="313"/>
      <c r="AE9" s="313"/>
      <c r="AF9" s="313"/>
      <c r="AG9" s="313"/>
    </row>
    <row r="10" spans="1:33">
      <c r="A10" s="415" t="s">
        <v>526</v>
      </c>
      <c r="B10" s="320">
        <v>0</v>
      </c>
      <c r="C10" s="320"/>
      <c r="D10" s="320"/>
      <c r="E10" s="320">
        <v>0</v>
      </c>
      <c r="F10" s="320">
        <f>B10-E10</f>
        <v>0</v>
      </c>
      <c r="G10" s="320">
        <v>0</v>
      </c>
      <c r="H10" s="318"/>
      <c r="I10" s="314"/>
      <c r="J10" s="314"/>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row>
    <row r="11" spans="1:33">
      <c r="A11" s="416" t="s">
        <v>527</v>
      </c>
      <c r="B11" s="321">
        <v>560718</v>
      </c>
      <c r="C11" s="321"/>
      <c r="D11" s="321"/>
      <c r="E11" s="321">
        <v>0</v>
      </c>
      <c r="F11" s="321">
        <f t="shared" ref="F11:F17" si="0">B11-E11</f>
        <v>560718</v>
      </c>
      <c r="G11" s="321">
        <v>0</v>
      </c>
      <c r="H11" s="318"/>
      <c r="I11" s="314"/>
      <c r="J11" s="314"/>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row>
    <row r="12" spans="1:33">
      <c r="A12" s="416" t="s">
        <v>528</v>
      </c>
      <c r="B12" s="321">
        <v>15248895.49</v>
      </c>
      <c r="C12" s="321"/>
      <c r="D12" s="321"/>
      <c r="E12" s="321">
        <v>13796505.470000001</v>
      </c>
      <c r="F12" s="321">
        <f t="shared" si="0"/>
        <v>1452390.0199999996</v>
      </c>
      <c r="G12" s="321">
        <v>418387.61</v>
      </c>
      <c r="H12" s="318"/>
      <c r="I12" s="314"/>
      <c r="J12" s="314"/>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row>
    <row r="13" spans="1:33">
      <c r="A13" s="416" t="s">
        <v>529</v>
      </c>
      <c r="B13" s="321">
        <v>48062194.140000001</v>
      </c>
      <c r="C13" s="321"/>
      <c r="D13" s="321"/>
      <c r="E13" s="321">
        <v>42742381.520000003</v>
      </c>
      <c r="F13" s="321">
        <f t="shared" si="0"/>
        <v>5319812.6199999973</v>
      </c>
      <c r="G13" s="321">
        <v>1414062.81</v>
      </c>
      <c r="H13" s="318"/>
      <c r="I13" s="314"/>
      <c r="J13" s="314"/>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row>
    <row r="14" spans="1:33">
      <c r="A14" s="416" t="s">
        <v>530</v>
      </c>
      <c r="B14" s="321">
        <v>0</v>
      </c>
      <c r="C14" s="321"/>
      <c r="D14" s="321"/>
      <c r="E14" s="321">
        <v>0</v>
      </c>
      <c r="F14" s="321">
        <f t="shared" si="0"/>
        <v>0</v>
      </c>
      <c r="G14" s="321">
        <v>0</v>
      </c>
      <c r="H14" s="318"/>
      <c r="I14" s="314"/>
      <c r="J14" s="314"/>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c r="A15" s="416" t="s">
        <v>531</v>
      </c>
      <c r="B15" s="321">
        <v>8900457.1600000001</v>
      </c>
      <c r="C15" s="321"/>
      <c r="D15" s="321"/>
      <c r="E15" s="321">
        <v>8900457.1600000001</v>
      </c>
      <c r="F15" s="321">
        <f t="shared" si="0"/>
        <v>0</v>
      </c>
      <c r="G15" s="321">
        <v>123568.6</v>
      </c>
      <c r="H15" s="318"/>
      <c r="I15" s="314"/>
      <c r="J15" s="314"/>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1:33">
      <c r="A16" s="416" t="s">
        <v>532</v>
      </c>
      <c r="B16" s="321">
        <v>74210.3</v>
      </c>
      <c r="C16" s="321"/>
      <c r="D16" s="321"/>
      <c r="E16" s="321">
        <v>60592.25</v>
      </c>
      <c r="F16" s="321">
        <f t="shared" si="0"/>
        <v>13618.050000000003</v>
      </c>
      <c r="G16" s="321">
        <v>1643.82</v>
      </c>
      <c r="H16" s="311"/>
      <c r="I16" s="312"/>
      <c r="J16" s="312"/>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7" spans="1:33" ht="17.25">
      <c r="A17" s="416" t="s">
        <v>533</v>
      </c>
      <c r="B17" s="322">
        <v>847669.15</v>
      </c>
      <c r="C17" s="322"/>
      <c r="D17" s="322"/>
      <c r="E17" s="322">
        <v>495510.43</v>
      </c>
      <c r="F17" s="322">
        <f t="shared" si="0"/>
        <v>352158.72000000003</v>
      </c>
      <c r="G17" s="322">
        <v>39940.550000000003</v>
      </c>
      <c r="H17" s="311"/>
      <c r="I17" s="312"/>
      <c r="J17" s="312"/>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row>
    <row r="18" spans="1:33">
      <c r="A18" s="417" t="s">
        <v>534</v>
      </c>
      <c r="B18" s="321">
        <f>SUM(B10:B17)</f>
        <v>73694144.24000001</v>
      </c>
      <c r="C18" s="321" t="s">
        <v>535</v>
      </c>
      <c r="D18" s="321"/>
      <c r="E18" s="321">
        <f>SUM(E10:E17)</f>
        <v>65995446.830000006</v>
      </c>
      <c r="F18" s="321">
        <f>SUM(F10:F17)</f>
        <v>7698697.4099999964</v>
      </c>
      <c r="G18" s="321">
        <f>SUM(G10:G17)</f>
        <v>1997603.3900000001</v>
      </c>
      <c r="H18" s="311"/>
      <c r="I18" s="312"/>
      <c r="J18" s="312"/>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33">
      <c r="A19" s="417"/>
      <c r="B19" s="318"/>
      <c r="C19" s="318"/>
      <c r="D19" s="318"/>
      <c r="E19" s="318"/>
      <c r="F19" s="318"/>
      <c r="G19" s="318"/>
      <c r="H19" s="311"/>
      <c r="I19" s="312"/>
      <c r="J19" s="312"/>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c r="A20" s="415" t="s">
        <v>536</v>
      </c>
      <c r="B20" s="318"/>
      <c r="C20" s="318"/>
      <c r="D20" s="318"/>
      <c r="E20" s="318"/>
      <c r="F20" s="318"/>
      <c r="G20" s="318"/>
      <c r="H20" s="311"/>
      <c r="I20" s="312"/>
      <c r="J20" s="312"/>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5" customHeight="1">
      <c r="A21" s="418" t="s">
        <v>537</v>
      </c>
      <c r="B21" s="320">
        <v>0</v>
      </c>
      <c r="C21" s="320"/>
      <c r="D21" s="320"/>
      <c r="E21" s="320">
        <v>0</v>
      </c>
      <c r="F21" s="320">
        <f>B21-E21</f>
        <v>0</v>
      </c>
      <c r="G21" s="320">
        <v>0</v>
      </c>
      <c r="H21" s="311"/>
      <c r="I21" s="312"/>
      <c r="J21" s="312"/>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c r="A22" s="418" t="s">
        <v>538</v>
      </c>
      <c r="B22" s="321">
        <v>0</v>
      </c>
      <c r="C22" s="321"/>
      <c r="D22" s="321"/>
      <c r="E22" s="321">
        <v>0</v>
      </c>
      <c r="F22" s="321">
        <f t="shared" ref="F22:F26" si="1">B22-E22</f>
        <v>0</v>
      </c>
      <c r="G22" s="321">
        <v>0</v>
      </c>
      <c r="H22" s="311"/>
      <c r="I22" s="312"/>
      <c r="J22" s="312"/>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c r="A23" s="418" t="s">
        <v>539</v>
      </c>
      <c r="B23" s="321">
        <v>0</v>
      </c>
      <c r="C23" s="321"/>
      <c r="D23" s="321"/>
      <c r="E23" s="321">
        <v>0</v>
      </c>
      <c r="F23" s="321">
        <f t="shared" si="1"/>
        <v>0</v>
      </c>
      <c r="G23" s="321">
        <v>0</v>
      </c>
      <c r="H23" s="311"/>
      <c r="I23" s="312"/>
      <c r="J23" s="312"/>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c r="A24" s="418" t="s">
        <v>540</v>
      </c>
      <c r="B24" s="321">
        <v>0</v>
      </c>
      <c r="C24" s="321"/>
      <c r="D24" s="321"/>
      <c r="E24" s="321">
        <v>0</v>
      </c>
      <c r="F24" s="321">
        <f t="shared" si="1"/>
        <v>0</v>
      </c>
      <c r="G24" s="321">
        <v>0</v>
      </c>
      <c r="H24" s="311"/>
      <c r="I24" s="312"/>
      <c r="J24" s="312"/>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c r="A25" s="418" t="s">
        <v>541</v>
      </c>
      <c r="B25" s="321">
        <v>0</v>
      </c>
      <c r="C25" s="321"/>
      <c r="D25" s="321"/>
      <c r="E25" s="321">
        <v>0</v>
      </c>
      <c r="F25" s="321">
        <f t="shared" si="1"/>
        <v>0</v>
      </c>
      <c r="G25" s="321">
        <v>0</v>
      </c>
      <c r="H25" s="311"/>
      <c r="I25" s="312"/>
      <c r="J25" s="312"/>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row>
    <row r="26" spans="1:33" ht="17.25">
      <c r="A26" s="418" t="s">
        <v>542</v>
      </c>
      <c r="B26" s="322">
        <v>0</v>
      </c>
      <c r="C26" s="322"/>
      <c r="D26" s="322"/>
      <c r="E26" s="322">
        <v>0</v>
      </c>
      <c r="F26" s="322">
        <f t="shared" si="1"/>
        <v>0</v>
      </c>
      <c r="G26" s="322">
        <v>0</v>
      </c>
      <c r="H26" s="32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row>
    <row r="27" spans="1:33">
      <c r="A27" s="418" t="s">
        <v>543</v>
      </c>
      <c r="B27" s="321">
        <f>SUM(B21:B26)</f>
        <v>0</v>
      </c>
      <c r="C27" s="321" t="s">
        <v>544</v>
      </c>
      <c r="D27" s="321"/>
      <c r="E27" s="321">
        <f>SUM(E21:E26)</f>
        <v>0</v>
      </c>
      <c r="F27" s="321">
        <f>SUM(F21:F26)</f>
        <v>0</v>
      </c>
      <c r="G27" s="321">
        <f>SUM(G21:G26)</f>
        <v>0</v>
      </c>
      <c r="H27" s="32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row>
    <row r="28" spans="1:33">
      <c r="A28" s="418" t="s">
        <v>545</v>
      </c>
      <c r="B28" s="320"/>
      <c r="C28" s="320"/>
      <c r="D28" s="320"/>
      <c r="E28" s="320"/>
      <c r="F28" s="320"/>
      <c r="G28" s="320"/>
      <c r="H28" s="32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row>
    <row r="29" spans="1:33">
      <c r="A29" s="418"/>
      <c r="B29" s="419"/>
      <c r="C29" s="419"/>
      <c r="D29" s="419"/>
      <c r="E29" s="419"/>
      <c r="F29" s="419"/>
      <c r="G29" s="419"/>
      <c r="H29" s="32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row>
    <row r="30" spans="1:33">
      <c r="A30" s="415" t="s">
        <v>546</v>
      </c>
      <c r="B30" s="420"/>
      <c r="C30" s="420"/>
      <c r="D30" s="420"/>
      <c r="E30" s="420"/>
      <c r="F30" s="420"/>
      <c r="G30" s="420"/>
      <c r="H30" s="32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row>
    <row r="31" spans="1:33">
      <c r="A31" s="418" t="s">
        <v>547</v>
      </c>
      <c r="B31" s="320">
        <v>143876.6</v>
      </c>
      <c r="C31" s="320"/>
      <c r="D31" s="320"/>
      <c r="E31" s="320">
        <v>0</v>
      </c>
      <c r="F31" s="320">
        <f>B31-E31</f>
        <v>143876.6</v>
      </c>
      <c r="G31" s="320">
        <v>0</v>
      </c>
      <c r="H31" s="32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row>
    <row r="32" spans="1:33">
      <c r="A32" s="418" t="s">
        <v>548</v>
      </c>
      <c r="B32" s="321">
        <v>172750</v>
      </c>
      <c r="C32" s="321"/>
      <c r="D32" s="321"/>
      <c r="E32" s="321">
        <v>147835.17000000001</v>
      </c>
      <c r="F32" s="321">
        <f t="shared" ref="F32:F38" si="2">B32-E32</f>
        <v>24914.829999999987</v>
      </c>
      <c r="G32" s="321">
        <v>830.49</v>
      </c>
      <c r="H32" s="32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row>
    <row r="33" spans="1:33">
      <c r="A33" s="418" t="s">
        <v>549</v>
      </c>
      <c r="B33" s="321">
        <v>1806300</v>
      </c>
      <c r="C33" s="321"/>
      <c r="D33" s="321"/>
      <c r="E33" s="321">
        <v>1674900.97</v>
      </c>
      <c r="F33" s="321">
        <f t="shared" si="2"/>
        <v>131399.03000000003</v>
      </c>
      <c r="G33" s="321">
        <v>-62.26</v>
      </c>
      <c r="H33" s="32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row>
    <row r="34" spans="1:33">
      <c r="A34" s="418" t="s">
        <v>550</v>
      </c>
      <c r="B34" s="321">
        <v>1170162.05</v>
      </c>
      <c r="C34" s="321"/>
      <c r="D34" s="321"/>
      <c r="E34" s="321">
        <v>599016.24</v>
      </c>
      <c r="F34" s="321">
        <f t="shared" si="2"/>
        <v>571145.81000000006</v>
      </c>
      <c r="G34" s="321">
        <v>18938.2</v>
      </c>
      <c r="H34" s="32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row>
    <row r="35" spans="1:33">
      <c r="A35" s="418" t="s">
        <v>551</v>
      </c>
      <c r="B35" s="321">
        <v>198604.45</v>
      </c>
      <c r="C35" s="321"/>
      <c r="D35" s="321"/>
      <c r="E35" s="321">
        <v>120941.04</v>
      </c>
      <c r="F35" s="321">
        <f t="shared" si="2"/>
        <v>77663.410000000018</v>
      </c>
      <c r="G35" s="321">
        <v>4920.7299999999996</v>
      </c>
      <c r="H35" s="32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row>
    <row r="36" spans="1:33">
      <c r="A36" s="418" t="s">
        <v>552</v>
      </c>
      <c r="B36" s="321">
        <v>120826.67</v>
      </c>
      <c r="C36" s="321"/>
      <c r="D36" s="321"/>
      <c r="E36" s="321">
        <v>55046.71</v>
      </c>
      <c r="F36" s="321">
        <f t="shared" si="2"/>
        <v>65779.959999999992</v>
      </c>
      <c r="G36" s="321">
        <v>3008.63</v>
      </c>
      <c r="H36" s="32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row>
    <row r="37" spans="1:33">
      <c r="A37" s="418" t="s">
        <v>553</v>
      </c>
      <c r="B37" s="321">
        <v>12119.25</v>
      </c>
      <c r="C37" s="321"/>
      <c r="D37" s="321"/>
      <c r="E37" s="321">
        <v>1544.75</v>
      </c>
      <c r="F37" s="321">
        <f t="shared" si="2"/>
        <v>10574.5</v>
      </c>
      <c r="G37" s="321">
        <v>245.92</v>
      </c>
      <c r="H37" s="32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row>
    <row r="38" spans="1:33" ht="17.25">
      <c r="A38" s="418" t="s">
        <v>554</v>
      </c>
      <c r="B38" s="322">
        <v>0</v>
      </c>
      <c r="C38" s="322"/>
      <c r="D38" s="322"/>
      <c r="E38" s="322">
        <v>0</v>
      </c>
      <c r="F38" s="322">
        <f t="shared" si="2"/>
        <v>0</v>
      </c>
      <c r="G38" s="322">
        <v>0</v>
      </c>
      <c r="H38" s="32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row>
    <row r="39" spans="1:33">
      <c r="A39" s="421" t="s">
        <v>555</v>
      </c>
      <c r="B39" s="324">
        <f>SUM(B31:B38)</f>
        <v>3624639.0200000005</v>
      </c>
      <c r="C39" s="321" t="s">
        <v>556</v>
      </c>
      <c r="D39" s="321"/>
      <c r="E39" s="324">
        <f>SUM(E31:E38)</f>
        <v>2599284.88</v>
      </c>
      <c r="F39" s="324">
        <f>SUM(F31:F38)</f>
        <v>1025354.14</v>
      </c>
      <c r="G39" s="324">
        <f>SUM(G31:G38)</f>
        <v>27881.71</v>
      </c>
      <c r="H39" s="32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row>
    <row r="40" spans="1:33">
      <c r="A40" s="422"/>
      <c r="B40" s="420"/>
      <c r="C40" s="420"/>
      <c r="D40" s="420"/>
      <c r="E40" s="420"/>
      <c r="F40" s="420"/>
      <c r="G40" s="420"/>
      <c r="H40" s="32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row>
    <row r="41" spans="1:33">
      <c r="A41" s="415" t="s">
        <v>557</v>
      </c>
      <c r="B41" s="420"/>
      <c r="C41" s="420"/>
      <c r="D41" s="420"/>
      <c r="E41" s="420"/>
      <c r="F41" s="420"/>
      <c r="G41" s="420"/>
      <c r="H41" s="32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row>
    <row r="42" spans="1:33">
      <c r="A42" s="418" t="s">
        <v>558</v>
      </c>
      <c r="B42" s="320">
        <v>1031319.8</v>
      </c>
      <c r="C42" s="320"/>
      <c r="D42" s="320"/>
      <c r="E42" s="320">
        <v>0</v>
      </c>
      <c r="F42" s="320">
        <f>B42-E42</f>
        <v>1031319.8</v>
      </c>
      <c r="G42" s="320">
        <v>0</v>
      </c>
      <c r="H42" s="32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row>
    <row r="43" spans="1:33">
      <c r="A43" s="418" t="s">
        <v>559</v>
      </c>
      <c r="B43" s="321">
        <v>1273608.51</v>
      </c>
      <c r="C43" s="321"/>
      <c r="D43" s="321"/>
      <c r="E43" s="321">
        <v>492111.96</v>
      </c>
      <c r="F43" s="321">
        <f t="shared" ref="F43:F49" si="3">B43-E43</f>
        <v>781496.55</v>
      </c>
      <c r="G43" s="321">
        <v>41999.839999999997</v>
      </c>
      <c r="H43" s="32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row>
    <row r="44" spans="1:33">
      <c r="A44" s="418" t="s">
        <v>560</v>
      </c>
      <c r="B44" s="321">
        <v>4007504.72</v>
      </c>
      <c r="C44" s="321"/>
      <c r="D44" s="321"/>
      <c r="E44" s="321">
        <v>1590329.15</v>
      </c>
      <c r="F44" s="321">
        <f t="shared" si="3"/>
        <v>2417175.5700000003</v>
      </c>
      <c r="G44" s="321">
        <v>121322.71</v>
      </c>
      <c r="H44" s="32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row>
    <row r="45" spans="1:33">
      <c r="A45" s="418" t="s">
        <v>561</v>
      </c>
      <c r="B45" s="321">
        <v>0</v>
      </c>
      <c r="C45" s="321"/>
      <c r="D45" s="321"/>
      <c r="E45" s="321">
        <v>0</v>
      </c>
      <c r="F45" s="321">
        <f t="shared" si="3"/>
        <v>0</v>
      </c>
      <c r="G45" s="321">
        <v>0</v>
      </c>
      <c r="H45" s="32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row>
    <row r="46" spans="1:33">
      <c r="A46" s="418" t="s">
        <v>562</v>
      </c>
      <c r="B46" s="321">
        <v>21499791.890000001</v>
      </c>
      <c r="C46" s="321"/>
      <c r="D46" s="321"/>
      <c r="E46" s="321">
        <v>9178808.4900000002</v>
      </c>
      <c r="F46" s="321">
        <f t="shared" si="3"/>
        <v>12320983.4</v>
      </c>
      <c r="G46" s="321">
        <v>664567.91</v>
      </c>
      <c r="H46" s="32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row>
    <row r="47" spans="1:33">
      <c r="A47" s="418" t="s">
        <v>563</v>
      </c>
      <c r="B47" s="321">
        <v>4685223.66</v>
      </c>
      <c r="C47" s="321"/>
      <c r="D47" s="321"/>
      <c r="E47" s="321">
        <v>2225017.2799999998</v>
      </c>
      <c r="F47" s="321">
        <f t="shared" si="3"/>
        <v>2460206.3800000004</v>
      </c>
      <c r="G47" s="321">
        <v>134650.94</v>
      </c>
      <c r="H47" s="32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row>
    <row r="48" spans="1:33">
      <c r="A48" s="418" t="s">
        <v>564</v>
      </c>
      <c r="B48" s="321">
        <v>1047528.6</v>
      </c>
      <c r="C48" s="321"/>
      <c r="D48" s="321"/>
      <c r="E48" s="321">
        <v>589902.64</v>
      </c>
      <c r="F48" s="321">
        <f t="shared" si="3"/>
        <v>457625.95999999996</v>
      </c>
      <c r="G48" s="321">
        <v>26171.759999999998</v>
      </c>
      <c r="H48" s="32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row>
    <row r="49" spans="1:33" ht="17.25">
      <c r="A49" s="418" t="s">
        <v>565</v>
      </c>
      <c r="B49" s="322">
        <v>0</v>
      </c>
      <c r="C49" s="322"/>
      <c r="D49" s="322"/>
      <c r="E49" s="322">
        <v>0</v>
      </c>
      <c r="F49" s="322">
        <f t="shared" si="3"/>
        <v>0</v>
      </c>
      <c r="G49" s="322">
        <v>0</v>
      </c>
      <c r="H49" s="32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row>
    <row r="50" spans="1:33">
      <c r="A50" s="418" t="s">
        <v>566</v>
      </c>
      <c r="B50" s="324">
        <f>SUM(B42:B49)</f>
        <v>33544977.180000003</v>
      </c>
      <c r="C50" s="321" t="s">
        <v>567</v>
      </c>
      <c r="D50" s="321"/>
      <c r="E50" s="324">
        <f>SUM(E42:E49)</f>
        <v>14076169.52</v>
      </c>
      <c r="F50" s="324">
        <f>SUM(F42:F49)</f>
        <v>19468807.66</v>
      </c>
      <c r="G50" s="324">
        <f>SUM(G42:G49)</f>
        <v>988713.15999999992</v>
      </c>
      <c r="H50" s="32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row>
    <row r="51" spans="1:33">
      <c r="A51" s="418"/>
      <c r="B51" s="324"/>
      <c r="C51" s="324"/>
      <c r="D51" s="324"/>
      <c r="E51" s="324"/>
      <c r="F51" s="324"/>
      <c r="G51" s="324"/>
      <c r="H51" s="32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row>
    <row r="52" spans="1:33">
      <c r="A52" s="418"/>
      <c r="B52" s="423" t="s">
        <v>568</v>
      </c>
      <c r="C52" s="420"/>
      <c r="D52" s="420"/>
      <c r="E52" s="423" t="s">
        <v>569</v>
      </c>
      <c r="F52" s="420"/>
      <c r="G52" s="420"/>
      <c r="H52" s="32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row>
    <row r="53" spans="1:33">
      <c r="A53" s="424" t="s">
        <v>124</v>
      </c>
      <c r="B53" s="425">
        <f>B18+B27+B39+B50</f>
        <v>110863760.44000001</v>
      </c>
      <c r="C53" s="321" t="s">
        <v>570</v>
      </c>
      <c r="D53" s="321"/>
      <c r="E53" s="425">
        <f>E18+E27+E39+E50</f>
        <v>82670901.230000004</v>
      </c>
      <c r="F53" s="426">
        <f>F18+F27+F39+F50</f>
        <v>28192859.209999997</v>
      </c>
      <c r="G53" s="426">
        <f>G18+G27+G39+G50</f>
        <v>3014198.26</v>
      </c>
      <c r="H53" s="32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row>
    <row r="54" spans="1:33">
      <c r="A54" s="418"/>
      <c r="B54" s="420"/>
      <c r="C54" s="420"/>
      <c r="D54" s="420"/>
      <c r="E54" s="420"/>
      <c r="F54" s="420"/>
      <c r="G54" s="420"/>
      <c r="H54" s="32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row>
    <row r="55" spans="1:33">
      <c r="A55" s="327" t="s">
        <v>571</v>
      </c>
      <c r="B55" s="420"/>
      <c r="C55" s="420"/>
      <c r="D55" s="420"/>
      <c r="E55" s="420"/>
      <c r="F55" s="420"/>
      <c r="G55" s="420"/>
      <c r="H55" s="32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row>
    <row r="56" spans="1:33">
      <c r="A56" s="421" t="s">
        <v>572</v>
      </c>
      <c r="B56" s="427">
        <v>454226.58</v>
      </c>
      <c r="C56" s="420"/>
      <c r="D56" s="420"/>
      <c r="E56" s="428">
        <v>0</v>
      </c>
      <c r="F56" s="320">
        <f>B56-E56</f>
        <v>454226.58</v>
      </c>
      <c r="G56" s="428">
        <v>0</v>
      </c>
      <c r="H56" s="32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row>
    <row r="57" spans="1:33">
      <c r="A57" s="421" t="s">
        <v>573</v>
      </c>
      <c r="B57" s="326">
        <v>443929.65</v>
      </c>
      <c r="C57" s="326"/>
      <c r="D57" s="326"/>
      <c r="E57" s="326">
        <v>220678.26</v>
      </c>
      <c r="F57" s="326">
        <f>B57-E57</f>
        <v>223251.39</v>
      </c>
      <c r="G57" s="388">
        <v>11417.2</v>
      </c>
      <c r="H57" s="32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row>
    <row r="58" spans="1:33">
      <c r="A58" s="421" t="s">
        <v>574</v>
      </c>
      <c r="B58" s="321">
        <v>15814750.43</v>
      </c>
      <c r="C58" s="321"/>
      <c r="D58" s="321"/>
      <c r="E58" s="321">
        <v>7105076.7300000004</v>
      </c>
      <c r="F58" s="321">
        <f t="shared" ref="F58:F65" si="4">B58-E58</f>
        <v>8709673.6999999993</v>
      </c>
      <c r="G58" s="321">
        <v>446199.03</v>
      </c>
      <c r="H58" s="32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row>
    <row r="59" spans="1:33">
      <c r="A59" s="421" t="s">
        <v>575</v>
      </c>
      <c r="B59" s="321">
        <v>0</v>
      </c>
      <c r="C59" s="321"/>
      <c r="D59" s="321"/>
      <c r="E59" s="321">
        <v>0</v>
      </c>
      <c r="F59" s="321">
        <f t="shared" si="4"/>
        <v>0</v>
      </c>
      <c r="G59" s="321">
        <v>0</v>
      </c>
      <c r="H59" s="32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row>
    <row r="60" spans="1:33">
      <c r="A60" s="421" t="s">
        <v>576</v>
      </c>
      <c r="B60" s="321">
        <v>5516402.1600000001</v>
      </c>
      <c r="C60" s="321"/>
      <c r="D60" s="321"/>
      <c r="E60" s="321">
        <v>2450243.5099999998</v>
      </c>
      <c r="F60" s="321">
        <f t="shared" si="4"/>
        <v>3066158.6500000004</v>
      </c>
      <c r="G60" s="321">
        <v>149587.49</v>
      </c>
      <c r="H60" s="32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row>
    <row r="61" spans="1:33">
      <c r="A61" s="421" t="s">
        <v>577</v>
      </c>
      <c r="B61" s="321">
        <v>2399628.94</v>
      </c>
      <c r="C61" s="321"/>
      <c r="D61" s="321"/>
      <c r="E61" s="321">
        <v>1127645.7</v>
      </c>
      <c r="F61" s="321">
        <f t="shared" si="4"/>
        <v>1271983.24</v>
      </c>
      <c r="G61" s="321">
        <v>85893.66</v>
      </c>
      <c r="H61" s="32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row>
    <row r="62" spans="1:33">
      <c r="A62" s="421" t="s">
        <v>578</v>
      </c>
      <c r="B62" s="321">
        <v>0</v>
      </c>
      <c r="C62" s="321"/>
      <c r="D62" s="321"/>
      <c r="E62" s="321">
        <v>0</v>
      </c>
      <c r="F62" s="321">
        <f t="shared" si="4"/>
        <v>0</v>
      </c>
      <c r="G62" s="321">
        <v>0</v>
      </c>
      <c r="H62" s="32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row>
    <row r="63" spans="1:33">
      <c r="A63" s="421" t="s">
        <v>579</v>
      </c>
      <c r="B63" s="321">
        <v>0</v>
      </c>
      <c r="C63" s="321"/>
      <c r="D63" s="321"/>
      <c r="E63" s="321">
        <v>0</v>
      </c>
      <c r="F63" s="321">
        <f t="shared" si="4"/>
        <v>0</v>
      </c>
      <c r="G63" s="321">
        <v>0</v>
      </c>
      <c r="H63" s="32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row>
    <row r="64" spans="1:33">
      <c r="A64" s="421" t="s">
        <v>580</v>
      </c>
      <c r="B64" s="321">
        <v>0</v>
      </c>
      <c r="C64" s="321"/>
      <c r="D64" s="321"/>
      <c r="E64" s="321">
        <v>0</v>
      </c>
      <c r="F64" s="321">
        <f t="shared" si="4"/>
        <v>0</v>
      </c>
      <c r="G64" s="321">
        <v>0</v>
      </c>
      <c r="H64" s="32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row>
    <row r="65" spans="1:33" ht="17.25">
      <c r="A65" s="421" t="s">
        <v>581</v>
      </c>
      <c r="B65" s="322">
        <v>0</v>
      </c>
      <c r="C65" s="322"/>
      <c r="D65" s="322"/>
      <c r="E65" s="322">
        <v>0</v>
      </c>
      <c r="F65" s="322">
        <f t="shared" si="4"/>
        <v>0</v>
      </c>
      <c r="G65" s="322">
        <v>0</v>
      </c>
      <c r="H65" s="32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row>
    <row r="66" spans="1:33" ht="17.25">
      <c r="A66" s="327" t="s">
        <v>585</v>
      </c>
      <c r="B66" s="321">
        <f>SUM(B56:B65)</f>
        <v>24628937.760000002</v>
      </c>
      <c r="C66" s="322"/>
      <c r="D66" s="322"/>
      <c r="E66" s="321">
        <f>SUM(E56:E65)</f>
        <v>10903644.199999999</v>
      </c>
      <c r="F66" s="321">
        <f>SUM(F56:F65)</f>
        <v>13725293.560000001</v>
      </c>
      <c r="G66" s="321">
        <f>SUM(G56:G65)</f>
        <v>693097.38</v>
      </c>
      <c r="H66" s="32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row>
    <row r="67" spans="1:33" ht="17.25">
      <c r="A67" s="421"/>
      <c r="B67" s="322"/>
      <c r="C67" s="322"/>
      <c r="D67" s="322"/>
      <c r="E67" s="322"/>
      <c r="F67" s="322"/>
      <c r="G67" s="322"/>
      <c r="H67" s="32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row>
    <row r="68" spans="1:33" ht="17.25">
      <c r="A68" s="461" t="s">
        <v>818</v>
      </c>
      <c r="B68" s="322"/>
      <c r="C68" s="322"/>
      <c r="D68" s="322"/>
      <c r="E68" s="322"/>
      <c r="F68" s="322"/>
      <c r="G68" s="322"/>
      <c r="H68" s="32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row>
    <row r="69" spans="1:33" ht="17.25">
      <c r="A69" s="421" t="s">
        <v>812</v>
      </c>
      <c r="B69" s="321">
        <f>-B93</f>
        <v>160310</v>
      </c>
      <c r="C69" s="322"/>
      <c r="D69" s="322"/>
      <c r="E69" s="321"/>
      <c r="F69" s="321">
        <f t="shared" ref="F69:F72" si="5">B69-E69</f>
        <v>160310</v>
      </c>
      <c r="G69" s="321">
        <v>0</v>
      </c>
      <c r="H69" s="32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row>
    <row r="70" spans="1:33" ht="17.25">
      <c r="A70" s="461" t="s">
        <v>816</v>
      </c>
      <c r="B70" s="321"/>
      <c r="C70" s="322"/>
      <c r="D70" s="322"/>
      <c r="E70" s="321"/>
      <c r="F70" s="321"/>
      <c r="G70" s="321"/>
      <c r="H70" s="32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row>
    <row r="71" spans="1:33" ht="17.25">
      <c r="A71" s="460" t="s">
        <v>815</v>
      </c>
      <c r="B71" s="321">
        <v>-1590071</v>
      </c>
      <c r="C71" s="322"/>
      <c r="D71" s="322"/>
      <c r="E71" s="321">
        <v>-501127.48</v>
      </c>
      <c r="F71" s="321">
        <f t="shared" si="5"/>
        <v>-1088943.52</v>
      </c>
      <c r="G71" s="321">
        <v>-42235.82</v>
      </c>
      <c r="H71" s="32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row>
    <row r="72" spans="1:33" ht="17.25">
      <c r="A72" s="460" t="s">
        <v>817</v>
      </c>
      <c r="B72" s="322">
        <v>-338280</v>
      </c>
      <c r="C72" s="322"/>
      <c r="D72" s="322"/>
      <c r="E72" s="322">
        <v>-87183.08</v>
      </c>
      <c r="F72" s="322">
        <f t="shared" si="5"/>
        <v>-251096.91999999998</v>
      </c>
      <c r="G72" s="322">
        <v>-9018.94</v>
      </c>
      <c r="H72" s="32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row>
    <row r="73" spans="1:33">
      <c r="A73" s="422"/>
      <c r="B73" s="429" t="s">
        <v>582</v>
      </c>
      <c r="C73" s="419"/>
      <c r="D73" s="419"/>
      <c r="E73" s="429" t="s">
        <v>583</v>
      </c>
      <c r="F73" s="419"/>
      <c r="G73" s="429" t="s">
        <v>584</v>
      </c>
      <c r="H73" s="32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row>
    <row r="74" spans="1:33">
      <c r="A74" s="327" t="s">
        <v>814</v>
      </c>
      <c r="B74" s="425">
        <f>SUM(B66:B72)</f>
        <v>22860896.760000002</v>
      </c>
      <c r="C74" s="321" t="s">
        <v>586</v>
      </c>
      <c r="D74" s="320"/>
      <c r="E74" s="425">
        <f>SUM(E66:E72)</f>
        <v>10315333.639999999</v>
      </c>
      <c r="F74" s="320">
        <f>SUM(F66:F72)</f>
        <v>12545563.120000001</v>
      </c>
      <c r="G74" s="425">
        <f>SUM(G66:G72)</f>
        <v>641842.62000000011</v>
      </c>
      <c r="H74" s="32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row>
    <row r="75" spans="1:33">
      <c r="A75" s="422"/>
      <c r="B75" s="420"/>
      <c r="C75" s="420"/>
      <c r="D75" s="420"/>
      <c r="E75" s="420"/>
      <c r="F75" s="420"/>
      <c r="G75" s="420"/>
      <c r="H75" s="32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row>
    <row r="76" spans="1:33">
      <c r="A76" s="327" t="s">
        <v>587</v>
      </c>
      <c r="B76" s="420"/>
      <c r="C76" s="420"/>
      <c r="D76" s="420"/>
      <c r="E76" s="420"/>
      <c r="F76" s="420"/>
      <c r="G76" s="420"/>
      <c r="H76" s="32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row>
    <row r="77" spans="1:33">
      <c r="A77" s="421" t="s">
        <v>588</v>
      </c>
      <c r="B77" s="320">
        <v>711693.28</v>
      </c>
      <c r="C77" s="320"/>
      <c r="D77" s="320"/>
      <c r="E77" s="320">
        <v>0</v>
      </c>
      <c r="F77" s="320">
        <f>B77-E77</f>
        <v>711693.28</v>
      </c>
      <c r="G77" s="320">
        <v>0</v>
      </c>
      <c r="H77" s="32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row>
    <row r="78" spans="1:33">
      <c r="A78" s="421" t="s">
        <v>589</v>
      </c>
      <c r="B78" s="321">
        <v>1553416.41</v>
      </c>
      <c r="C78" s="321"/>
      <c r="D78" s="321"/>
      <c r="E78" s="321">
        <v>794780.26</v>
      </c>
      <c r="F78" s="321">
        <f t="shared" ref="F78:F91" si="6">B78-E78</f>
        <v>758636.14999999991</v>
      </c>
      <c r="G78" s="321">
        <v>40171.129999999997</v>
      </c>
      <c r="H78" s="32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row>
    <row r="79" spans="1:33">
      <c r="A79" s="421" t="s">
        <v>590</v>
      </c>
      <c r="B79" s="321">
        <v>17919687.440000001</v>
      </c>
      <c r="C79" s="321"/>
      <c r="D79" s="321"/>
      <c r="E79" s="321">
        <v>8111654.9400000004</v>
      </c>
      <c r="F79" s="321">
        <f t="shared" si="6"/>
        <v>9808032.5</v>
      </c>
      <c r="G79" s="321">
        <v>503811.51</v>
      </c>
      <c r="H79" s="32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row>
    <row r="80" spans="1:33">
      <c r="A80" s="421" t="s">
        <v>591</v>
      </c>
      <c r="B80" s="321">
        <v>0</v>
      </c>
      <c r="C80" s="321"/>
      <c r="D80" s="321"/>
      <c r="E80" s="321">
        <v>0</v>
      </c>
      <c r="F80" s="321">
        <f t="shared" si="6"/>
        <v>0</v>
      </c>
      <c r="G80" s="321">
        <v>0</v>
      </c>
      <c r="H80" s="32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row>
    <row r="81" spans="1:33">
      <c r="A81" s="421" t="s">
        <v>592</v>
      </c>
      <c r="B81" s="321">
        <v>7041813.1399999997</v>
      </c>
      <c r="C81" s="321"/>
      <c r="D81" s="321"/>
      <c r="E81" s="321">
        <v>3766269.73</v>
      </c>
      <c r="F81" s="321">
        <f t="shared" si="6"/>
        <v>3275543.4099999997</v>
      </c>
      <c r="G81" s="321">
        <v>277432.27</v>
      </c>
      <c r="H81" s="32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row>
    <row r="82" spans="1:33">
      <c r="A82" s="421" t="s">
        <v>593</v>
      </c>
      <c r="B82" s="321">
        <v>15381758.539999999</v>
      </c>
      <c r="C82" s="321"/>
      <c r="D82" s="321"/>
      <c r="E82" s="321">
        <v>6386434.5300000003</v>
      </c>
      <c r="F82" s="321">
        <f t="shared" si="6"/>
        <v>8995324.0099999979</v>
      </c>
      <c r="G82" s="321">
        <v>674460.47</v>
      </c>
      <c r="H82" s="32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row>
    <row r="83" spans="1:33">
      <c r="A83" s="421" t="s">
        <v>594</v>
      </c>
      <c r="B83" s="321">
        <v>21885932.039999999</v>
      </c>
      <c r="C83" s="321"/>
      <c r="D83" s="321"/>
      <c r="E83" s="321">
        <v>7920466.5099999998</v>
      </c>
      <c r="F83" s="321">
        <f t="shared" si="6"/>
        <v>13965465.529999999</v>
      </c>
      <c r="G83" s="321">
        <v>621837.52</v>
      </c>
      <c r="H83" s="32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row>
    <row r="84" spans="1:33">
      <c r="A84" s="421" t="s">
        <v>595</v>
      </c>
      <c r="B84" s="321">
        <v>20464280.870000001</v>
      </c>
      <c r="C84" s="321"/>
      <c r="D84" s="321"/>
      <c r="E84" s="321">
        <v>7953274.8799999999</v>
      </c>
      <c r="F84" s="321">
        <f t="shared" si="6"/>
        <v>12511005.990000002</v>
      </c>
      <c r="G84" s="321">
        <v>574972.68000000005</v>
      </c>
      <c r="H84" s="32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row>
    <row r="85" spans="1:33">
      <c r="A85" s="421" t="s">
        <v>596</v>
      </c>
      <c r="B85" s="321">
        <v>18211721.23</v>
      </c>
      <c r="C85" s="321"/>
      <c r="D85" s="321"/>
      <c r="E85" s="321">
        <v>8596922.6199999992</v>
      </c>
      <c r="F85" s="321">
        <f t="shared" si="6"/>
        <v>9614798.6100000013</v>
      </c>
      <c r="G85" s="321">
        <v>518936.08</v>
      </c>
      <c r="H85" s="32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row>
    <row r="86" spans="1:33">
      <c r="A86" s="421" t="s">
        <v>597</v>
      </c>
      <c r="B86" s="321">
        <v>4143807.01</v>
      </c>
      <c r="C86" s="321"/>
      <c r="D86" s="321"/>
      <c r="E86" s="321">
        <v>3321110.78</v>
      </c>
      <c r="F86" s="321">
        <f t="shared" si="6"/>
        <v>822696.23</v>
      </c>
      <c r="G86" s="321">
        <v>70982.89</v>
      </c>
      <c r="H86" s="32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row>
    <row r="87" spans="1:33">
      <c r="A87" s="421" t="s">
        <v>598</v>
      </c>
      <c r="B87" s="321">
        <v>9511443.4800000004</v>
      </c>
      <c r="C87" s="321"/>
      <c r="D87" s="321"/>
      <c r="E87" s="321">
        <v>3931293.74</v>
      </c>
      <c r="F87" s="321">
        <f t="shared" si="6"/>
        <v>5580149.7400000002</v>
      </c>
      <c r="G87" s="321">
        <v>469502.02</v>
      </c>
      <c r="H87" s="32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row>
    <row r="88" spans="1:33">
      <c r="A88" s="421" t="s">
        <v>599</v>
      </c>
      <c r="B88" s="321">
        <v>2384805.63</v>
      </c>
      <c r="C88" s="321"/>
      <c r="D88" s="321"/>
      <c r="E88" s="321">
        <v>1610076.68</v>
      </c>
      <c r="F88" s="321">
        <f t="shared" si="6"/>
        <v>774728.95</v>
      </c>
      <c r="G88" s="321">
        <v>97035.19</v>
      </c>
      <c r="H88" s="32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row>
    <row r="89" spans="1:33">
      <c r="A89" s="421" t="s">
        <v>600</v>
      </c>
      <c r="B89" s="321">
        <v>314695.2</v>
      </c>
      <c r="C89" s="321"/>
      <c r="D89" s="321"/>
      <c r="E89" s="321">
        <v>212658.18</v>
      </c>
      <c r="F89" s="321">
        <f t="shared" si="6"/>
        <v>102037.02000000002</v>
      </c>
      <c r="G89" s="321">
        <v>8162.5</v>
      </c>
      <c r="H89" s="32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row>
    <row r="90" spans="1:33">
      <c r="A90" s="421" t="s">
        <v>601</v>
      </c>
      <c r="B90" s="321">
        <v>8093384.6600000001</v>
      </c>
      <c r="C90" s="321"/>
      <c r="D90" s="321"/>
      <c r="E90" s="321">
        <v>4612486.29</v>
      </c>
      <c r="F90" s="321">
        <f t="shared" si="6"/>
        <v>3480898.37</v>
      </c>
      <c r="G90" s="321">
        <v>301212.31</v>
      </c>
      <c r="H90" s="32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row>
    <row r="91" spans="1:33" ht="17.25">
      <c r="A91" s="421" t="s">
        <v>602</v>
      </c>
      <c r="B91" s="322">
        <v>0</v>
      </c>
      <c r="C91" s="322"/>
      <c r="D91" s="322"/>
      <c r="E91" s="322">
        <v>0</v>
      </c>
      <c r="F91" s="322">
        <f t="shared" si="6"/>
        <v>0</v>
      </c>
      <c r="G91" s="322">
        <v>0</v>
      </c>
      <c r="H91" s="32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row>
    <row r="92" spans="1:33" ht="17.25">
      <c r="A92" s="422" t="s">
        <v>605</v>
      </c>
      <c r="B92" s="321">
        <f>SUM(B77:B91)</f>
        <v>127618438.93000001</v>
      </c>
      <c r="C92" s="322"/>
      <c r="D92" s="321"/>
      <c r="E92" s="321">
        <f t="shared" ref="E92:G92" si="7">SUM(E77:E91)</f>
        <v>57217429.140000001</v>
      </c>
      <c r="F92" s="321">
        <f t="shared" si="7"/>
        <v>70401009.790000007</v>
      </c>
      <c r="G92" s="321">
        <f t="shared" si="7"/>
        <v>4158516.5700000003</v>
      </c>
      <c r="H92" s="32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row>
    <row r="93" spans="1:33" ht="17.25">
      <c r="A93" s="421" t="s">
        <v>812</v>
      </c>
      <c r="B93" s="322">
        <v>-160310</v>
      </c>
      <c r="C93" s="322"/>
      <c r="D93" s="322"/>
      <c r="E93" s="322">
        <v>0</v>
      </c>
      <c r="F93" s="322">
        <f t="shared" ref="F93" si="8">B93-E93</f>
        <v>-160310</v>
      </c>
      <c r="G93" s="322">
        <v>0</v>
      </c>
      <c r="H93" s="32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row>
    <row r="94" spans="1:33">
      <c r="A94" s="422"/>
      <c r="B94" s="423" t="s">
        <v>603</v>
      </c>
      <c r="C94" s="420"/>
      <c r="D94" s="420"/>
      <c r="E94" s="423" t="s">
        <v>604</v>
      </c>
      <c r="F94" s="420"/>
      <c r="G94" s="420"/>
      <c r="H94" s="32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row>
    <row r="95" spans="1:33">
      <c r="A95" s="422" t="s">
        <v>813</v>
      </c>
      <c r="B95" s="425">
        <f>SUM(B92:B93)</f>
        <v>127458128.93000001</v>
      </c>
      <c r="C95" s="321" t="s">
        <v>606</v>
      </c>
      <c r="D95" s="320"/>
      <c r="E95" s="425">
        <f>SUM(E92:E93)</f>
        <v>57217429.140000001</v>
      </c>
      <c r="F95" s="320">
        <f>SUM(F92:F93)</f>
        <v>70240699.790000007</v>
      </c>
      <c r="G95" s="320">
        <f>SUM(G92:G93)</f>
        <v>4158516.5700000003</v>
      </c>
      <c r="H95" s="32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row>
    <row r="96" spans="1:33">
      <c r="A96" s="422"/>
      <c r="B96" s="420"/>
      <c r="C96" s="420"/>
      <c r="D96" s="420"/>
      <c r="E96" s="420"/>
      <c r="F96" s="420"/>
      <c r="G96" s="420"/>
      <c r="H96" s="323"/>
      <c r="I96" s="313"/>
      <c r="J96" s="313"/>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13"/>
    </row>
    <row r="97" spans="1:33">
      <c r="A97" s="327" t="s">
        <v>607</v>
      </c>
      <c r="B97" s="420"/>
      <c r="C97" s="420"/>
      <c r="D97" s="420"/>
      <c r="E97" s="420"/>
      <c r="F97" s="420"/>
      <c r="G97" s="420"/>
      <c r="H97" s="32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row>
    <row r="98" spans="1:33">
      <c r="A98" s="421" t="s">
        <v>608</v>
      </c>
      <c r="B98" s="320">
        <v>0</v>
      </c>
      <c r="C98" s="320"/>
      <c r="D98" s="320"/>
      <c r="E98" s="320">
        <v>0</v>
      </c>
      <c r="F98" s="320">
        <f>B98-E98</f>
        <v>0</v>
      </c>
      <c r="G98" s="320">
        <v>0</v>
      </c>
      <c r="H98" s="32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row>
    <row r="99" spans="1:33">
      <c r="A99" s="421" t="s">
        <v>609</v>
      </c>
      <c r="B99" s="321">
        <v>0</v>
      </c>
      <c r="C99" s="321"/>
      <c r="D99" s="321"/>
      <c r="E99" s="321">
        <v>0</v>
      </c>
      <c r="F99" s="321">
        <f t="shared" ref="F99:F100" si="9">B99-E99</f>
        <v>0</v>
      </c>
      <c r="G99" s="321">
        <v>0</v>
      </c>
      <c r="H99" s="323"/>
      <c r="I99" s="313"/>
      <c r="J99" s="313"/>
      <c r="K99" s="313"/>
      <c r="L99" s="313"/>
      <c r="M99" s="313"/>
      <c r="N99" s="313"/>
      <c r="O99" s="313"/>
      <c r="P99" s="313"/>
      <c r="Q99" s="313"/>
      <c r="R99" s="313"/>
      <c r="S99" s="313"/>
      <c r="T99" s="313"/>
      <c r="U99" s="313"/>
      <c r="V99" s="313"/>
      <c r="W99" s="313"/>
      <c r="X99" s="313"/>
      <c r="Y99" s="313"/>
      <c r="Z99" s="313"/>
      <c r="AA99" s="313"/>
      <c r="AB99" s="313"/>
      <c r="AC99" s="313"/>
      <c r="AD99" s="313"/>
      <c r="AE99" s="313"/>
      <c r="AF99" s="313"/>
      <c r="AG99" s="313"/>
    </row>
    <row r="100" spans="1:33" ht="17.25">
      <c r="A100" s="421" t="s">
        <v>610</v>
      </c>
      <c r="B100" s="322">
        <v>367762.19</v>
      </c>
      <c r="C100" s="322"/>
      <c r="D100" s="322"/>
      <c r="E100" s="322">
        <v>25844.799999999999</v>
      </c>
      <c r="F100" s="322">
        <f t="shared" si="9"/>
        <v>341917.39</v>
      </c>
      <c r="G100" s="322">
        <v>12922.36</v>
      </c>
      <c r="H100" s="32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row>
    <row r="101" spans="1:33" ht="17.25">
      <c r="A101" s="421"/>
      <c r="B101" s="322"/>
      <c r="C101" s="322"/>
      <c r="D101" s="322"/>
      <c r="E101" s="322"/>
      <c r="F101" s="322"/>
      <c r="G101" s="322"/>
      <c r="H101" s="323"/>
      <c r="I101" s="313"/>
      <c r="J101" s="313"/>
      <c r="K101" s="313"/>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row>
    <row r="102" spans="1:33">
      <c r="A102" s="422"/>
      <c r="B102" s="328" t="s">
        <v>611</v>
      </c>
      <c r="C102" s="321"/>
      <c r="D102" s="321"/>
      <c r="E102" s="328" t="s">
        <v>612</v>
      </c>
      <c r="F102" s="321"/>
      <c r="G102" s="328" t="s">
        <v>628</v>
      </c>
      <c r="H102" s="323"/>
      <c r="I102" s="313"/>
      <c r="J102" s="313"/>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row>
    <row r="103" spans="1:33">
      <c r="A103" s="422" t="s">
        <v>613</v>
      </c>
      <c r="B103" s="425">
        <f>SUM(B98:B100)</f>
        <v>367762.19</v>
      </c>
      <c r="C103" s="321" t="s">
        <v>614</v>
      </c>
      <c r="D103" s="320"/>
      <c r="E103" s="425">
        <f>SUM(E98:E100)</f>
        <v>25844.799999999999</v>
      </c>
      <c r="F103" s="320">
        <f>SUM(F98:F100)</f>
        <v>341917.39</v>
      </c>
      <c r="G103" s="425">
        <f>SUM(G98:G100)</f>
        <v>12922.36</v>
      </c>
      <c r="H103" s="323"/>
      <c r="I103" s="313"/>
      <c r="J103" s="313"/>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row>
    <row r="104" spans="1:33">
      <c r="A104" s="422"/>
      <c r="B104" s="420"/>
      <c r="C104" s="420"/>
      <c r="D104" s="420"/>
      <c r="E104" s="420"/>
      <c r="F104" s="420"/>
      <c r="G104" s="420"/>
      <c r="H104" s="323"/>
      <c r="I104" s="313"/>
      <c r="J104" s="313"/>
      <c r="K104" s="313"/>
      <c r="L104" s="313"/>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row>
    <row r="105" spans="1:33">
      <c r="A105" s="327" t="s">
        <v>615</v>
      </c>
      <c r="B105" s="420"/>
      <c r="C105" s="420"/>
      <c r="D105" s="420"/>
      <c r="E105" s="420"/>
      <c r="F105" s="420"/>
      <c r="G105" s="420"/>
      <c r="H105" s="32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row>
    <row r="106" spans="1:33">
      <c r="A106" s="421" t="s">
        <v>616</v>
      </c>
      <c r="B106" s="320">
        <v>438067.5</v>
      </c>
      <c r="C106" s="320"/>
      <c r="D106" s="320"/>
      <c r="E106" s="320">
        <v>0</v>
      </c>
      <c r="F106" s="320">
        <f>B106-E106</f>
        <v>438067.5</v>
      </c>
      <c r="G106" s="320">
        <v>0</v>
      </c>
      <c r="H106" s="323"/>
      <c r="I106" s="313"/>
      <c r="J106" s="313"/>
      <c r="K106" s="313"/>
      <c r="L106" s="313"/>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row>
    <row r="107" spans="1:33">
      <c r="A107" s="421" t="s">
        <v>617</v>
      </c>
      <c r="B107" s="321">
        <v>14132007.970000001</v>
      </c>
      <c r="C107" s="321"/>
      <c r="D107" s="321"/>
      <c r="E107" s="321">
        <v>5846140.5199999996</v>
      </c>
      <c r="F107" s="321">
        <f t="shared" ref="F107:F117" si="10">B107-E107</f>
        <v>8285867.4500000011</v>
      </c>
      <c r="G107" s="321">
        <v>461767.19</v>
      </c>
      <c r="H107" s="32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row>
    <row r="108" spans="1:33">
      <c r="A108" s="421" t="s">
        <v>618</v>
      </c>
      <c r="B108" s="321">
        <v>13742731.57</v>
      </c>
      <c r="C108" s="321"/>
      <c r="D108" s="321"/>
      <c r="E108" s="321">
        <v>10305247.75</v>
      </c>
      <c r="F108" s="321">
        <f t="shared" si="10"/>
        <v>3437483.8200000003</v>
      </c>
      <c r="G108" s="321">
        <v>1113805.3799999999</v>
      </c>
      <c r="H108" s="32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row>
    <row r="109" spans="1:33">
      <c r="A109" s="421" t="s">
        <v>619</v>
      </c>
      <c r="B109" s="321">
        <v>5883222.79</v>
      </c>
      <c r="C109" s="321"/>
      <c r="D109" s="321"/>
      <c r="E109" s="321">
        <v>3568800.06</v>
      </c>
      <c r="F109" s="321">
        <f t="shared" si="10"/>
        <v>2314422.73</v>
      </c>
      <c r="G109" s="321">
        <v>265475.43</v>
      </c>
      <c r="H109" s="323"/>
      <c r="I109" s="313"/>
      <c r="J109" s="313"/>
      <c r="K109" s="313"/>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row>
    <row r="110" spans="1:33">
      <c r="A110" s="421" t="s">
        <v>620</v>
      </c>
      <c r="B110" s="321">
        <v>56986.91</v>
      </c>
      <c r="C110" s="321"/>
      <c r="D110" s="321"/>
      <c r="E110" s="321">
        <v>52402.78</v>
      </c>
      <c r="F110" s="321">
        <f t="shared" si="10"/>
        <v>4584.1300000000047</v>
      </c>
      <c r="G110" s="321">
        <v>3856.96</v>
      </c>
      <c r="H110" s="323"/>
      <c r="I110" s="313"/>
      <c r="J110" s="313"/>
      <c r="K110" s="313"/>
      <c r="L110" s="313"/>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row>
    <row r="111" spans="1:33">
      <c r="A111" s="421" t="s">
        <v>621</v>
      </c>
      <c r="B111" s="321">
        <v>259577.57</v>
      </c>
      <c r="C111" s="321"/>
      <c r="D111" s="321"/>
      <c r="E111" s="321">
        <v>172106.09</v>
      </c>
      <c r="F111" s="321">
        <f t="shared" si="10"/>
        <v>87471.48000000001</v>
      </c>
      <c r="G111" s="321">
        <v>14912.77</v>
      </c>
      <c r="H111" s="323"/>
      <c r="I111" s="313"/>
      <c r="J111" s="313"/>
      <c r="K111" s="313"/>
      <c r="L111" s="313"/>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row>
    <row r="112" spans="1:33">
      <c r="A112" s="421" t="s">
        <v>622</v>
      </c>
      <c r="B112" s="321">
        <v>343202.17</v>
      </c>
      <c r="C112" s="321"/>
      <c r="D112" s="321"/>
      <c r="E112" s="321">
        <v>296134.37</v>
      </c>
      <c r="F112" s="321">
        <f t="shared" si="10"/>
        <v>47067.799999999988</v>
      </c>
      <c r="G112" s="321">
        <v>9685.58</v>
      </c>
      <c r="H112" s="323"/>
      <c r="I112" s="313"/>
      <c r="J112" s="313"/>
      <c r="K112" s="313"/>
      <c r="L112" s="313"/>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row>
    <row r="113" spans="1:33">
      <c r="A113" s="421" t="s">
        <v>623</v>
      </c>
      <c r="B113" s="321">
        <v>559107.15</v>
      </c>
      <c r="C113" s="321"/>
      <c r="D113" s="321"/>
      <c r="E113" s="321">
        <v>407007.86</v>
      </c>
      <c r="F113" s="321">
        <f t="shared" si="10"/>
        <v>152099.29000000004</v>
      </c>
      <c r="G113" s="321">
        <v>27940.039999999997</v>
      </c>
      <c r="H113" s="323"/>
      <c r="I113" s="313"/>
      <c r="J113" s="313"/>
      <c r="K113" s="313"/>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row>
    <row r="114" spans="1:33">
      <c r="A114" s="421" t="s">
        <v>624</v>
      </c>
      <c r="B114" s="321">
        <v>2747429.2</v>
      </c>
      <c r="C114" s="321"/>
      <c r="D114" s="321"/>
      <c r="E114" s="321">
        <v>2227007.66</v>
      </c>
      <c r="F114" s="321">
        <f t="shared" si="10"/>
        <v>520421.54000000004</v>
      </c>
      <c r="G114" s="321">
        <v>55873.760000000002</v>
      </c>
      <c r="H114" s="32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row>
    <row r="115" spans="1:33">
      <c r="A115" s="421" t="s">
        <v>625</v>
      </c>
      <c r="B115" s="321">
        <v>582777.48</v>
      </c>
      <c r="C115" s="321"/>
      <c r="D115" s="321"/>
      <c r="E115" s="321">
        <v>143948.78</v>
      </c>
      <c r="F115" s="321">
        <f t="shared" si="10"/>
        <v>438828.69999999995</v>
      </c>
      <c r="G115" s="321">
        <v>55756.25</v>
      </c>
      <c r="H115" s="32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row>
    <row r="116" spans="1:33">
      <c r="A116" s="421" t="s">
        <v>626</v>
      </c>
      <c r="B116" s="321">
        <v>0</v>
      </c>
      <c r="C116" s="321"/>
      <c r="D116" s="321"/>
      <c r="E116" s="321">
        <v>0</v>
      </c>
      <c r="F116" s="321">
        <f t="shared" si="10"/>
        <v>0</v>
      </c>
      <c r="G116" s="321">
        <v>0</v>
      </c>
      <c r="H116" s="32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row>
    <row r="117" spans="1:33" ht="17.25">
      <c r="A117" s="421" t="s">
        <v>627</v>
      </c>
      <c r="B117" s="322">
        <v>0</v>
      </c>
      <c r="C117" s="322"/>
      <c r="D117" s="322"/>
      <c r="E117" s="322">
        <v>0</v>
      </c>
      <c r="F117" s="322">
        <f t="shared" si="10"/>
        <v>0</v>
      </c>
      <c r="G117" s="322">
        <v>0</v>
      </c>
      <c r="H117" s="32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row>
    <row r="118" spans="1:33">
      <c r="A118" s="316"/>
      <c r="B118" s="321"/>
      <c r="C118" s="321"/>
      <c r="D118" s="321"/>
      <c r="E118" s="321"/>
      <c r="F118" s="321"/>
      <c r="G118" s="321"/>
      <c r="H118" s="32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row>
    <row r="119" spans="1:33">
      <c r="A119" s="316"/>
      <c r="B119" s="328" t="s">
        <v>611</v>
      </c>
      <c r="C119" s="321"/>
      <c r="D119" s="321"/>
      <c r="E119" s="328" t="s">
        <v>612</v>
      </c>
      <c r="F119" s="321"/>
      <c r="G119" s="328" t="s">
        <v>628</v>
      </c>
      <c r="H119" s="32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row>
    <row r="120" spans="1:33">
      <c r="A120" s="430" t="s">
        <v>629</v>
      </c>
      <c r="B120" s="425">
        <f>SUM(B106:B117)</f>
        <v>38745110.309999995</v>
      </c>
      <c r="C120" s="321" t="s">
        <v>630</v>
      </c>
      <c r="D120" s="320"/>
      <c r="E120" s="425">
        <f>SUM(E106:E117)</f>
        <v>23018795.870000001</v>
      </c>
      <c r="F120" s="320">
        <f>SUM(F106:F117)</f>
        <v>15726314.440000001</v>
      </c>
      <c r="G120" s="425">
        <f>SUM(G106:G117)</f>
        <v>2009073.3599999999</v>
      </c>
      <c r="H120" s="323"/>
      <c r="I120" s="313"/>
      <c r="J120" s="313"/>
      <c r="K120" s="313"/>
      <c r="L120" s="313"/>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row>
    <row r="121" spans="1:33" ht="17.25">
      <c r="A121" s="316"/>
      <c r="B121" s="322"/>
      <c r="C121" s="322"/>
      <c r="D121" s="322"/>
      <c r="E121" s="322"/>
      <c r="F121" s="322"/>
      <c r="G121" s="322"/>
      <c r="H121" s="323"/>
      <c r="I121" s="313"/>
      <c r="J121" s="313"/>
      <c r="K121" s="313"/>
      <c r="L121" s="313"/>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row>
    <row r="122" spans="1:33" ht="21">
      <c r="A122" s="431" t="s">
        <v>631</v>
      </c>
      <c r="B122" s="432">
        <f>B53+B74+B95+B103+B120</f>
        <v>300295658.63</v>
      </c>
      <c r="C122" s="432"/>
      <c r="D122" s="432"/>
      <c r="E122" s="432">
        <f>E53+E74+E95+E103+E120</f>
        <v>173248304.68000001</v>
      </c>
      <c r="F122" s="432">
        <f>F53+F74+F95+F103+F120</f>
        <v>127047353.95</v>
      </c>
      <c r="G122" s="432">
        <f>G53+G74+G95+G103+G120</f>
        <v>9836553.1699999999</v>
      </c>
      <c r="H122" s="323"/>
      <c r="I122" s="313"/>
      <c r="J122" s="313"/>
      <c r="K122" s="313"/>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row>
    <row r="123" spans="1:33">
      <c r="A123" s="313"/>
      <c r="B123" s="325"/>
      <c r="C123" s="325"/>
      <c r="D123" s="325"/>
      <c r="E123" s="325"/>
      <c r="F123" s="325"/>
      <c r="G123" s="325"/>
      <c r="H123" s="323"/>
      <c r="I123" s="313"/>
      <c r="J123" s="313"/>
      <c r="K123" s="313"/>
      <c r="L123" s="313"/>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row>
    <row r="124" spans="1:33">
      <c r="A124" s="313"/>
      <c r="B124" s="323"/>
      <c r="C124" s="323"/>
      <c r="D124" s="323"/>
      <c r="E124" s="323"/>
      <c r="F124" s="323"/>
      <c r="G124" s="323"/>
      <c r="H124" s="323"/>
      <c r="I124" s="313"/>
      <c r="J124" s="313"/>
      <c r="K124" s="313"/>
      <c r="L124" s="313"/>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row>
    <row r="125" spans="1:33">
      <c r="A125" s="313"/>
      <c r="B125" s="323"/>
      <c r="C125" s="323"/>
      <c r="D125" s="323"/>
      <c r="E125" s="323"/>
      <c r="F125" s="323"/>
      <c r="G125" s="323"/>
      <c r="H125" s="323"/>
      <c r="I125" s="313"/>
      <c r="J125" s="313"/>
      <c r="K125" s="313"/>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row>
    <row r="126" spans="1:33">
      <c r="A126" s="313"/>
      <c r="B126" s="323"/>
      <c r="C126" s="323"/>
      <c r="D126" s="323"/>
      <c r="E126" s="323"/>
      <c r="F126" s="323"/>
      <c r="G126" s="323"/>
      <c r="H126" s="323"/>
      <c r="I126" s="313"/>
      <c r="J126" s="313"/>
      <c r="K126" s="313"/>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row>
    <row r="127" spans="1:33">
      <c r="A127" s="313"/>
      <c r="B127" s="313"/>
      <c r="C127" s="313"/>
      <c r="D127" s="313"/>
      <c r="E127" s="313"/>
      <c r="F127" s="313"/>
      <c r="G127" s="323"/>
      <c r="H127" s="323"/>
      <c r="I127" s="323"/>
      <c r="J127" s="323"/>
      <c r="K127" s="323"/>
      <c r="L127" s="313"/>
      <c r="M127" s="313"/>
      <c r="N127" s="313"/>
      <c r="O127" s="313"/>
      <c r="P127" s="313"/>
      <c r="Q127" s="313"/>
      <c r="R127" s="313"/>
      <c r="S127" s="313"/>
      <c r="T127" s="313"/>
      <c r="U127" s="313"/>
      <c r="V127" s="313"/>
      <c r="W127" s="313"/>
      <c r="X127" s="313"/>
      <c r="Y127" s="313"/>
      <c r="Z127" s="313"/>
      <c r="AA127" s="313"/>
      <c r="AB127" s="313"/>
      <c r="AC127" s="313"/>
      <c r="AD127" s="313"/>
      <c r="AE127" s="313"/>
      <c r="AF127" s="313"/>
      <c r="AG127" s="313"/>
    </row>
    <row r="128" spans="1:33">
      <c r="A128" s="313"/>
      <c r="B128" s="313"/>
      <c r="C128" s="313"/>
      <c r="D128" s="313"/>
      <c r="E128" s="313"/>
      <c r="F128" s="313"/>
      <c r="G128" s="323"/>
      <c r="H128" s="323"/>
      <c r="I128" s="323"/>
      <c r="J128" s="323"/>
      <c r="K128" s="32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row>
    <row r="129" spans="1:33">
      <c r="A129" s="313"/>
      <c r="B129" s="313"/>
      <c r="C129" s="313"/>
      <c r="D129" s="313"/>
      <c r="E129" s="313"/>
      <c r="F129" s="313"/>
      <c r="G129" s="323"/>
      <c r="H129" s="323"/>
      <c r="I129" s="323"/>
      <c r="J129" s="323"/>
      <c r="K129" s="32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row>
    <row r="130" spans="1:33">
      <c r="A130" s="313"/>
      <c r="B130" s="313"/>
      <c r="C130" s="313"/>
      <c r="D130" s="313"/>
      <c r="E130" s="313"/>
      <c r="F130" s="313"/>
      <c r="G130" s="323"/>
      <c r="H130" s="323"/>
      <c r="I130" s="323"/>
      <c r="J130" s="323"/>
      <c r="K130" s="32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row>
    <row r="131" spans="1:33">
      <c r="A131" s="313"/>
      <c r="B131" s="313"/>
      <c r="C131" s="313"/>
      <c r="D131" s="313"/>
      <c r="E131" s="313"/>
      <c r="F131" s="313"/>
      <c r="G131" s="323"/>
      <c r="H131" s="323"/>
      <c r="I131" s="323"/>
      <c r="J131" s="323"/>
      <c r="K131" s="32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row>
    <row r="132" spans="1:33">
      <c r="A132" s="313"/>
      <c r="B132" s="313"/>
      <c r="C132" s="313"/>
      <c r="D132" s="313"/>
      <c r="E132" s="313"/>
      <c r="F132" s="313"/>
      <c r="G132" s="323"/>
      <c r="H132" s="323"/>
      <c r="I132" s="323"/>
      <c r="J132" s="323"/>
      <c r="K132" s="32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row>
    <row r="133" spans="1:33">
      <c r="A133" s="313"/>
      <c r="B133" s="313"/>
      <c r="C133" s="313"/>
      <c r="D133" s="313"/>
      <c r="E133" s="313"/>
      <c r="F133" s="313"/>
      <c r="G133" s="323"/>
      <c r="H133" s="323"/>
      <c r="I133" s="323"/>
      <c r="J133" s="323"/>
      <c r="K133" s="323"/>
      <c r="L133" s="313"/>
      <c r="M133" s="313"/>
      <c r="N133" s="313"/>
      <c r="O133" s="313"/>
      <c r="P133" s="313"/>
      <c r="Q133" s="313"/>
      <c r="R133" s="313"/>
      <c r="S133" s="313"/>
      <c r="T133" s="313"/>
      <c r="U133" s="313"/>
      <c r="V133" s="313"/>
      <c r="W133" s="313"/>
      <c r="X133" s="313"/>
      <c r="Y133" s="313"/>
      <c r="Z133" s="313"/>
      <c r="AA133" s="313"/>
      <c r="AB133" s="313"/>
      <c r="AC133" s="313"/>
      <c r="AD133" s="313"/>
      <c r="AE133" s="313"/>
      <c r="AF133" s="313"/>
      <c r="AG133" s="313"/>
    </row>
    <row r="134" spans="1:33">
      <c r="A134" s="313"/>
      <c r="B134" s="313"/>
      <c r="C134" s="313"/>
      <c r="D134" s="313"/>
      <c r="E134" s="313"/>
      <c r="F134" s="313"/>
      <c r="G134" s="323"/>
      <c r="H134" s="323"/>
      <c r="I134" s="323"/>
      <c r="J134" s="323"/>
      <c r="K134" s="323"/>
      <c r="L134" s="313"/>
      <c r="M134" s="313"/>
      <c r="N134" s="313"/>
      <c r="O134" s="313"/>
      <c r="P134" s="313"/>
      <c r="Q134" s="313"/>
      <c r="R134" s="313"/>
      <c r="S134" s="313"/>
      <c r="T134" s="313"/>
      <c r="U134" s="313"/>
      <c r="V134" s="313"/>
      <c r="W134" s="313"/>
      <c r="X134" s="313"/>
      <c r="Y134" s="313"/>
      <c r="Z134" s="313"/>
      <c r="AA134" s="313"/>
      <c r="AB134" s="313"/>
      <c r="AC134" s="313"/>
      <c r="AD134" s="313"/>
      <c r="AE134" s="313"/>
      <c r="AF134" s="313"/>
      <c r="AG134" s="313"/>
    </row>
    <row r="135" spans="1:33">
      <c r="A135" s="313"/>
      <c r="B135" s="313"/>
      <c r="C135" s="313"/>
      <c r="D135" s="313"/>
      <c r="E135" s="313"/>
      <c r="F135" s="313"/>
      <c r="G135" s="323"/>
      <c r="H135" s="323"/>
      <c r="I135" s="323"/>
      <c r="J135" s="323"/>
      <c r="K135" s="323"/>
      <c r="L135" s="313"/>
      <c r="M135" s="313"/>
      <c r="N135" s="313"/>
      <c r="O135" s="313"/>
      <c r="P135" s="313"/>
      <c r="Q135" s="313"/>
      <c r="R135" s="313"/>
      <c r="S135" s="313"/>
      <c r="T135" s="313"/>
      <c r="U135" s="313"/>
      <c r="V135" s="313"/>
      <c r="W135" s="313"/>
      <c r="X135" s="313"/>
      <c r="Y135" s="313"/>
      <c r="Z135" s="313"/>
      <c r="AA135" s="313"/>
      <c r="AB135" s="313"/>
      <c r="AC135" s="313"/>
      <c r="AD135" s="313"/>
      <c r="AE135" s="313"/>
      <c r="AF135" s="313"/>
      <c r="AG135" s="313"/>
    </row>
    <row r="136" spans="1:33">
      <c r="A136" s="313"/>
      <c r="B136" s="313"/>
      <c r="C136" s="313"/>
      <c r="D136" s="313"/>
      <c r="E136" s="313"/>
      <c r="F136" s="313"/>
      <c r="G136" s="323"/>
      <c r="H136" s="323"/>
      <c r="I136" s="323"/>
      <c r="J136" s="323"/>
      <c r="K136" s="323"/>
      <c r="L136" s="313"/>
      <c r="M136" s="313"/>
      <c r="N136" s="313"/>
      <c r="O136" s="313"/>
      <c r="P136" s="313"/>
      <c r="Q136" s="313"/>
      <c r="R136" s="313"/>
      <c r="S136" s="313"/>
      <c r="T136" s="313"/>
      <c r="U136" s="313"/>
      <c r="V136" s="313"/>
      <c r="W136" s="313"/>
      <c r="X136" s="313"/>
      <c r="Y136" s="313"/>
      <c r="Z136" s="313"/>
      <c r="AA136" s="313"/>
      <c r="AB136" s="313"/>
      <c r="AC136" s="313"/>
      <c r="AD136" s="313"/>
      <c r="AE136" s="313"/>
      <c r="AF136" s="313"/>
      <c r="AG136" s="313"/>
    </row>
    <row r="137" spans="1:33">
      <c r="A137" s="313"/>
      <c r="B137" s="313"/>
      <c r="C137" s="313"/>
      <c r="D137" s="313"/>
      <c r="E137" s="313"/>
      <c r="F137" s="313"/>
      <c r="G137" s="323"/>
      <c r="H137" s="323"/>
      <c r="I137" s="323"/>
      <c r="J137" s="323"/>
      <c r="K137" s="323"/>
      <c r="L137" s="313"/>
      <c r="M137" s="313"/>
      <c r="N137" s="313"/>
      <c r="O137" s="313"/>
      <c r="P137" s="313"/>
      <c r="Q137" s="313"/>
      <c r="R137" s="313"/>
      <c r="S137" s="313"/>
      <c r="T137" s="313"/>
      <c r="U137" s="313"/>
      <c r="V137" s="313"/>
      <c r="W137" s="313"/>
      <c r="X137" s="313"/>
      <c r="Y137" s="313"/>
      <c r="Z137" s="313"/>
      <c r="AA137" s="313"/>
      <c r="AB137" s="313"/>
      <c r="AC137" s="313"/>
      <c r="AD137" s="313"/>
      <c r="AE137" s="313"/>
      <c r="AF137" s="313"/>
      <c r="AG137" s="313"/>
    </row>
    <row r="138" spans="1:33">
      <c r="A138" s="313"/>
      <c r="B138" s="313"/>
      <c r="C138" s="313"/>
      <c r="D138" s="313"/>
      <c r="E138" s="313"/>
      <c r="F138" s="313"/>
      <c r="G138" s="323"/>
      <c r="H138" s="323"/>
      <c r="I138" s="323"/>
      <c r="J138" s="323"/>
      <c r="K138" s="323"/>
      <c r="L138" s="313"/>
      <c r="M138" s="313"/>
      <c r="N138" s="313"/>
      <c r="O138" s="313"/>
      <c r="P138" s="313"/>
      <c r="Q138" s="313"/>
      <c r="R138" s="313"/>
      <c r="S138" s="313"/>
      <c r="T138" s="313"/>
      <c r="U138" s="313"/>
      <c r="V138" s="313"/>
      <c r="W138" s="313"/>
      <c r="X138" s="313"/>
      <c r="Y138" s="313"/>
      <c r="Z138" s="313"/>
      <c r="AA138" s="313"/>
      <c r="AB138" s="313"/>
      <c r="AC138" s="313"/>
      <c r="AD138" s="313"/>
      <c r="AE138" s="313"/>
      <c r="AF138" s="313"/>
      <c r="AG138" s="313"/>
    </row>
    <row r="139" spans="1:33">
      <c r="A139" s="313"/>
      <c r="B139" s="313"/>
      <c r="C139" s="313"/>
      <c r="D139" s="313"/>
      <c r="E139" s="313"/>
      <c r="F139" s="313"/>
      <c r="G139" s="323"/>
      <c r="H139" s="323"/>
      <c r="I139" s="323"/>
      <c r="J139" s="323"/>
      <c r="K139" s="323"/>
      <c r="L139" s="313"/>
      <c r="M139" s="313"/>
      <c r="N139" s="313"/>
      <c r="O139" s="313"/>
      <c r="P139" s="313"/>
      <c r="Q139" s="313"/>
      <c r="R139" s="313"/>
      <c r="S139" s="313"/>
      <c r="T139" s="313"/>
      <c r="U139" s="313"/>
      <c r="V139" s="313"/>
      <c r="W139" s="313"/>
      <c r="X139" s="313"/>
      <c r="Y139" s="313"/>
      <c r="Z139" s="313"/>
      <c r="AA139" s="313"/>
      <c r="AB139" s="313"/>
      <c r="AC139" s="313"/>
      <c r="AD139" s="313"/>
      <c r="AE139" s="313"/>
      <c r="AF139" s="313"/>
      <c r="AG139" s="313"/>
    </row>
    <row r="140" spans="1:33">
      <c r="A140" s="313"/>
      <c r="B140" s="313"/>
      <c r="C140" s="313"/>
      <c r="D140" s="313"/>
      <c r="E140" s="313"/>
      <c r="F140" s="313"/>
      <c r="G140" s="323"/>
      <c r="H140" s="323"/>
      <c r="I140" s="323"/>
      <c r="J140" s="323"/>
      <c r="K140" s="323"/>
      <c r="L140" s="313"/>
      <c r="M140" s="313"/>
      <c r="N140" s="313"/>
      <c r="O140" s="313"/>
      <c r="P140" s="313"/>
      <c r="Q140" s="313"/>
      <c r="R140" s="313"/>
      <c r="S140" s="313"/>
      <c r="T140" s="313"/>
      <c r="U140" s="313"/>
      <c r="V140" s="313"/>
      <c r="W140" s="313"/>
      <c r="X140" s="313"/>
      <c r="Y140" s="313"/>
      <c r="Z140" s="313"/>
      <c r="AA140" s="313"/>
      <c r="AB140" s="313"/>
      <c r="AC140" s="313"/>
      <c r="AD140" s="313"/>
      <c r="AE140" s="313"/>
      <c r="AF140" s="313"/>
      <c r="AG140" s="313"/>
    </row>
    <row r="141" spans="1:33">
      <c r="A141" s="313"/>
      <c r="B141" s="313"/>
      <c r="C141" s="313"/>
      <c r="D141" s="313"/>
      <c r="E141" s="313"/>
      <c r="F141" s="313"/>
      <c r="G141" s="323"/>
      <c r="H141" s="323"/>
      <c r="I141" s="323"/>
      <c r="J141" s="323"/>
      <c r="K141" s="323"/>
      <c r="L141" s="313"/>
      <c r="M141" s="313"/>
      <c r="N141" s="313"/>
      <c r="O141" s="313"/>
      <c r="P141" s="313"/>
      <c r="Q141" s="313"/>
      <c r="R141" s="313"/>
      <c r="S141" s="313"/>
      <c r="T141" s="313"/>
      <c r="U141" s="313"/>
      <c r="V141" s="313"/>
      <c r="W141" s="313"/>
      <c r="X141" s="313"/>
      <c r="Y141" s="313"/>
      <c r="Z141" s="313"/>
      <c r="AA141" s="313"/>
      <c r="AB141" s="313"/>
      <c r="AC141" s="313"/>
      <c r="AD141" s="313"/>
      <c r="AE141" s="313"/>
      <c r="AF141" s="313"/>
      <c r="AG141" s="313"/>
    </row>
    <row r="142" spans="1:33">
      <c r="A142" s="313"/>
      <c r="B142" s="313"/>
      <c r="C142" s="313"/>
      <c r="D142" s="313"/>
      <c r="E142" s="313"/>
      <c r="F142" s="313"/>
      <c r="G142" s="323"/>
      <c r="H142" s="323"/>
      <c r="I142" s="323"/>
      <c r="J142" s="323"/>
      <c r="K142" s="323"/>
      <c r="L142" s="313"/>
      <c r="M142" s="313"/>
      <c r="N142" s="313"/>
      <c r="O142" s="313"/>
      <c r="P142" s="313"/>
      <c r="Q142" s="313"/>
      <c r="R142" s="313"/>
      <c r="S142" s="313"/>
      <c r="T142" s="313"/>
      <c r="U142" s="313"/>
      <c r="V142" s="313"/>
      <c r="W142" s="313"/>
      <c r="X142" s="313"/>
      <c r="Y142" s="313"/>
      <c r="Z142" s="313"/>
      <c r="AA142" s="313"/>
      <c r="AB142" s="313"/>
      <c r="AC142" s="313"/>
      <c r="AD142" s="313"/>
      <c r="AE142" s="313"/>
      <c r="AF142" s="313"/>
      <c r="AG142" s="313"/>
    </row>
    <row r="143" spans="1:33">
      <c r="A143" s="313"/>
      <c r="B143" s="313"/>
      <c r="C143" s="313"/>
      <c r="D143" s="313"/>
      <c r="E143" s="313"/>
      <c r="F143" s="313"/>
      <c r="G143" s="323"/>
      <c r="H143" s="323"/>
      <c r="I143" s="323"/>
      <c r="J143" s="323"/>
      <c r="K143" s="323"/>
      <c r="L143" s="313"/>
      <c r="M143" s="313"/>
      <c r="N143" s="313"/>
      <c r="O143" s="313"/>
      <c r="P143" s="313"/>
      <c r="Q143" s="313"/>
      <c r="R143" s="313"/>
      <c r="S143" s="313"/>
      <c r="T143" s="313"/>
      <c r="U143" s="313"/>
      <c r="V143" s="313"/>
      <c r="W143" s="313"/>
      <c r="X143" s="313"/>
      <c r="Y143" s="313"/>
      <c r="Z143" s="313"/>
      <c r="AA143" s="313"/>
      <c r="AB143" s="313"/>
      <c r="AC143" s="313"/>
      <c r="AD143" s="313"/>
      <c r="AE143" s="313"/>
      <c r="AF143" s="313"/>
      <c r="AG143" s="313"/>
    </row>
    <row r="144" spans="1:33">
      <c r="A144" s="313"/>
      <c r="B144" s="313"/>
      <c r="C144" s="313"/>
      <c r="D144" s="313"/>
      <c r="E144" s="313"/>
      <c r="F144" s="313"/>
      <c r="G144" s="323"/>
      <c r="H144" s="323"/>
      <c r="I144" s="323"/>
      <c r="J144" s="323"/>
      <c r="K144" s="323"/>
      <c r="L144" s="313"/>
      <c r="M144" s="313"/>
      <c r="N144" s="313"/>
      <c r="O144" s="313"/>
      <c r="P144" s="313"/>
      <c r="Q144" s="313"/>
      <c r="R144" s="313"/>
      <c r="S144" s="313"/>
      <c r="T144" s="313"/>
      <c r="U144" s="313"/>
      <c r="V144" s="313"/>
      <c r="W144" s="313"/>
      <c r="X144" s="313"/>
      <c r="Y144" s="313"/>
      <c r="Z144" s="313"/>
      <c r="AA144" s="313"/>
      <c r="AB144" s="313"/>
      <c r="AC144" s="313"/>
      <c r="AD144" s="313"/>
      <c r="AE144" s="313"/>
      <c r="AF144" s="313"/>
      <c r="AG144" s="313"/>
    </row>
    <row r="145" spans="1:33">
      <c r="A145" s="313"/>
      <c r="B145" s="313"/>
      <c r="C145" s="313"/>
      <c r="D145" s="313"/>
      <c r="E145" s="313"/>
      <c r="F145" s="313"/>
      <c r="G145" s="323"/>
      <c r="H145" s="323"/>
      <c r="I145" s="323"/>
      <c r="J145" s="323"/>
      <c r="K145" s="323"/>
      <c r="L145" s="313"/>
      <c r="M145" s="313"/>
      <c r="N145" s="313"/>
      <c r="O145" s="313"/>
      <c r="P145" s="313"/>
      <c r="Q145" s="313"/>
      <c r="R145" s="313"/>
      <c r="S145" s="313"/>
      <c r="T145" s="313"/>
      <c r="U145" s="313"/>
      <c r="V145" s="313"/>
      <c r="W145" s="313"/>
      <c r="X145" s="313"/>
      <c r="Y145" s="313"/>
      <c r="Z145" s="313"/>
      <c r="AA145" s="313"/>
      <c r="AB145" s="313"/>
      <c r="AC145" s="313"/>
      <c r="AD145" s="313"/>
      <c r="AE145" s="313"/>
      <c r="AF145" s="313"/>
      <c r="AG145" s="313"/>
    </row>
    <row r="146" spans="1:33">
      <c r="A146" s="313"/>
      <c r="B146" s="313"/>
      <c r="C146" s="313"/>
      <c r="D146" s="313"/>
      <c r="E146" s="313"/>
      <c r="F146" s="313"/>
      <c r="G146" s="323"/>
      <c r="H146" s="323"/>
      <c r="I146" s="323"/>
      <c r="J146" s="323"/>
      <c r="K146" s="323"/>
      <c r="L146" s="313"/>
      <c r="M146" s="313"/>
      <c r="N146" s="313"/>
      <c r="O146" s="313"/>
      <c r="P146" s="313"/>
      <c r="Q146" s="313"/>
      <c r="R146" s="313"/>
      <c r="S146" s="313"/>
      <c r="T146" s="313"/>
      <c r="U146" s="313"/>
      <c r="V146" s="313"/>
      <c r="W146" s="313"/>
      <c r="X146" s="313"/>
      <c r="Y146" s="313"/>
      <c r="Z146" s="313"/>
      <c r="AA146" s="313"/>
      <c r="AB146" s="313"/>
      <c r="AC146" s="313"/>
      <c r="AD146" s="313"/>
      <c r="AE146" s="313"/>
      <c r="AF146" s="313"/>
      <c r="AG146" s="313"/>
    </row>
    <row r="147" spans="1:33">
      <c r="A147" s="313"/>
      <c r="B147" s="313"/>
      <c r="C147" s="313"/>
      <c r="D147" s="313"/>
      <c r="E147" s="313"/>
      <c r="F147" s="313"/>
      <c r="G147" s="323"/>
      <c r="H147" s="323"/>
      <c r="I147" s="323"/>
      <c r="J147" s="323"/>
      <c r="K147" s="32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row>
    <row r="148" spans="1:33">
      <c r="A148" s="313"/>
      <c r="B148" s="313"/>
      <c r="C148" s="313"/>
      <c r="D148" s="313"/>
      <c r="E148" s="313"/>
      <c r="F148" s="313"/>
      <c r="G148" s="323"/>
      <c r="H148" s="323"/>
      <c r="I148" s="323"/>
      <c r="J148" s="323"/>
      <c r="K148" s="323"/>
      <c r="L148" s="313"/>
      <c r="M148" s="313"/>
      <c r="N148" s="313"/>
      <c r="O148" s="313"/>
      <c r="P148" s="313"/>
      <c r="Q148" s="313"/>
      <c r="R148" s="313"/>
      <c r="S148" s="313"/>
      <c r="T148" s="313"/>
      <c r="U148" s="313"/>
      <c r="V148" s="313"/>
      <c r="W148" s="313"/>
      <c r="X148" s="313"/>
      <c r="Y148" s="313"/>
      <c r="Z148" s="313"/>
      <c r="AA148" s="313"/>
      <c r="AB148" s="313"/>
      <c r="AC148" s="313"/>
      <c r="AD148" s="313"/>
      <c r="AE148" s="313"/>
      <c r="AF148" s="313"/>
      <c r="AG148" s="313"/>
    </row>
    <row r="149" spans="1:33">
      <c r="A149" s="313"/>
      <c r="B149" s="313"/>
      <c r="C149" s="313"/>
      <c r="D149" s="313"/>
      <c r="E149" s="313"/>
      <c r="F149" s="313"/>
      <c r="G149" s="323"/>
      <c r="H149" s="323"/>
      <c r="I149" s="323"/>
      <c r="J149" s="323"/>
      <c r="K149" s="323"/>
      <c r="L149" s="313"/>
      <c r="M149" s="313"/>
      <c r="N149" s="313"/>
      <c r="O149" s="313"/>
      <c r="P149" s="313"/>
      <c r="Q149" s="313"/>
      <c r="R149" s="313"/>
      <c r="S149" s="313"/>
      <c r="T149" s="313"/>
      <c r="U149" s="313"/>
      <c r="V149" s="313"/>
      <c r="W149" s="313"/>
      <c r="X149" s="313"/>
      <c r="Y149" s="313"/>
      <c r="Z149" s="313"/>
      <c r="AA149" s="313"/>
      <c r="AB149" s="313"/>
      <c r="AC149" s="313"/>
      <c r="AD149" s="313"/>
      <c r="AE149" s="313"/>
      <c r="AF149" s="313"/>
      <c r="AG149" s="313"/>
    </row>
    <row r="150" spans="1:33">
      <c r="A150" s="313"/>
      <c r="B150" s="313"/>
      <c r="C150" s="313"/>
      <c r="D150" s="313"/>
      <c r="E150" s="313"/>
      <c r="F150" s="313"/>
      <c r="G150" s="323"/>
      <c r="H150" s="323"/>
      <c r="I150" s="323"/>
      <c r="J150" s="323"/>
      <c r="K150" s="323"/>
      <c r="L150" s="313"/>
      <c r="M150" s="313"/>
      <c r="N150" s="313"/>
      <c r="O150" s="313"/>
      <c r="P150" s="313"/>
      <c r="Q150" s="313"/>
      <c r="R150" s="313"/>
      <c r="S150" s="313"/>
      <c r="T150" s="313"/>
      <c r="U150" s="313"/>
      <c r="V150" s="313"/>
      <c r="W150" s="313"/>
      <c r="X150" s="313"/>
      <c r="Y150" s="313"/>
      <c r="Z150" s="313"/>
      <c r="AA150" s="313"/>
      <c r="AB150" s="313"/>
      <c r="AC150" s="313"/>
      <c r="AD150" s="313"/>
      <c r="AE150" s="313"/>
      <c r="AF150" s="313"/>
      <c r="AG150" s="313"/>
    </row>
    <row r="151" spans="1:33">
      <c r="A151" s="313"/>
      <c r="B151" s="313"/>
      <c r="C151" s="313"/>
      <c r="D151" s="313"/>
      <c r="E151" s="313"/>
      <c r="F151" s="313"/>
      <c r="G151" s="323"/>
      <c r="H151" s="323"/>
      <c r="I151" s="323"/>
      <c r="J151" s="323"/>
      <c r="K151" s="32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row>
    <row r="152" spans="1:33">
      <c r="A152" s="313"/>
      <c r="B152" s="313"/>
      <c r="C152" s="313"/>
      <c r="D152" s="313"/>
      <c r="E152" s="313"/>
      <c r="F152" s="313"/>
      <c r="G152" s="323"/>
      <c r="H152" s="323"/>
      <c r="I152" s="323"/>
      <c r="J152" s="323"/>
      <c r="K152" s="32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row>
    <row r="153" spans="1:33">
      <c r="A153" s="313"/>
      <c r="B153" s="313"/>
      <c r="C153" s="313"/>
      <c r="D153" s="313"/>
      <c r="E153" s="313"/>
      <c r="F153" s="313"/>
      <c r="G153" s="323"/>
      <c r="H153" s="323"/>
      <c r="I153" s="323"/>
      <c r="J153" s="323"/>
      <c r="K153" s="32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row>
    <row r="154" spans="1:33">
      <c r="A154" s="313"/>
      <c r="B154" s="313"/>
      <c r="C154" s="313"/>
      <c r="D154" s="313"/>
      <c r="E154" s="313"/>
      <c r="F154" s="313"/>
      <c r="G154" s="323"/>
      <c r="H154" s="323"/>
      <c r="I154" s="323"/>
      <c r="J154" s="323"/>
      <c r="K154" s="32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row>
    <row r="155" spans="1:33">
      <c r="A155" s="313"/>
      <c r="B155" s="313"/>
      <c r="C155" s="313"/>
      <c r="D155" s="313"/>
      <c r="E155" s="313"/>
      <c r="F155" s="313"/>
      <c r="G155" s="323"/>
      <c r="H155" s="323"/>
      <c r="I155" s="323"/>
      <c r="J155" s="323"/>
      <c r="K155" s="32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row>
    <row r="156" spans="1:33">
      <c r="A156" s="313"/>
      <c r="B156" s="313"/>
      <c r="C156" s="313"/>
      <c r="D156" s="313"/>
      <c r="E156" s="313"/>
      <c r="F156" s="313"/>
      <c r="G156" s="323"/>
      <c r="H156" s="323"/>
      <c r="I156" s="323"/>
      <c r="J156" s="323"/>
      <c r="K156" s="32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row>
    <row r="157" spans="1:33">
      <c r="A157" s="313"/>
      <c r="B157" s="313"/>
      <c r="C157" s="313"/>
      <c r="D157" s="313"/>
      <c r="E157" s="313"/>
      <c r="F157" s="313"/>
      <c r="G157" s="323"/>
      <c r="H157" s="323"/>
      <c r="I157" s="323"/>
      <c r="J157" s="323"/>
      <c r="K157" s="32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row>
    <row r="158" spans="1:33">
      <c r="A158" s="313"/>
      <c r="B158" s="313"/>
      <c r="C158" s="313"/>
      <c r="D158" s="313"/>
      <c r="E158" s="313"/>
      <c r="F158" s="313"/>
      <c r="G158" s="323"/>
      <c r="H158" s="323"/>
      <c r="I158" s="323"/>
      <c r="J158" s="323"/>
      <c r="K158" s="32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row>
    <row r="159" spans="1:33">
      <c r="A159" s="313"/>
      <c r="B159" s="313"/>
      <c r="C159" s="313"/>
      <c r="D159" s="313"/>
      <c r="E159" s="313"/>
      <c r="F159" s="313"/>
      <c r="G159" s="323"/>
      <c r="H159" s="323"/>
      <c r="I159" s="323"/>
      <c r="J159" s="323"/>
      <c r="K159" s="32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row>
    <row r="160" spans="1:33">
      <c r="A160" s="313"/>
      <c r="B160" s="313"/>
      <c r="C160" s="313"/>
      <c r="D160" s="313"/>
      <c r="E160" s="313"/>
      <c r="F160" s="313"/>
      <c r="G160" s="323"/>
      <c r="H160" s="323"/>
      <c r="I160" s="323"/>
      <c r="J160" s="323"/>
      <c r="K160" s="32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row>
    <row r="161" spans="1:33">
      <c r="A161" s="313"/>
      <c r="B161" s="313"/>
      <c r="C161" s="313"/>
      <c r="D161" s="313"/>
      <c r="E161" s="313"/>
      <c r="F161" s="313"/>
      <c r="G161" s="323"/>
      <c r="H161" s="323"/>
      <c r="I161" s="323"/>
      <c r="J161" s="323"/>
      <c r="K161" s="32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row>
    <row r="162" spans="1:33">
      <c r="A162" s="313"/>
      <c r="B162" s="313"/>
      <c r="C162" s="313"/>
      <c r="D162" s="313"/>
      <c r="E162" s="313"/>
      <c r="F162" s="313"/>
      <c r="G162" s="323"/>
      <c r="H162" s="323"/>
      <c r="I162" s="323"/>
      <c r="J162" s="323"/>
      <c r="K162" s="32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row>
    <row r="163" spans="1:33">
      <c r="A163" s="313"/>
      <c r="B163" s="313"/>
      <c r="C163" s="313"/>
      <c r="D163" s="313"/>
      <c r="E163" s="313"/>
      <c r="F163" s="313"/>
      <c r="G163" s="323"/>
      <c r="H163" s="323"/>
      <c r="I163" s="323"/>
      <c r="J163" s="323"/>
      <c r="K163" s="32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row>
    <row r="164" spans="1:33">
      <c r="A164" s="313"/>
      <c r="B164" s="313"/>
      <c r="C164" s="313"/>
      <c r="D164" s="313"/>
      <c r="E164" s="313"/>
      <c r="F164" s="313"/>
      <c r="G164" s="323"/>
      <c r="H164" s="323"/>
      <c r="I164" s="323"/>
      <c r="J164" s="323"/>
      <c r="K164" s="32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row>
    <row r="165" spans="1:33">
      <c r="A165" s="313"/>
      <c r="B165" s="313"/>
      <c r="C165" s="313"/>
      <c r="D165" s="313"/>
      <c r="E165" s="313"/>
      <c r="F165" s="313"/>
      <c r="G165" s="323"/>
      <c r="H165" s="323"/>
      <c r="I165" s="323"/>
      <c r="J165" s="323"/>
      <c r="K165" s="32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row>
    <row r="166" spans="1:33">
      <c r="A166" s="313"/>
      <c r="B166" s="313"/>
      <c r="C166" s="313"/>
      <c r="D166" s="313"/>
      <c r="E166" s="313"/>
      <c r="F166" s="313"/>
      <c r="G166" s="323"/>
      <c r="H166" s="323"/>
      <c r="I166" s="323"/>
      <c r="J166" s="323"/>
      <c r="K166" s="32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row>
    <row r="167" spans="1:33">
      <c r="A167" s="313"/>
      <c r="B167" s="313"/>
      <c r="C167" s="313"/>
      <c r="D167" s="313"/>
      <c r="E167" s="313"/>
      <c r="F167" s="313"/>
      <c r="G167" s="323"/>
      <c r="H167" s="323"/>
      <c r="I167" s="323"/>
      <c r="J167" s="323"/>
      <c r="K167" s="32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row>
    <row r="168" spans="1:33">
      <c r="A168" s="313"/>
      <c r="B168" s="313"/>
      <c r="C168" s="313"/>
      <c r="D168" s="313"/>
      <c r="E168" s="313"/>
      <c r="F168" s="313"/>
      <c r="G168" s="323"/>
      <c r="H168" s="323"/>
      <c r="I168" s="323"/>
      <c r="J168" s="323"/>
      <c r="K168" s="32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row>
    <row r="169" spans="1:33">
      <c r="A169" s="313"/>
      <c r="B169" s="313"/>
      <c r="C169" s="313"/>
      <c r="D169" s="313"/>
      <c r="E169" s="313"/>
      <c r="F169" s="313"/>
      <c r="G169" s="323"/>
      <c r="H169" s="323"/>
      <c r="I169" s="323"/>
      <c r="J169" s="323"/>
      <c r="K169" s="32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row>
    <row r="170" spans="1:33">
      <c r="A170" s="313"/>
      <c r="B170" s="313"/>
      <c r="C170" s="313"/>
      <c r="D170" s="313"/>
      <c r="E170" s="313"/>
      <c r="F170" s="313"/>
      <c r="G170" s="323"/>
      <c r="H170" s="323"/>
      <c r="I170" s="323"/>
      <c r="J170" s="323"/>
      <c r="K170" s="32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row>
    <row r="171" spans="1:33">
      <c r="A171" s="313"/>
      <c r="B171" s="313"/>
      <c r="C171" s="313"/>
      <c r="D171" s="313"/>
      <c r="E171" s="313"/>
      <c r="F171" s="313"/>
      <c r="G171" s="323"/>
      <c r="H171" s="323"/>
      <c r="I171" s="323"/>
      <c r="J171" s="323"/>
      <c r="K171" s="32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row>
    <row r="172" spans="1:33">
      <c r="A172" s="313"/>
      <c r="B172" s="313"/>
      <c r="C172" s="313"/>
      <c r="D172" s="313"/>
      <c r="E172" s="313"/>
      <c r="F172" s="313"/>
      <c r="G172" s="323"/>
      <c r="H172" s="323"/>
      <c r="I172" s="323"/>
      <c r="J172" s="323"/>
      <c r="K172" s="32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row>
    <row r="173" spans="1:33">
      <c r="A173" s="313"/>
      <c r="B173" s="313"/>
      <c r="C173" s="313"/>
      <c r="D173" s="313"/>
      <c r="E173" s="313"/>
      <c r="F173" s="313"/>
      <c r="G173" s="323"/>
      <c r="H173" s="323"/>
      <c r="I173" s="323"/>
      <c r="J173" s="323"/>
      <c r="K173" s="32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row>
    <row r="174" spans="1:33">
      <c r="A174" s="313"/>
      <c r="B174" s="313"/>
      <c r="C174" s="313"/>
      <c r="D174" s="313"/>
      <c r="E174" s="313"/>
      <c r="F174" s="313"/>
      <c r="G174" s="323"/>
      <c r="H174" s="323"/>
      <c r="I174" s="323"/>
      <c r="J174" s="323"/>
      <c r="K174" s="32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row>
    <row r="175" spans="1:33">
      <c r="A175" s="313"/>
      <c r="B175" s="313"/>
      <c r="C175" s="313"/>
      <c r="D175" s="313"/>
      <c r="E175" s="313"/>
      <c r="F175" s="313"/>
      <c r="G175" s="323"/>
      <c r="H175" s="323"/>
      <c r="I175" s="323"/>
      <c r="J175" s="323"/>
      <c r="K175" s="32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row>
    <row r="176" spans="1:33">
      <c r="A176" s="313"/>
      <c r="B176" s="313"/>
      <c r="C176" s="313"/>
      <c r="D176" s="313"/>
      <c r="E176" s="313"/>
      <c r="F176" s="313"/>
      <c r="G176" s="323"/>
      <c r="H176" s="323"/>
      <c r="I176" s="323"/>
      <c r="J176" s="323"/>
      <c r="K176" s="32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row>
    <row r="177" spans="1:33">
      <c r="A177" s="313"/>
      <c r="B177" s="313"/>
      <c r="C177" s="313"/>
      <c r="D177" s="313"/>
      <c r="E177" s="313"/>
      <c r="F177" s="313"/>
      <c r="G177" s="323"/>
      <c r="H177" s="323"/>
      <c r="I177" s="323"/>
      <c r="J177" s="323"/>
      <c r="K177" s="32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row>
    <row r="178" spans="1:33">
      <c r="A178" s="313"/>
      <c r="B178" s="313"/>
      <c r="C178" s="313"/>
      <c r="D178" s="313"/>
      <c r="E178" s="313"/>
      <c r="F178" s="313"/>
      <c r="G178" s="323"/>
      <c r="H178" s="323"/>
      <c r="I178" s="323"/>
      <c r="J178" s="323"/>
      <c r="K178" s="32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row>
    <row r="179" spans="1:33">
      <c r="A179" s="313"/>
      <c r="B179" s="313"/>
      <c r="C179" s="313"/>
      <c r="D179" s="313"/>
      <c r="E179" s="313"/>
      <c r="F179" s="313"/>
      <c r="G179" s="323"/>
      <c r="H179" s="323"/>
      <c r="I179" s="323"/>
      <c r="J179" s="323"/>
      <c r="K179" s="32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row>
    <row r="180" spans="1:33">
      <c r="A180" s="313"/>
      <c r="B180" s="313"/>
      <c r="C180" s="313"/>
      <c r="D180" s="313"/>
      <c r="E180" s="313"/>
      <c r="F180" s="313"/>
      <c r="G180" s="323"/>
      <c r="H180" s="323"/>
      <c r="I180" s="323"/>
      <c r="J180" s="323"/>
      <c r="K180" s="32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row>
    <row r="181" spans="1:33">
      <c r="A181" s="313"/>
      <c r="B181" s="313"/>
      <c r="C181" s="313"/>
      <c r="D181" s="313"/>
      <c r="E181" s="313"/>
      <c r="F181" s="313"/>
      <c r="G181" s="323"/>
      <c r="H181" s="323"/>
      <c r="I181" s="323"/>
      <c r="J181" s="323"/>
      <c r="K181" s="32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row>
    <row r="182" spans="1:33">
      <c r="A182" s="313"/>
      <c r="B182" s="313"/>
      <c r="C182" s="313"/>
      <c r="D182" s="313"/>
      <c r="E182" s="313"/>
      <c r="F182" s="313"/>
      <c r="G182" s="323"/>
      <c r="H182" s="323"/>
      <c r="I182" s="323"/>
      <c r="J182" s="323"/>
      <c r="K182" s="32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row>
    <row r="183" spans="1:33">
      <c r="A183" s="313"/>
      <c r="B183" s="313"/>
      <c r="C183" s="313"/>
      <c r="D183" s="313"/>
      <c r="E183" s="313"/>
      <c r="F183" s="313"/>
      <c r="G183" s="323"/>
      <c r="H183" s="323"/>
      <c r="I183" s="323"/>
      <c r="J183" s="323"/>
      <c r="K183" s="32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row>
    <row r="184" spans="1:33">
      <c r="A184" s="313"/>
      <c r="B184" s="313"/>
      <c r="C184" s="313"/>
      <c r="D184" s="313"/>
      <c r="E184" s="313"/>
      <c r="F184" s="313"/>
      <c r="G184" s="323"/>
      <c r="H184" s="323"/>
      <c r="I184" s="323"/>
      <c r="J184" s="323"/>
      <c r="K184" s="32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row>
    <row r="185" spans="1:33">
      <c r="A185" s="313"/>
      <c r="B185" s="313"/>
      <c r="C185" s="313"/>
      <c r="D185" s="313"/>
      <c r="E185" s="313"/>
      <c r="F185" s="313"/>
      <c r="G185" s="323"/>
      <c r="H185" s="323"/>
      <c r="I185" s="323"/>
      <c r="J185" s="323"/>
      <c r="K185" s="32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row>
    <row r="186" spans="1:33">
      <c r="A186" s="313"/>
      <c r="B186" s="313"/>
      <c r="C186" s="313"/>
      <c r="D186" s="313"/>
      <c r="E186" s="313"/>
      <c r="F186" s="313"/>
      <c r="G186" s="323"/>
      <c r="H186" s="323"/>
      <c r="I186" s="323"/>
      <c r="J186" s="323"/>
      <c r="K186" s="32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row>
    <row r="187" spans="1:33">
      <c r="A187" s="313"/>
      <c r="B187" s="313"/>
      <c r="C187" s="313"/>
      <c r="D187" s="313"/>
      <c r="E187" s="313"/>
      <c r="F187" s="313"/>
      <c r="G187" s="323"/>
      <c r="H187" s="323"/>
      <c r="I187" s="323"/>
      <c r="J187" s="323"/>
      <c r="K187" s="32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row>
    <row r="188" spans="1:33">
      <c r="A188" s="313"/>
      <c r="B188" s="313"/>
      <c r="C188" s="313"/>
      <c r="D188" s="313"/>
      <c r="E188" s="313"/>
      <c r="F188" s="313"/>
      <c r="G188" s="323"/>
      <c r="H188" s="323"/>
      <c r="I188" s="323"/>
      <c r="J188" s="323"/>
      <c r="K188" s="32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row>
    <row r="189" spans="1:33">
      <c r="A189" s="313"/>
      <c r="B189" s="313"/>
      <c r="C189" s="313"/>
      <c r="D189" s="313"/>
      <c r="E189" s="313"/>
      <c r="F189" s="313"/>
      <c r="G189" s="323"/>
      <c r="H189" s="323"/>
      <c r="I189" s="323"/>
      <c r="J189" s="323"/>
      <c r="K189" s="32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row>
    <row r="190" spans="1:33">
      <c r="A190" s="313"/>
      <c r="B190" s="313"/>
      <c r="C190" s="313"/>
      <c r="D190" s="313"/>
      <c r="E190" s="313"/>
      <c r="F190" s="313"/>
      <c r="G190" s="323"/>
      <c r="H190" s="323"/>
      <c r="I190" s="323"/>
      <c r="J190" s="323"/>
      <c r="K190" s="32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row>
    <row r="191" spans="1:33">
      <c r="A191" s="313"/>
      <c r="B191" s="313"/>
      <c r="C191" s="313"/>
      <c r="D191" s="313"/>
      <c r="E191" s="313"/>
      <c r="F191" s="313"/>
      <c r="G191" s="323"/>
      <c r="H191" s="323"/>
      <c r="I191" s="323"/>
      <c r="J191" s="323"/>
      <c r="K191" s="32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row>
    <row r="192" spans="1:33">
      <c r="A192" s="313"/>
      <c r="B192" s="313"/>
      <c r="C192" s="313"/>
      <c r="D192" s="313"/>
      <c r="E192" s="313"/>
      <c r="F192" s="313"/>
      <c r="G192" s="323"/>
      <c r="H192" s="323"/>
      <c r="I192" s="323"/>
      <c r="J192" s="323"/>
      <c r="K192" s="32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row>
    <row r="193" spans="1:33">
      <c r="A193" s="313"/>
      <c r="B193" s="313"/>
      <c r="C193" s="313"/>
      <c r="D193" s="313"/>
      <c r="E193" s="313"/>
      <c r="F193" s="313"/>
      <c r="G193" s="323"/>
      <c r="H193" s="323"/>
      <c r="I193" s="323"/>
      <c r="J193" s="323"/>
      <c r="K193" s="32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row>
    <row r="194" spans="1:33">
      <c r="A194" s="313"/>
      <c r="B194" s="313"/>
      <c r="C194" s="313"/>
      <c r="D194" s="313"/>
      <c r="E194" s="313"/>
      <c r="F194" s="313"/>
      <c r="G194" s="323"/>
      <c r="H194" s="323"/>
      <c r="I194" s="323"/>
      <c r="J194" s="323"/>
      <c r="K194" s="32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row>
    <row r="195" spans="1:33">
      <c r="A195" s="313"/>
      <c r="B195" s="313"/>
      <c r="C195" s="313"/>
      <c r="D195" s="313"/>
      <c r="E195" s="313"/>
      <c r="F195" s="313"/>
      <c r="G195" s="323"/>
      <c r="H195" s="323"/>
      <c r="I195" s="323"/>
      <c r="J195" s="323"/>
      <c r="K195" s="32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row>
    <row r="196" spans="1:33">
      <c r="A196" s="313"/>
      <c r="B196" s="313"/>
      <c r="C196" s="313"/>
      <c r="D196" s="313"/>
      <c r="E196" s="313"/>
      <c r="F196" s="313"/>
      <c r="G196" s="323"/>
      <c r="H196" s="323"/>
      <c r="I196" s="323"/>
      <c r="J196" s="323"/>
      <c r="K196" s="32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row>
    <row r="197" spans="1:33">
      <c r="A197" s="313"/>
      <c r="B197" s="313"/>
      <c r="C197" s="313"/>
      <c r="D197" s="313"/>
      <c r="E197" s="313"/>
      <c r="F197" s="313"/>
      <c r="G197" s="323"/>
      <c r="H197" s="323"/>
      <c r="I197" s="323"/>
      <c r="J197" s="323"/>
      <c r="K197" s="32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row>
    <row r="198" spans="1:33">
      <c r="A198" s="313"/>
      <c r="B198" s="313"/>
      <c r="C198" s="313"/>
      <c r="D198" s="313"/>
      <c r="E198" s="313"/>
      <c r="F198" s="313"/>
      <c r="G198" s="323"/>
      <c r="H198" s="323"/>
      <c r="I198" s="323"/>
      <c r="J198" s="323"/>
      <c r="K198" s="32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row>
    <row r="199" spans="1:33">
      <c r="A199" s="313"/>
      <c r="B199" s="313"/>
      <c r="C199" s="313"/>
      <c r="D199" s="313"/>
      <c r="E199" s="313"/>
      <c r="F199" s="313"/>
      <c r="G199" s="323"/>
      <c r="H199" s="323"/>
      <c r="I199" s="323"/>
      <c r="J199" s="323"/>
      <c r="K199" s="32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row>
    <row r="200" spans="1:33">
      <c r="A200" s="313"/>
      <c r="B200" s="313"/>
      <c r="C200" s="313"/>
      <c r="D200" s="313"/>
      <c r="E200" s="313"/>
      <c r="F200" s="313"/>
      <c r="G200" s="323"/>
      <c r="H200" s="323"/>
      <c r="I200" s="323"/>
      <c r="J200" s="323"/>
      <c r="K200" s="32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row>
    <row r="201" spans="1:33">
      <c r="A201" s="313"/>
      <c r="B201" s="313"/>
      <c r="C201" s="313"/>
      <c r="D201" s="313"/>
      <c r="E201" s="313"/>
      <c r="F201" s="313"/>
      <c r="G201" s="323"/>
      <c r="H201" s="323"/>
      <c r="I201" s="323"/>
      <c r="J201" s="323"/>
      <c r="K201" s="32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row>
    <row r="202" spans="1:33">
      <c r="A202" s="313"/>
      <c r="B202" s="313"/>
      <c r="C202" s="313"/>
      <c r="D202" s="313"/>
      <c r="E202" s="313"/>
      <c r="F202" s="313"/>
      <c r="G202" s="323"/>
      <c r="H202" s="323"/>
      <c r="I202" s="323"/>
      <c r="J202" s="323"/>
      <c r="K202" s="32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row>
    <row r="203" spans="1:33">
      <c r="A203" s="313"/>
      <c r="B203" s="313"/>
      <c r="C203" s="313"/>
      <c r="D203" s="313"/>
      <c r="E203" s="313"/>
      <c r="F203" s="313"/>
      <c r="G203" s="323"/>
      <c r="H203" s="323"/>
      <c r="I203" s="323"/>
      <c r="J203" s="323"/>
      <c r="K203" s="32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row>
    <row r="204" spans="1:33">
      <c r="A204" s="313"/>
      <c r="B204" s="313"/>
      <c r="C204" s="313"/>
      <c r="D204" s="313"/>
      <c r="E204" s="313"/>
      <c r="F204" s="313"/>
      <c r="G204" s="323"/>
      <c r="H204" s="323"/>
      <c r="I204" s="323"/>
      <c r="J204" s="323"/>
      <c r="K204" s="32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row>
    <row r="205" spans="1:33">
      <c r="A205" s="313"/>
      <c r="B205" s="313"/>
      <c r="C205" s="313"/>
      <c r="D205" s="313"/>
      <c r="E205" s="313"/>
      <c r="F205" s="313"/>
      <c r="G205" s="323"/>
      <c r="H205" s="323"/>
      <c r="I205" s="323"/>
      <c r="J205" s="323"/>
      <c r="K205" s="32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row>
    <row r="206" spans="1:33">
      <c r="A206" s="313"/>
      <c r="B206" s="313"/>
      <c r="C206" s="313"/>
      <c r="D206" s="313"/>
      <c r="E206" s="313"/>
      <c r="F206" s="313"/>
      <c r="G206" s="323"/>
      <c r="H206" s="323"/>
      <c r="I206" s="323"/>
      <c r="J206" s="323"/>
      <c r="K206" s="32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row>
    <row r="207" spans="1:33">
      <c r="A207" s="313"/>
      <c r="B207" s="313"/>
      <c r="C207" s="313"/>
      <c r="D207" s="313"/>
      <c r="E207" s="313"/>
      <c r="F207" s="313"/>
      <c r="G207" s="323"/>
      <c r="H207" s="323"/>
      <c r="I207" s="323"/>
      <c r="J207" s="323"/>
      <c r="K207" s="323"/>
      <c r="L207" s="313"/>
      <c r="M207" s="313"/>
      <c r="N207" s="313"/>
      <c r="O207" s="313"/>
      <c r="P207" s="313"/>
      <c r="Q207" s="313"/>
      <c r="R207" s="313"/>
      <c r="S207" s="313"/>
      <c r="T207" s="313"/>
      <c r="U207" s="313"/>
      <c r="V207" s="313"/>
      <c r="W207" s="313"/>
      <c r="X207" s="313"/>
      <c r="Y207" s="313"/>
      <c r="Z207" s="313"/>
      <c r="AA207" s="313"/>
      <c r="AB207" s="313"/>
      <c r="AC207" s="313"/>
      <c r="AD207" s="313"/>
      <c r="AE207" s="313"/>
      <c r="AF207" s="313"/>
      <c r="AG207" s="313"/>
    </row>
    <row r="208" spans="1:33">
      <c r="A208" s="313"/>
      <c r="B208" s="313"/>
      <c r="C208" s="313"/>
      <c r="D208" s="313"/>
      <c r="E208" s="313"/>
      <c r="F208" s="313"/>
      <c r="G208" s="323"/>
      <c r="H208" s="323"/>
      <c r="I208" s="323"/>
      <c r="J208" s="323"/>
      <c r="K208" s="32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row>
    <row r="209" spans="1:33">
      <c r="A209" s="313"/>
      <c r="B209" s="313"/>
      <c r="C209" s="313"/>
      <c r="D209" s="313"/>
      <c r="E209" s="313"/>
      <c r="F209" s="313"/>
      <c r="G209" s="323"/>
      <c r="H209" s="323"/>
      <c r="I209" s="323"/>
      <c r="J209" s="323"/>
      <c r="K209" s="32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row>
    <row r="210" spans="1:33">
      <c r="A210" s="313"/>
      <c r="B210" s="313"/>
      <c r="C210" s="313"/>
      <c r="D210" s="313"/>
      <c r="E210" s="313"/>
      <c r="F210" s="313"/>
      <c r="G210" s="323"/>
      <c r="H210" s="323"/>
      <c r="I210" s="323"/>
      <c r="J210" s="323"/>
      <c r="K210" s="323"/>
      <c r="L210" s="313"/>
      <c r="M210" s="313"/>
      <c r="N210" s="313"/>
      <c r="O210" s="313"/>
      <c r="P210" s="313"/>
      <c r="Q210" s="313"/>
      <c r="R210" s="313"/>
      <c r="S210" s="313"/>
      <c r="T210" s="313"/>
      <c r="U210" s="313"/>
      <c r="V210" s="313"/>
      <c r="W210" s="313"/>
      <c r="X210" s="313"/>
      <c r="Y210" s="313"/>
      <c r="Z210" s="313"/>
      <c r="AA210" s="313"/>
      <c r="AB210" s="313"/>
      <c r="AC210" s="313"/>
      <c r="AD210" s="313"/>
      <c r="AE210" s="313"/>
      <c r="AF210" s="313"/>
      <c r="AG210" s="313"/>
    </row>
    <row r="211" spans="1:33">
      <c r="A211" s="313"/>
      <c r="B211" s="313"/>
      <c r="C211" s="313"/>
      <c r="D211" s="313"/>
      <c r="E211" s="313"/>
      <c r="F211" s="313"/>
      <c r="G211" s="323"/>
      <c r="H211" s="323"/>
      <c r="I211" s="323"/>
      <c r="J211" s="323"/>
      <c r="K211" s="32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row>
    <row r="212" spans="1:33">
      <c r="A212" s="313"/>
      <c r="B212" s="313"/>
      <c r="C212" s="313"/>
      <c r="D212" s="313"/>
      <c r="E212" s="313"/>
      <c r="F212" s="313"/>
      <c r="G212" s="323"/>
      <c r="H212" s="323"/>
      <c r="I212" s="323"/>
      <c r="J212" s="323"/>
      <c r="K212" s="32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row>
    <row r="213" spans="1:33">
      <c r="A213" s="313"/>
      <c r="B213" s="313"/>
      <c r="C213" s="313"/>
      <c r="D213" s="313"/>
      <c r="E213" s="313"/>
      <c r="F213" s="313"/>
      <c r="G213" s="323"/>
      <c r="H213" s="323"/>
      <c r="I213" s="323"/>
      <c r="J213" s="323"/>
      <c r="K213" s="32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row>
    <row r="214" spans="1:33">
      <c r="A214" s="313"/>
      <c r="B214" s="313"/>
      <c r="C214" s="313"/>
      <c r="D214" s="313"/>
      <c r="E214" s="313"/>
      <c r="F214" s="313"/>
      <c r="G214" s="323"/>
      <c r="H214" s="323"/>
      <c r="I214" s="323"/>
      <c r="J214" s="323"/>
      <c r="K214" s="32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row>
    <row r="215" spans="1:33">
      <c r="A215" s="313"/>
      <c r="B215" s="313"/>
      <c r="C215" s="313"/>
      <c r="D215" s="313"/>
      <c r="E215" s="313"/>
      <c r="F215" s="313"/>
      <c r="G215" s="323"/>
      <c r="H215" s="323"/>
      <c r="I215" s="323"/>
      <c r="J215" s="323"/>
      <c r="K215" s="32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row>
    <row r="216" spans="1:33">
      <c r="A216" s="313"/>
      <c r="B216" s="313"/>
      <c r="C216" s="313"/>
      <c r="D216" s="313"/>
      <c r="E216" s="313"/>
      <c r="F216" s="313"/>
      <c r="G216" s="323"/>
      <c r="H216" s="323"/>
      <c r="I216" s="323"/>
      <c r="J216" s="323"/>
      <c r="K216" s="32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row>
    <row r="217" spans="1:33">
      <c r="A217" s="313"/>
      <c r="B217" s="313"/>
      <c r="C217" s="313"/>
      <c r="D217" s="313"/>
      <c r="E217" s="313"/>
      <c r="F217" s="313"/>
      <c r="G217" s="323"/>
      <c r="H217" s="323"/>
      <c r="I217" s="323"/>
      <c r="J217" s="323"/>
      <c r="K217" s="32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row>
    <row r="218" spans="1:33">
      <c r="A218" s="313"/>
      <c r="B218" s="313"/>
      <c r="C218" s="313"/>
      <c r="D218" s="313"/>
      <c r="E218" s="313"/>
      <c r="F218" s="313"/>
      <c r="G218" s="323"/>
      <c r="H218" s="323"/>
      <c r="I218" s="323"/>
      <c r="J218" s="323"/>
      <c r="K218" s="32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row>
    <row r="219" spans="1:33">
      <c r="A219" s="313"/>
      <c r="B219" s="313"/>
      <c r="C219" s="313"/>
      <c r="D219" s="313"/>
      <c r="E219" s="313"/>
      <c r="F219" s="313"/>
      <c r="G219" s="323"/>
      <c r="H219" s="323"/>
      <c r="I219" s="323"/>
      <c r="J219" s="323"/>
      <c r="K219" s="32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row>
    <row r="220" spans="1:33">
      <c r="A220" s="313"/>
      <c r="B220" s="313"/>
      <c r="C220" s="313"/>
      <c r="D220" s="313"/>
      <c r="E220" s="313"/>
      <c r="F220" s="313"/>
      <c r="G220" s="323"/>
      <c r="H220" s="323"/>
      <c r="I220" s="323"/>
      <c r="J220" s="323"/>
      <c r="K220" s="32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row>
    <row r="221" spans="1:33">
      <c r="A221" s="313"/>
      <c r="B221" s="313"/>
      <c r="C221" s="313"/>
      <c r="D221" s="313"/>
      <c r="E221" s="313"/>
      <c r="F221" s="313"/>
      <c r="G221" s="323"/>
      <c r="H221" s="323"/>
      <c r="I221" s="323"/>
      <c r="J221" s="323"/>
      <c r="K221" s="32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row>
    <row r="222" spans="1:33">
      <c r="A222" s="313"/>
      <c r="B222" s="313"/>
      <c r="C222" s="313"/>
      <c r="D222" s="313"/>
      <c r="E222" s="313"/>
      <c r="F222" s="313"/>
      <c r="G222" s="323"/>
      <c r="H222" s="323"/>
      <c r="I222" s="323"/>
      <c r="J222" s="323"/>
      <c r="K222" s="32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row>
    <row r="223" spans="1:33">
      <c r="A223" s="313"/>
      <c r="B223" s="313"/>
      <c r="C223" s="313"/>
      <c r="D223" s="313"/>
      <c r="E223" s="313"/>
      <c r="F223" s="313"/>
      <c r="G223" s="323"/>
      <c r="H223" s="323"/>
      <c r="I223" s="323"/>
      <c r="J223" s="323"/>
      <c r="K223" s="32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row>
    <row r="224" spans="1:33">
      <c r="A224" s="313"/>
      <c r="B224" s="313"/>
      <c r="C224" s="313"/>
      <c r="D224" s="313"/>
      <c r="E224" s="313"/>
      <c r="F224" s="313"/>
      <c r="G224" s="323"/>
      <c r="H224" s="323"/>
      <c r="I224" s="323"/>
      <c r="J224" s="323"/>
      <c r="K224" s="32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row>
    <row r="225" spans="1:33">
      <c r="A225" s="313"/>
      <c r="B225" s="313"/>
      <c r="C225" s="313"/>
      <c r="D225" s="313"/>
      <c r="E225" s="313"/>
      <c r="F225" s="313"/>
      <c r="G225" s="323"/>
      <c r="H225" s="323"/>
      <c r="I225" s="323"/>
      <c r="J225" s="323"/>
      <c r="K225" s="32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row>
    <row r="226" spans="1:33">
      <c r="A226" s="313"/>
      <c r="B226" s="313"/>
      <c r="C226" s="313"/>
      <c r="D226" s="313"/>
      <c r="E226" s="313"/>
      <c r="F226" s="313"/>
      <c r="G226" s="323"/>
      <c r="H226" s="323"/>
      <c r="I226" s="323"/>
      <c r="J226" s="323"/>
      <c r="K226" s="32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row>
    <row r="227" spans="1:33">
      <c r="A227" s="313"/>
      <c r="B227" s="313"/>
      <c r="C227" s="313"/>
      <c r="D227" s="313"/>
      <c r="E227" s="313"/>
      <c r="F227" s="313"/>
      <c r="G227" s="323"/>
      <c r="H227" s="323"/>
      <c r="I227" s="323"/>
      <c r="J227" s="323"/>
      <c r="K227" s="32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row>
    <row r="228" spans="1:33">
      <c r="A228" s="313"/>
      <c r="B228" s="313"/>
      <c r="C228" s="313"/>
      <c r="D228" s="313"/>
      <c r="E228" s="313"/>
      <c r="F228" s="313"/>
      <c r="G228" s="323"/>
      <c r="H228" s="323"/>
      <c r="I228" s="323"/>
      <c r="J228" s="323"/>
      <c r="K228" s="32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row>
    <row r="229" spans="1:33">
      <c r="A229" s="313"/>
      <c r="B229" s="313"/>
      <c r="C229" s="313"/>
      <c r="D229" s="313"/>
      <c r="E229" s="313"/>
      <c r="F229" s="313"/>
      <c r="G229" s="323"/>
      <c r="H229" s="323"/>
      <c r="I229" s="323"/>
      <c r="J229" s="323"/>
      <c r="K229" s="323"/>
      <c r="L229" s="313"/>
      <c r="M229" s="313"/>
      <c r="N229" s="313"/>
      <c r="O229" s="313"/>
      <c r="P229" s="313"/>
      <c r="Q229" s="313"/>
      <c r="R229" s="313"/>
      <c r="S229" s="313"/>
      <c r="T229" s="313"/>
      <c r="U229" s="313"/>
      <c r="V229" s="313"/>
      <c r="W229" s="313"/>
      <c r="X229" s="313"/>
      <c r="Y229" s="313"/>
      <c r="Z229" s="313"/>
      <c r="AA229" s="313"/>
      <c r="AB229" s="313"/>
      <c r="AC229" s="313"/>
      <c r="AD229" s="313"/>
      <c r="AE229" s="313"/>
      <c r="AF229" s="313"/>
      <c r="AG229" s="313"/>
    </row>
    <row r="230" spans="1:33">
      <c r="A230" s="313"/>
      <c r="B230" s="313"/>
      <c r="C230" s="313"/>
      <c r="D230" s="313"/>
      <c r="E230" s="313"/>
      <c r="F230" s="313"/>
      <c r="G230" s="323"/>
      <c r="H230" s="323"/>
      <c r="I230" s="323"/>
      <c r="J230" s="323"/>
      <c r="K230" s="323"/>
      <c r="L230" s="313"/>
      <c r="M230" s="313"/>
      <c r="N230" s="313"/>
      <c r="O230" s="313"/>
      <c r="P230" s="313"/>
      <c r="Q230" s="313"/>
      <c r="R230" s="313"/>
      <c r="S230" s="313"/>
      <c r="T230" s="313"/>
      <c r="U230" s="313"/>
      <c r="V230" s="313"/>
      <c r="W230" s="313"/>
      <c r="X230" s="313"/>
      <c r="Y230" s="313"/>
      <c r="Z230" s="313"/>
      <c r="AA230" s="313"/>
      <c r="AB230" s="313"/>
      <c r="AC230" s="313"/>
      <c r="AD230" s="313"/>
      <c r="AE230" s="313"/>
      <c r="AF230" s="313"/>
      <c r="AG230" s="313"/>
    </row>
    <row r="231" spans="1:33">
      <c r="A231" s="313"/>
      <c r="B231" s="313"/>
      <c r="C231" s="313"/>
      <c r="D231" s="313"/>
      <c r="E231" s="313"/>
      <c r="F231" s="313"/>
      <c r="G231" s="323"/>
      <c r="H231" s="323"/>
      <c r="I231" s="323"/>
      <c r="J231" s="323"/>
      <c r="K231" s="32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row>
    <row r="232" spans="1:33">
      <c r="A232" s="313"/>
      <c r="B232" s="313"/>
      <c r="C232" s="313"/>
      <c r="D232" s="313"/>
      <c r="E232" s="313"/>
      <c r="F232" s="313"/>
      <c r="G232" s="323"/>
      <c r="H232" s="323"/>
      <c r="I232" s="323"/>
      <c r="J232" s="323"/>
      <c r="K232" s="323"/>
      <c r="L232" s="313"/>
      <c r="M232" s="313"/>
      <c r="N232" s="313"/>
      <c r="O232" s="313"/>
      <c r="P232" s="313"/>
      <c r="Q232" s="313"/>
      <c r="R232" s="313"/>
      <c r="S232" s="313"/>
      <c r="T232" s="313"/>
      <c r="U232" s="313"/>
      <c r="V232" s="313"/>
      <c r="W232" s="313"/>
      <c r="X232" s="313"/>
      <c r="Y232" s="313"/>
      <c r="Z232" s="313"/>
      <c r="AA232" s="313"/>
      <c r="AB232" s="313"/>
      <c r="AC232" s="313"/>
      <c r="AD232" s="313"/>
      <c r="AE232" s="313"/>
      <c r="AF232" s="313"/>
      <c r="AG232" s="313"/>
    </row>
    <row r="233" spans="1:33">
      <c r="A233" s="313"/>
      <c r="B233" s="313"/>
      <c r="C233" s="313"/>
      <c r="D233" s="313"/>
      <c r="E233" s="313"/>
      <c r="F233" s="313"/>
      <c r="G233" s="323"/>
      <c r="H233" s="323"/>
      <c r="I233" s="323"/>
      <c r="J233" s="323"/>
      <c r="K233" s="323"/>
      <c r="L233" s="313"/>
      <c r="M233" s="313"/>
      <c r="N233" s="313"/>
      <c r="O233" s="313"/>
      <c r="P233" s="313"/>
      <c r="Q233" s="313"/>
      <c r="R233" s="313"/>
      <c r="S233" s="313"/>
      <c r="T233" s="313"/>
      <c r="U233" s="313"/>
      <c r="V233" s="313"/>
      <c r="W233" s="313"/>
      <c r="X233" s="313"/>
      <c r="Y233" s="313"/>
      <c r="Z233" s="313"/>
      <c r="AA233" s="313"/>
      <c r="AB233" s="313"/>
      <c r="AC233" s="313"/>
      <c r="AD233" s="313"/>
      <c r="AE233" s="313"/>
      <c r="AF233" s="313"/>
      <c r="AG233" s="313"/>
    </row>
    <row r="234" spans="1:33">
      <c r="A234" s="313"/>
      <c r="B234" s="313"/>
      <c r="C234" s="313"/>
      <c r="D234" s="313"/>
      <c r="E234" s="313"/>
      <c r="F234" s="313"/>
      <c r="G234" s="323"/>
      <c r="H234" s="323"/>
      <c r="I234" s="323"/>
      <c r="J234" s="323"/>
      <c r="K234" s="323"/>
      <c r="L234" s="313"/>
      <c r="M234" s="313"/>
      <c r="N234" s="313"/>
      <c r="O234" s="313"/>
      <c r="P234" s="313"/>
      <c r="Q234" s="313"/>
      <c r="R234" s="313"/>
      <c r="S234" s="313"/>
      <c r="T234" s="313"/>
      <c r="U234" s="313"/>
      <c r="V234" s="313"/>
      <c r="W234" s="313"/>
      <c r="X234" s="313"/>
      <c r="Y234" s="313"/>
      <c r="Z234" s="313"/>
      <c r="AA234" s="313"/>
      <c r="AB234" s="313"/>
      <c r="AC234" s="313"/>
      <c r="AD234" s="313"/>
      <c r="AE234" s="313"/>
      <c r="AF234" s="313"/>
      <c r="AG234" s="313"/>
    </row>
    <row r="235" spans="1:33">
      <c r="A235" s="313"/>
      <c r="B235" s="313"/>
      <c r="C235" s="313"/>
      <c r="D235" s="313"/>
      <c r="E235" s="313"/>
      <c r="F235" s="313"/>
      <c r="G235" s="323"/>
      <c r="H235" s="323"/>
      <c r="I235" s="323"/>
      <c r="J235" s="323"/>
      <c r="K235" s="323"/>
      <c r="L235" s="313"/>
      <c r="M235" s="313"/>
      <c r="N235" s="313"/>
      <c r="O235" s="313"/>
      <c r="P235" s="313"/>
      <c r="Q235" s="313"/>
      <c r="R235" s="313"/>
      <c r="S235" s="313"/>
      <c r="T235" s="313"/>
      <c r="U235" s="313"/>
      <c r="V235" s="313"/>
      <c r="W235" s="313"/>
      <c r="X235" s="313"/>
      <c r="Y235" s="313"/>
      <c r="Z235" s="313"/>
      <c r="AA235" s="313"/>
      <c r="AB235" s="313"/>
      <c r="AC235" s="313"/>
      <c r="AD235" s="313"/>
      <c r="AE235" s="313"/>
      <c r="AF235" s="313"/>
      <c r="AG235" s="313"/>
    </row>
    <row r="236" spans="1:33">
      <c r="A236" s="313"/>
      <c r="B236" s="313"/>
      <c r="C236" s="313"/>
      <c r="D236" s="313"/>
      <c r="E236" s="313"/>
      <c r="F236" s="313"/>
      <c r="G236" s="323"/>
      <c r="H236" s="323"/>
      <c r="I236" s="323"/>
      <c r="J236" s="323"/>
      <c r="K236" s="323"/>
      <c r="L236" s="313"/>
      <c r="M236" s="313"/>
      <c r="N236" s="313"/>
      <c r="O236" s="313"/>
      <c r="P236" s="313"/>
      <c r="Q236" s="313"/>
      <c r="R236" s="313"/>
      <c r="S236" s="313"/>
      <c r="T236" s="313"/>
      <c r="U236" s="313"/>
      <c r="V236" s="313"/>
      <c r="W236" s="313"/>
      <c r="X236" s="313"/>
      <c r="Y236" s="313"/>
      <c r="Z236" s="313"/>
      <c r="AA236" s="313"/>
      <c r="AB236" s="313"/>
      <c r="AC236" s="313"/>
      <c r="AD236" s="313"/>
      <c r="AE236" s="313"/>
      <c r="AF236" s="313"/>
      <c r="AG236" s="313"/>
    </row>
    <row r="237" spans="1:33">
      <c r="A237" s="313"/>
      <c r="B237" s="313"/>
      <c r="C237" s="313"/>
      <c r="D237" s="313"/>
      <c r="E237" s="313"/>
      <c r="F237" s="313"/>
      <c r="G237" s="323"/>
      <c r="H237" s="323"/>
      <c r="I237" s="323"/>
      <c r="J237" s="323"/>
      <c r="K237" s="323"/>
      <c r="L237" s="313"/>
      <c r="M237" s="313"/>
      <c r="N237" s="313"/>
      <c r="O237" s="313"/>
      <c r="P237" s="313"/>
      <c r="Q237" s="313"/>
      <c r="R237" s="313"/>
      <c r="S237" s="313"/>
      <c r="T237" s="313"/>
      <c r="U237" s="313"/>
      <c r="V237" s="313"/>
      <c r="W237" s="313"/>
      <c r="X237" s="313"/>
      <c r="Y237" s="313"/>
      <c r="Z237" s="313"/>
      <c r="AA237" s="313"/>
      <c r="AB237" s="313"/>
      <c r="AC237" s="313"/>
      <c r="AD237" s="313"/>
      <c r="AE237" s="313"/>
      <c r="AF237" s="313"/>
      <c r="AG237" s="313"/>
    </row>
    <row r="238" spans="1:33">
      <c r="A238" s="313"/>
      <c r="B238" s="313"/>
      <c r="C238" s="313"/>
      <c r="D238" s="313"/>
      <c r="E238" s="313"/>
      <c r="F238" s="313"/>
      <c r="G238" s="323"/>
      <c r="H238" s="323"/>
      <c r="I238" s="323"/>
      <c r="J238" s="323"/>
      <c r="K238" s="323"/>
      <c r="L238" s="313"/>
      <c r="M238" s="313"/>
      <c r="N238" s="313"/>
      <c r="O238" s="313"/>
      <c r="P238" s="313"/>
      <c r="Q238" s="313"/>
      <c r="R238" s="313"/>
      <c r="S238" s="313"/>
      <c r="T238" s="313"/>
      <c r="U238" s="313"/>
      <c r="V238" s="313"/>
      <c r="W238" s="313"/>
      <c r="X238" s="313"/>
      <c r="Y238" s="313"/>
      <c r="Z238" s="313"/>
      <c r="AA238" s="313"/>
      <c r="AB238" s="313"/>
      <c r="AC238" s="313"/>
      <c r="AD238" s="313"/>
      <c r="AE238" s="313"/>
      <c r="AF238" s="313"/>
      <c r="AG238" s="313"/>
    </row>
    <row r="239" spans="1:33">
      <c r="A239" s="313"/>
      <c r="B239" s="313"/>
      <c r="C239" s="313"/>
      <c r="D239" s="313"/>
      <c r="E239" s="313"/>
      <c r="F239" s="313"/>
      <c r="G239" s="323"/>
      <c r="H239" s="323"/>
      <c r="I239" s="323"/>
      <c r="J239" s="323"/>
      <c r="K239" s="323"/>
      <c r="L239" s="313"/>
      <c r="M239" s="313"/>
      <c r="N239" s="313"/>
      <c r="O239" s="313"/>
      <c r="P239" s="313"/>
      <c r="Q239" s="313"/>
      <c r="R239" s="313"/>
      <c r="S239" s="313"/>
      <c r="T239" s="313"/>
      <c r="U239" s="313"/>
      <c r="V239" s="313"/>
      <c r="W239" s="313"/>
      <c r="X239" s="313"/>
      <c r="Y239" s="313"/>
      <c r="Z239" s="313"/>
      <c r="AA239" s="313"/>
      <c r="AB239" s="313"/>
      <c r="AC239" s="313"/>
      <c r="AD239" s="313"/>
      <c r="AE239" s="313"/>
      <c r="AF239" s="313"/>
      <c r="AG239" s="313"/>
    </row>
    <row r="240" spans="1:33">
      <c r="A240" s="313"/>
      <c r="B240" s="313"/>
      <c r="C240" s="313"/>
      <c r="D240" s="313"/>
      <c r="E240" s="313"/>
      <c r="F240" s="313"/>
      <c r="G240" s="323"/>
      <c r="H240" s="323"/>
      <c r="I240" s="323"/>
      <c r="J240" s="323"/>
      <c r="K240" s="323"/>
      <c r="L240" s="313"/>
      <c r="M240" s="313"/>
      <c r="N240" s="313"/>
      <c r="O240" s="313"/>
      <c r="P240" s="313"/>
      <c r="Q240" s="313"/>
      <c r="R240" s="313"/>
      <c r="S240" s="313"/>
      <c r="T240" s="313"/>
      <c r="U240" s="313"/>
      <c r="V240" s="313"/>
      <c r="W240" s="313"/>
      <c r="X240" s="313"/>
      <c r="Y240" s="313"/>
      <c r="Z240" s="313"/>
      <c r="AA240" s="313"/>
      <c r="AB240" s="313"/>
      <c r="AC240" s="313"/>
      <c r="AD240" s="313"/>
      <c r="AE240" s="313"/>
      <c r="AF240" s="313"/>
      <c r="AG240" s="313"/>
    </row>
    <row r="241" spans="1:33">
      <c r="A241" s="313"/>
      <c r="B241" s="313"/>
      <c r="C241" s="313"/>
      <c r="D241" s="313"/>
      <c r="E241" s="313"/>
      <c r="F241" s="313"/>
      <c r="G241" s="323"/>
      <c r="H241" s="323"/>
      <c r="I241" s="323"/>
      <c r="J241" s="323"/>
      <c r="K241" s="32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row>
    <row r="242" spans="1:33">
      <c r="A242" s="313"/>
      <c r="B242" s="313"/>
      <c r="C242" s="313"/>
      <c r="D242" s="313"/>
      <c r="E242" s="313"/>
      <c r="F242" s="313"/>
      <c r="G242" s="323"/>
      <c r="H242" s="323"/>
      <c r="I242" s="323"/>
      <c r="J242" s="323"/>
      <c r="K242" s="323"/>
      <c r="L242" s="313"/>
      <c r="M242" s="313"/>
      <c r="N242" s="313"/>
      <c r="O242" s="313"/>
      <c r="P242" s="313"/>
      <c r="Q242" s="313"/>
      <c r="R242" s="313"/>
      <c r="S242" s="313"/>
      <c r="T242" s="313"/>
      <c r="U242" s="313"/>
      <c r="V242" s="313"/>
      <c r="W242" s="313"/>
      <c r="X242" s="313"/>
      <c r="Y242" s="313"/>
      <c r="Z242" s="313"/>
      <c r="AA242" s="313"/>
      <c r="AB242" s="313"/>
      <c r="AC242" s="313"/>
      <c r="AD242" s="313"/>
      <c r="AE242" s="313"/>
      <c r="AF242" s="313"/>
      <c r="AG242" s="313"/>
    </row>
    <row r="243" spans="1:33">
      <c r="A243" s="313"/>
      <c r="B243" s="313"/>
      <c r="C243" s="313"/>
      <c r="D243" s="313"/>
      <c r="E243" s="313"/>
      <c r="F243" s="313"/>
      <c r="G243" s="323"/>
      <c r="H243" s="323"/>
      <c r="I243" s="323"/>
      <c r="J243" s="323"/>
      <c r="K243" s="323"/>
      <c r="L243" s="313"/>
      <c r="M243" s="313"/>
      <c r="N243" s="313"/>
      <c r="O243" s="313"/>
      <c r="P243" s="313"/>
      <c r="Q243" s="313"/>
      <c r="R243" s="313"/>
      <c r="S243" s="313"/>
      <c r="T243" s="313"/>
      <c r="U243" s="313"/>
      <c r="V243" s="313"/>
      <c r="W243" s="313"/>
      <c r="X243" s="313"/>
      <c r="Y243" s="313"/>
      <c r="Z243" s="313"/>
      <c r="AA243" s="313"/>
      <c r="AB243" s="313"/>
      <c r="AC243" s="313"/>
      <c r="AD243" s="313"/>
      <c r="AE243" s="313"/>
      <c r="AF243" s="313"/>
      <c r="AG243" s="313"/>
    </row>
    <row r="244" spans="1:33">
      <c r="A244" s="313"/>
      <c r="B244" s="313"/>
      <c r="C244" s="313"/>
      <c r="D244" s="313"/>
      <c r="E244" s="313"/>
      <c r="F244" s="313"/>
      <c r="G244" s="323"/>
      <c r="H244" s="323"/>
      <c r="I244" s="323"/>
      <c r="J244" s="323"/>
      <c r="K244" s="323"/>
      <c r="L244" s="313"/>
      <c r="M244" s="313"/>
      <c r="N244" s="313"/>
      <c r="O244" s="313"/>
      <c r="P244" s="313"/>
      <c r="Q244" s="313"/>
      <c r="R244" s="313"/>
      <c r="S244" s="313"/>
      <c r="T244" s="313"/>
      <c r="U244" s="313"/>
      <c r="V244" s="313"/>
      <c r="W244" s="313"/>
      <c r="X244" s="313"/>
      <c r="Y244" s="313"/>
      <c r="Z244" s="313"/>
      <c r="AA244" s="313"/>
      <c r="AB244" s="313"/>
      <c r="AC244" s="313"/>
      <c r="AD244" s="313"/>
      <c r="AE244" s="313"/>
      <c r="AF244" s="313"/>
      <c r="AG244" s="313"/>
    </row>
    <row r="245" spans="1:33">
      <c r="A245" s="313"/>
      <c r="B245" s="313"/>
      <c r="C245" s="313"/>
      <c r="D245" s="313"/>
      <c r="E245" s="313"/>
      <c r="F245" s="313"/>
      <c r="G245" s="323"/>
      <c r="H245" s="323"/>
      <c r="I245" s="323"/>
      <c r="J245" s="323"/>
      <c r="K245" s="323"/>
      <c r="L245" s="313"/>
      <c r="M245" s="313"/>
      <c r="N245" s="313"/>
      <c r="O245" s="313"/>
      <c r="P245" s="313"/>
      <c r="Q245" s="313"/>
      <c r="R245" s="313"/>
      <c r="S245" s="313"/>
      <c r="T245" s="313"/>
      <c r="U245" s="313"/>
      <c r="V245" s="313"/>
      <c r="W245" s="313"/>
      <c r="X245" s="313"/>
      <c r="Y245" s="313"/>
      <c r="Z245" s="313"/>
      <c r="AA245" s="313"/>
      <c r="AB245" s="313"/>
      <c r="AC245" s="313"/>
      <c r="AD245" s="313"/>
      <c r="AE245" s="313"/>
      <c r="AF245" s="313"/>
      <c r="AG245" s="313"/>
    </row>
    <row r="246" spans="1:33">
      <c r="A246" s="313"/>
      <c r="B246" s="313"/>
      <c r="C246" s="313"/>
      <c r="D246" s="313"/>
      <c r="E246" s="313"/>
      <c r="F246" s="313"/>
      <c r="G246" s="323"/>
      <c r="H246" s="323"/>
      <c r="I246" s="323"/>
      <c r="J246" s="323"/>
      <c r="K246" s="323"/>
      <c r="L246" s="313"/>
      <c r="M246" s="313"/>
      <c r="N246" s="313"/>
      <c r="O246" s="313"/>
      <c r="P246" s="313"/>
      <c r="Q246" s="313"/>
      <c r="R246" s="313"/>
      <c r="S246" s="313"/>
      <c r="T246" s="313"/>
      <c r="U246" s="313"/>
      <c r="V246" s="313"/>
      <c r="W246" s="313"/>
      <c r="X246" s="313"/>
      <c r="Y246" s="313"/>
      <c r="Z246" s="313"/>
      <c r="AA246" s="313"/>
      <c r="AB246" s="313"/>
      <c r="AC246" s="313"/>
      <c r="AD246" s="313"/>
      <c r="AE246" s="313"/>
      <c r="AF246" s="313"/>
      <c r="AG246" s="313"/>
    </row>
    <row r="247" spans="1:33">
      <c r="A247" s="313"/>
      <c r="B247" s="313"/>
      <c r="C247" s="313"/>
      <c r="D247" s="313"/>
      <c r="E247" s="313"/>
      <c r="F247" s="313"/>
      <c r="G247" s="323"/>
      <c r="H247" s="323"/>
      <c r="I247" s="323"/>
      <c r="J247" s="323"/>
      <c r="K247" s="323"/>
      <c r="L247" s="313"/>
      <c r="M247" s="313"/>
      <c r="N247" s="313"/>
      <c r="O247" s="313"/>
      <c r="P247" s="313"/>
      <c r="Q247" s="313"/>
      <c r="R247" s="313"/>
      <c r="S247" s="313"/>
      <c r="T247" s="313"/>
      <c r="U247" s="313"/>
      <c r="V247" s="313"/>
      <c r="W247" s="313"/>
      <c r="X247" s="313"/>
      <c r="Y247" s="313"/>
      <c r="Z247" s="313"/>
      <c r="AA247" s="313"/>
      <c r="AB247" s="313"/>
      <c r="AC247" s="313"/>
      <c r="AD247" s="313"/>
      <c r="AE247" s="313"/>
      <c r="AF247" s="313"/>
      <c r="AG247" s="313"/>
    </row>
    <row r="248" spans="1:33">
      <c r="A248" s="313"/>
      <c r="B248" s="313"/>
      <c r="C248" s="313"/>
      <c r="D248" s="313"/>
      <c r="E248" s="313"/>
      <c r="F248" s="313"/>
      <c r="G248" s="323"/>
      <c r="H248" s="323"/>
      <c r="I248" s="323"/>
      <c r="J248" s="323"/>
      <c r="K248" s="323"/>
      <c r="L248" s="313"/>
      <c r="M248" s="313"/>
      <c r="N248" s="313"/>
      <c r="O248" s="313"/>
      <c r="P248" s="313"/>
      <c r="Q248" s="313"/>
      <c r="R248" s="313"/>
      <c r="S248" s="313"/>
      <c r="T248" s="313"/>
      <c r="U248" s="313"/>
      <c r="V248" s="313"/>
      <c r="W248" s="313"/>
      <c r="X248" s="313"/>
      <c r="Y248" s="313"/>
      <c r="Z248" s="313"/>
      <c r="AA248" s="313"/>
      <c r="AB248" s="313"/>
      <c r="AC248" s="313"/>
      <c r="AD248" s="313"/>
      <c r="AE248" s="313"/>
      <c r="AF248" s="313"/>
      <c r="AG248" s="313"/>
    </row>
    <row r="249" spans="1:33">
      <c r="A249" s="313"/>
      <c r="B249" s="313"/>
      <c r="C249" s="313"/>
      <c r="D249" s="313"/>
      <c r="E249" s="313"/>
      <c r="F249" s="313"/>
      <c r="G249" s="323"/>
      <c r="H249" s="323"/>
      <c r="I249" s="323"/>
      <c r="J249" s="323"/>
      <c r="K249" s="323"/>
      <c r="L249" s="313"/>
      <c r="M249" s="313"/>
      <c r="N249" s="313"/>
      <c r="O249" s="313"/>
      <c r="P249" s="313"/>
      <c r="Q249" s="313"/>
      <c r="R249" s="313"/>
      <c r="S249" s="313"/>
      <c r="T249" s="313"/>
      <c r="U249" s="313"/>
      <c r="V249" s="313"/>
      <c r="W249" s="313"/>
      <c r="X249" s="313"/>
      <c r="Y249" s="313"/>
      <c r="Z249" s="313"/>
      <c r="AA249" s="313"/>
      <c r="AB249" s="313"/>
      <c r="AC249" s="313"/>
      <c r="AD249" s="313"/>
      <c r="AE249" s="313"/>
      <c r="AF249" s="313"/>
      <c r="AG249" s="313"/>
    </row>
    <row r="250" spans="1:33">
      <c r="A250" s="313"/>
      <c r="B250" s="313"/>
      <c r="C250" s="313"/>
      <c r="D250" s="313"/>
      <c r="E250" s="313"/>
      <c r="F250" s="313"/>
      <c r="G250" s="323"/>
      <c r="H250" s="323"/>
      <c r="I250" s="323"/>
      <c r="J250" s="323"/>
      <c r="K250" s="32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row>
    <row r="251" spans="1:33">
      <c r="A251" s="313"/>
      <c r="B251" s="313"/>
      <c r="C251" s="313"/>
      <c r="D251" s="313"/>
      <c r="E251" s="313"/>
      <c r="F251" s="313"/>
      <c r="G251" s="323"/>
      <c r="H251" s="323"/>
      <c r="I251" s="323"/>
      <c r="J251" s="323"/>
      <c r="K251" s="32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row>
    <row r="252" spans="1:33">
      <c r="A252" s="313"/>
      <c r="B252" s="313"/>
      <c r="C252" s="313"/>
      <c r="D252" s="313"/>
      <c r="E252" s="313"/>
      <c r="F252" s="313"/>
      <c r="G252" s="323"/>
      <c r="H252" s="323"/>
      <c r="I252" s="323"/>
      <c r="J252" s="323"/>
      <c r="K252" s="323"/>
      <c r="L252" s="313"/>
      <c r="M252" s="313"/>
      <c r="N252" s="313"/>
      <c r="O252" s="313"/>
      <c r="P252" s="313"/>
      <c r="Q252" s="313"/>
      <c r="R252" s="313"/>
      <c r="S252" s="313"/>
      <c r="T252" s="313"/>
      <c r="U252" s="313"/>
      <c r="V252" s="313"/>
      <c r="W252" s="313"/>
      <c r="X252" s="313"/>
      <c r="Y252" s="313"/>
      <c r="Z252" s="313"/>
      <c r="AA252" s="313"/>
      <c r="AB252" s="313"/>
      <c r="AC252" s="313"/>
      <c r="AD252" s="313"/>
      <c r="AE252" s="313"/>
      <c r="AF252" s="313"/>
      <c r="AG252" s="313"/>
    </row>
    <row r="253" spans="1:33">
      <c r="A253" s="313"/>
      <c r="B253" s="313"/>
      <c r="C253" s="313"/>
      <c r="D253" s="313"/>
      <c r="E253" s="313"/>
      <c r="F253" s="313"/>
      <c r="G253" s="323"/>
      <c r="H253" s="323"/>
      <c r="I253" s="323"/>
      <c r="J253" s="323"/>
      <c r="K253" s="323"/>
      <c r="L253" s="313"/>
      <c r="M253" s="313"/>
      <c r="N253" s="313"/>
      <c r="O253" s="313"/>
      <c r="P253" s="313"/>
      <c r="Q253" s="313"/>
      <c r="R253" s="313"/>
      <c r="S253" s="313"/>
      <c r="T253" s="313"/>
      <c r="U253" s="313"/>
      <c r="V253" s="313"/>
      <c r="W253" s="313"/>
      <c r="X253" s="313"/>
      <c r="Y253" s="313"/>
      <c r="Z253" s="313"/>
      <c r="AA253" s="313"/>
      <c r="AB253" s="313"/>
      <c r="AC253" s="313"/>
      <c r="AD253" s="313"/>
      <c r="AE253" s="313"/>
      <c r="AF253" s="313"/>
      <c r="AG253" s="313"/>
    </row>
    <row r="254" spans="1:33">
      <c r="A254" s="313"/>
      <c r="B254" s="313"/>
      <c r="C254" s="313"/>
      <c r="D254" s="313"/>
      <c r="E254" s="313"/>
      <c r="F254" s="313"/>
      <c r="G254" s="323"/>
      <c r="H254" s="323"/>
      <c r="I254" s="323"/>
      <c r="J254" s="323"/>
      <c r="K254" s="323"/>
      <c r="L254" s="313"/>
      <c r="M254" s="313"/>
      <c r="N254" s="313"/>
      <c r="O254" s="313"/>
      <c r="P254" s="313"/>
      <c r="Q254" s="313"/>
      <c r="R254" s="313"/>
      <c r="S254" s="313"/>
      <c r="T254" s="313"/>
      <c r="U254" s="313"/>
      <c r="V254" s="313"/>
      <c r="W254" s="313"/>
      <c r="X254" s="313"/>
      <c r="Y254" s="313"/>
      <c r="Z254" s="313"/>
      <c r="AA254" s="313"/>
      <c r="AB254" s="313"/>
      <c r="AC254" s="313"/>
      <c r="AD254" s="313"/>
      <c r="AE254" s="313"/>
      <c r="AF254" s="313"/>
      <c r="AG254" s="313"/>
    </row>
    <row r="255" spans="1:33">
      <c r="A255" s="313"/>
      <c r="B255" s="313"/>
      <c r="C255" s="313"/>
      <c r="D255" s="313"/>
      <c r="E255" s="313"/>
      <c r="F255" s="313"/>
      <c r="G255" s="323"/>
      <c r="H255" s="323"/>
      <c r="I255" s="323"/>
      <c r="J255" s="323"/>
      <c r="K255" s="323"/>
      <c r="L255" s="313"/>
      <c r="M255" s="313"/>
      <c r="N255" s="313"/>
      <c r="O255" s="313"/>
      <c r="P255" s="313"/>
      <c r="Q255" s="313"/>
      <c r="R255" s="313"/>
      <c r="S255" s="313"/>
      <c r="T255" s="313"/>
      <c r="U255" s="313"/>
      <c r="V255" s="313"/>
      <c r="W255" s="313"/>
      <c r="X255" s="313"/>
      <c r="Y255" s="313"/>
      <c r="Z255" s="313"/>
      <c r="AA255" s="313"/>
      <c r="AB255" s="313"/>
      <c r="AC255" s="313"/>
      <c r="AD255" s="313"/>
      <c r="AE255" s="313"/>
      <c r="AF255" s="313"/>
      <c r="AG255" s="313"/>
    </row>
    <row r="256" spans="1:33">
      <c r="A256" s="313"/>
      <c r="B256" s="313"/>
      <c r="C256" s="313"/>
      <c r="D256" s="313"/>
      <c r="E256" s="313"/>
      <c r="F256" s="313"/>
      <c r="G256" s="323"/>
      <c r="H256" s="323"/>
      <c r="I256" s="323"/>
      <c r="J256" s="323"/>
      <c r="K256" s="323"/>
      <c r="L256" s="313"/>
      <c r="M256" s="313"/>
      <c r="N256" s="313"/>
      <c r="O256" s="313"/>
      <c r="P256" s="313"/>
      <c r="Q256" s="313"/>
      <c r="R256" s="313"/>
      <c r="S256" s="313"/>
      <c r="T256" s="313"/>
      <c r="U256" s="313"/>
      <c r="V256" s="313"/>
      <c r="W256" s="313"/>
      <c r="X256" s="313"/>
      <c r="Y256" s="313"/>
      <c r="Z256" s="313"/>
      <c r="AA256" s="313"/>
      <c r="AB256" s="313"/>
      <c r="AC256" s="313"/>
      <c r="AD256" s="313"/>
      <c r="AE256" s="313"/>
      <c r="AF256" s="313"/>
      <c r="AG256" s="313"/>
    </row>
    <row r="257" spans="1:33">
      <c r="A257" s="313"/>
      <c r="B257" s="313"/>
      <c r="C257" s="313"/>
      <c r="D257" s="313"/>
      <c r="E257" s="313"/>
      <c r="F257" s="313"/>
      <c r="G257" s="323"/>
      <c r="H257" s="323"/>
      <c r="I257" s="323"/>
      <c r="J257" s="323"/>
      <c r="K257" s="323"/>
      <c r="L257" s="313"/>
      <c r="M257" s="313"/>
      <c r="N257" s="313"/>
      <c r="O257" s="313"/>
      <c r="P257" s="313"/>
      <c r="Q257" s="313"/>
      <c r="R257" s="313"/>
      <c r="S257" s="313"/>
      <c r="T257" s="313"/>
      <c r="U257" s="313"/>
      <c r="V257" s="313"/>
      <c r="W257" s="313"/>
      <c r="X257" s="313"/>
      <c r="Y257" s="313"/>
      <c r="Z257" s="313"/>
      <c r="AA257" s="313"/>
      <c r="AB257" s="313"/>
      <c r="AC257" s="313"/>
      <c r="AD257" s="313"/>
      <c r="AE257" s="313"/>
      <c r="AF257" s="313"/>
      <c r="AG257" s="313"/>
    </row>
    <row r="258" spans="1:33">
      <c r="A258" s="313"/>
      <c r="B258" s="313"/>
      <c r="C258" s="313"/>
      <c r="D258" s="313"/>
      <c r="E258" s="313"/>
      <c r="F258" s="313"/>
      <c r="G258" s="323"/>
      <c r="H258" s="323"/>
      <c r="I258" s="323"/>
      <c r="J258" s="323"/>
      <c r="K258" s="323"/>
      <c r="L258" s="313"/>
      <c r="M258" s="313"/>
      <c r="N258" s="313"/>
      <c r="O258" s="313"/>
      <c r="P258" s="313"/>
      <c r="Q258" s="313"/>
      <c r="R258" s="313"/>
      <c r="S258" s="313"/>
      <c r="T258" s="313"/>
      <c r="U258" s="313"/>
      <c r="V258" s="313"/>
      <c r="W258" s="313"/>
      <c r="X258" s="313"/>
      <c r="Y258" s="313"/>
      <c r="Z258" s="313"/>
      <c r="AA258" s="313"/>
      <c r="AB258" s="313"/>
      <c r="AC258" s="313"/>
      <c r="AD258" s="313"/>
      <c r="AE258" s="313"/>
      <c r="AF258" s="313"/>
      <c r="AG258" s="313"/>
    </row>
    <row r="259" spans="1:33">
      <c r="A259" s="313"/>
      <c r="B259" s="313"/>
      <c r="C259" s="313"/>
      <c r="D259" s="313"/>
      <c r="E259" s="313"/>
      <c r="F259" s="313"/>
      <c r="G259" s="323"/>
      <c r="H259" s="323"/>
      <c r="I259" s="323"/>
      <c r="J259" s="323"/>
      <c r="K259" s="323"/>
      <c r="L259" s="313"/>
      <c r="M259" s="313"/>
      <c r="N259" s="313"/>
      <c r="O259" s="313"/>
      <c r="P259" s="313"/>
      <c r="Q259" s="313"/>
      <c r="R259" s="313"/>
      <c r="S259" s="313"/>
      <c r="T259" s="313"/>
      <c r="U259" s="313"/>
      <c r="V259" s="313"/>
      <c r="W259" s="313"/>
      <c r="X259" s="313"/>
      <c r="Y259" s="313"/>
      <c r="Z259" s="313"/>
      <c r="AA259" s="313"/>
      <c r="AB259" s="313"/>
      <c r="AC259" s="313"/>
      <c r="AD259" s="313"/>
      <c r="AE259" s="313"/>
      <c r="AF259" s="313"/>
      <c r="AG259" s="313"/>
    </row>
    <row r="260" spans="1:33">
      <c r="A260" s="313"/>
      <c r="B260" s="313"/>
      <c r="C260" s="313"/>
      <c r="D260" s="313"/>
      <c r="E260" s="313"/>
      <c r="F260" s="313"/>
      <c r="G260" s="323"/>
      <c r="H260" s="323"/>
      <c r="I260" s="323"/>
      <c r="J260" s="323"/>
      <c r="K260" s="323"/>
      <c r="L260" s="313"/>
      <c r="M260" s="313"/>
      <c r="N260" s="313"/>
      <c r="O260" s="313"/>
      <c r="P260" s="313"/>
      <c r="Q260" s="313"/>
      <c r="R260" s="313"/>
      <c r="S260" s="313"/>
      <c r="T260" s="313"/>
      <c r="U260" s="313"/>
      <c r="V260" s="313"/>
      <c r="W260" s="313"/>
      <c r="X260" s="313"/>
      <c r="Y260" s="313"/>
      <c r="Z260" s="313"/>
      <c r="AA260" s="313"/>
      <c r="AB260" s="313"/>
      <c r="AC260" s="313"/>
      <c r="AD260" s="313"/>
      <c r="AE260" s="313"/>
      <c r="AF260" s="313"/>
      <c r="AG260" s="313"/>
    </row>
    <row r="261" spans="1:33">
      <c r="A261" s="313"/>
      <c r="B261" s="313"/>
      <c r="C261" s="313"/>
      <c r="D261" s="313"/>
      <c r="E261" s="313"/>
      <c r="F261" s="313"/>
      <c r="G261" s="323"/>
      <c r="H261" s="323"/>
      <c r="I261" s="323"/>
      <c r="J261" s="323"/>
      <c r="K261" s="323"/>
      <c r="L261" s="313"/>
      <c r="M261" s="313"/>
      <c r="N261" s="313"/>
      <c r="O261" s="313"/>
      <c r="P261" s="313"/>
      <c r="Q261" s="313"/>
      <c r="R261" s="313"/>
      <c r="S261" s="313"/>
      <c r="T261" s="313"/>
      <c r="U261" s="313"/>
      <c r="V261" s="313"/>
      <c r="W261" s="313"/>
      <c r="X261" s="313"/>
      <c r="Y261" s="313"/>
      <c r="Z261" s="313"/>
      <c r="AA261" s="313"/>
      <c r="AB261" s="313"/>
      <c r="AC261" s="313"/>
      <c r="AD261" s="313"/>
      <c r="AE261" s="313"/>
      <c r="AF261" s="313"/>
      <c r="AG261" s="313"/>
    </row>
    <row r="262" spans="1:33">
      <c r="A262" s="313"/>
      <c r="B262" s="313"/>
      <c r="C262" s="313"/>
      <c r="D262" s="313"/>
      <c r="E262" s="313"/>
      <c r="F262" s="313"/>
      <c r="G262" s="323"/>
      <c r="H262" s="323"/>
      <c r="I262" s="323"/>
      <c r="J262" s="323"/>
      <c r="K262" s="323"/>
      <c r="L262" s="313"/>
      <c r="M262" s="313"/>
      <c r="N262" s="313"/>
      <c r="O262" s="313"/>
      <c r="P262" s="313"/>
      <c r="Q262" s="313"/>
      <c r="R262" s="313"/>
      <c r="S262" s="313"/>
      <c r="T262" s="313"/>
      <c r="U262" s="313"/>
      <c r="V262" s="313"/>
      <c r="W262" s="313"/>
      <c r="X262" s="313"/>
      <c r="Y262" s="313"/>
      <c r="Z262" s="313"/>
      <c r="AA262" s="313"/>
      <c r="AB262" s="313"/>
      <c r="AC262" s="313"/>
      <c r="AD262" s="313"/>
      <c r="AE262" s="313"/>
      <c r="AF262" s="313"/>
      <c r="AG262" s="313"/>
    </row>
    <row r="263" spans="1:33">
      <c r="A263" s="313"/>
      <c r="B263" s="313"/>
      <c r="C263" s="313"/>
      <c r="D263" s="313"/>
      <c r="E263" s="313"/>
      <c r="F263" s="313"/>
      <c r="G263" s="323"/>
      <c r="H263" s="323"/>
      <c r="I263" s="323"/>
      <c r="J263" s="323"/>
      <c r="K263" s="323"/>
      <c r="L263" s="313"/>
      <c r="M263" s="313"/>
      <c r="N263" s="313"/>
      <c r="O263" s="313"/>
      <c r="P263" s="313"/>
      <c r="Q263" s="313"/>
      <c r="R263" s="313"/>
      <c r="S263" s="313"/>
      <c r="T263" s="313"/>
      <c r="U263" s="313"/>
      <c r="V263" s="313"/>
      <c r="W263" s="313"/>
      <c r="X263" s="313"/>
      <c r="Y263" s="313"/>
      <c r="Z263" s="313"/>
      <c r="AA263" s="313"/>
      <c r="AB263" s="313"/>
      <c r="AC263" s="313"/>
      <c r="AD263" s="313"/>
      <c r="AE263" s="313"/>
      <c r="AF263" s="313"/>
      <c r="AG263" s="313"/>
    </row>
    <row r="264" spans="1:33">
      <c r="A264" s="313"/>
      <c r="B264" s="313"/>
      <c r="C264" s="313"/>
      <c r="D264" s="313"/>
      <c r="E264" s="313"/>
      <c r="F264" s="313"/>
      <c r="G264" s="323"/>
      <c r="H264" s="323"/>
      <c r="I264" s="323"/>
      <c r="J264" s="323"/>
      <c r="K264" s="323"/>
      <c r="L264" s="313"/>
      <c r="M264" s="313"/>
      <c r="N264" s="313"/>
      <c r="O264" s="313"/>
      <c r="P264" s="313"/>
      <c r="Q264" s="313"/>
      <c r="R264" s="313"/>
      <c r="S264" s="313"/>
      <c r="T264" s="313"/>
      <c r="U264" s="313"/>
      <c r="V264" s="313"/>
      <c r="W264" s="313"/>
      <c r="X264" s="313"/>
      <c r="Y264" s="313"/>
      <c r="Z264" s="313"/>
      <c r="AA264" s="313"/>
      <c r="AB264" s="313"/>
      <c r="AC264" s="313"/>
      <c r="AD264" s="313"/>
      <c r="AE264" s="313"/>
      <c r="AF264" s="313"/>
      <c r="AG264" s="313"/>
    </row>
    <row r="265" spans="1:33">
      <c r="A265" s="313"/>
      <c r="B265" s="313"/>
      <c r="C265" s="313"/>
      <c r="D265" s="313"/>
      <c r="E265" s="313"/>
      <c r="F265" s="313"/>
      <c r="G265" s="323"/>
      <c r="H265" s="323"/>
      <c r="I265" s="323"/>
      <c r="J265" s="323"/>
      <c r="K265" s="32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row>
    <row r="266" spans="1:33">
      <c r="A266" s="313"/>
      <c r="B266" s="313"/>
      <c r="C266" s="313"/>
      <c r="D266" s="313"/>
      <c r="E266" s="313"/>
      <c r="F266" s="313"/>
      <c r="G266" s="323"/>
      <c r="H266" s="323"/>
      <c r="I266" s="323"/>
      <c r="J266" s="323"/>
      <c r="K266" s="323"/>
      <c r="L266" s="313"/>
      <c r="M266" s="313"/>
      <c r="N266" s="313"/>
      <c r="O266" s="313"/>
      <c r="P266" s="313"/>
      <c r="Q266" s="313"/>
      <c r="R266" s="313"/>
      <c r="S266" s="313"/>
      <c r="T266" s="313"/>
      <c r="U266" s="313"/>
      <c r="V266" s="313"/>
      <c r="W266" s="313"/>
      <c r="X266" s="313"/>
      <c r="Y266" s="313"/>
      <c r="Z266" s="313"/>
      <c r="AA266" s="313"/>
      <c r="AB266" s="313"/>
      <c r="AC266" s="313"/>
      <c r="AD266" s="313"/>
      <c r="AE266" s="313"/>
      <c r="AF266" s="313"/>
      <c r="AG266" s="313"/>
    </row>
    <row r="267" spans="1:33">
      <c r="A267" s="313"/>
      <c r="B267" s="313"/>
      <c r="C267" s="313"/>
      <c r="D267" s="313"/>
      <c r="E267" s="313"/>
      <c r="F267" s="313"/>
      <c r="G267" s="323"/>
      <c r="H267" s="323"/>
      <c r="I267" s="323"/>
      <c r="J267" s="323"/>
      <c r="K267" s="323"/>
      <c r="L267" s="313"/>
      <c r="M267" s="313"/>
      <c r="N267" s="313"/>
      <c r="O267" s="313"/>
      <c r="P267" s="313"/>
      <c r="Q267" s="313"/>
      <c r="R267" s="313"/>
      <c r="S267" s="313"/>
      <c r="T267" s="313"/>
      <c r="U267" s="313"/>
      <c r="V267" s="313"/>
      <c r="W267" s="313"/>
      <c r="X267" s="313"/>
      <c r="Y267" s="313"/>
      <c r="Z267" s="313"/>
      <c r="AA267" s="313"/>
      <c r="AB267" s="313"/>
      <c r="AC267" s="313"/>
      <c r="AD267" s="313"/>
      <c r="AE267" s="313"/>
      <c r="AF267" s="313"/>
      <c r="AG267" s="313"/>
    </row>
    <row r="268" spans="1:33">
      <c r="A268" s="313"/>
      <c r="B268" s="313"/>
      <c r="C268" s="313"/>
      <c r="D268" s="313"/>
      <c r="E268" s="313"/>
      <c r="F268" s="313"/>
      <c r="G268" s="323"/>
      <c r="H268" s="323"/>
      <c r="I268" s="323"/>
      <c r="J268" s="323"/>
      <c r="K268" s="323"/>
      <c r="L268" s="313"/>
      <c r="M268" s="313"/>
      <c r="N268" s="313"/>
      <c r="O268" s="313"/>
      <c r="P268" s="313"/>
      <c r="Q268" s="313"/>
      <c r="R268" s="313"/>
      <c r="S268" s="313"/>
      <c r="T268" s="313"/>
      <c r="U268" s="313"/>
      <c r="V268" s="313"/>
      <c r="W268" s="313"/>
      <c r="X268" s="313"/>
      <c r="Y268" s="313"/>
      <c r="Z268" s="313"/>
      <c r="AA268" s="313"/>
      <c r="AB268" s="313"/>
      <c r="AC268" s="313"/>
      <c r="AD268" s="313"/>
      <c r="AE268" s="313"/>
      <c r="AF268" s="313"/>
      <c r="AG268" s="313"/>
    </row>
    <row r="269" spans="1:33">
      <c r="A269" s="313"/>
      <c r="B269" s="313"/>
      <c r="C269" s="313"/>
      <c r="D269" s="313"/>
      <c r="E269" s="313"/>
      <c r="F269" s="313"/>
      <c r="G269" s="323"/>
      <c r="H269" s="323"/>
      <c r="I269" s="323"/>
      <c r="J269" s="323"/>
      <c r="K269" s="323"/>
      <c r="L269" s="313"/>
      <c r="M269" s="313"/>
      <c r="N269" s="313"/>
      <c r="O269" s="313"/>
      <c r="P269" s="313"/>
      <c r="Q269" s="313"/>
      <c r="R269" s="313"/>
      <c r="S269" s="313"/>
      <c r="T269" s="313"/>
      <c r="U269" s="313"/>
      <c r="V269" s="313"/>
      <c r="W269" s="313"/>
      <c r="X269" s="313"/>
      <c r="Y269" s="313"/>
      <c r="Z269" s="313"/>
      <c r="AA269" s="313"/>
      <c r="AB269" s="313"/>
      <c r="AC269" s="313"/>
      <c r="AD269" s="313"/>
      <c r="AE269" s="313"/>
      <c r="AF269" s="313"/>
      <c r="AG269" s="313"/>
    </row>
    <row r="270" spans="1:33">
      <c r="A270" s="313"/>
      <c r="B270" s="313"/>
      <c r="C270" s="313"/>
      <c r="D270" s="313"/>
      <c r="E270" s="313"/>
      <c r="F270" s="313"/>
      <c r="G270" s="323"/>
      <c r="H270" s="323"/>
      <c r="I270" s="323"/>
      <c r="J270" s="323"/>
      <c r="K270" s="32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row>
    <row r="271" spans="1:33">
      <c r="A271" s="313"/>
      <c r="B271" s="313"/>
      <c r="C271" s="313"/>
      <c r="D271" s="313"/>
      <c r="E271" s="313"/>
      <c r="F271" s="313"/>
      <c r="G271" s="323"/>
      <c r="H271" s="323"/>
      <c r="I271" s="323"/>
      <c r="J271" s="323"/>
      <c r="K271" s="32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row>
    <row r="272" spans="1:33">
      <c r="A272" s="313"/>
      <c r="B272" s="313"/>
      <c r="C272" s="313"/>
      <c r="D272" s="313"/>
      <c r="E272" s="313"/>
      <c r="F272" s="313"/>
      <c r="G272" s="323"/>
      <c r="H272" s="323"/>
      <c r="I272" s="323"/>
      <c r="J272" s="323"/>
      <c r="K272" s="32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row>
    <row r="273" spans="1:33">
      <c r="A273" s="313"/>
      <c r="B273" s="313"/>
      <c r="C273" s="313"/>
      <c r="D273" s="313"/>
      <c r="E273" s="313"/>
      <c r="F273" s="313"/>
      <c r="G273" s="323"/>
      <c r="H273" s="323"/>
      <c r="I273" s="323"/>
      <c r="J273" s="323"/>
      <c r="K273" s="323"/>
      <c r="L273" s="313"/>
      <c r="M273" s="313"/>
      <c r="N273" s="313"/>
      <c r="O273" s="313"/>
      <c r="P273" s="313"/>
      <c r="Q273" s="313"/>
      <c r="R273" s="313"/>
      <c r="S273" s="313"/>
      <c r="T273" s="313"/>
      <c r="U273" s="313"/>
      <c r="V273" s="313"/>
      <c r="W273" s="313"/>
      <c r="X273" s="313"/>
      <c r="Y273" s="313"/>
      <c r="Z273" s="313"/>
      <c r="AA273" s="313"/>
      <c r="AB273" s="313"/>
      <c r="AC273" s="313"/>
      <c r="AD273" s="313"/>
      <c r="AE273" s="313"/>
      <c r="AF273" s="313"/>
      <c r="AG273" s="313"/>
    </row>
    <row r="274" spans="1:33">
      <c r="A274" s="313"/>
      <c r="B274" s="313"/>
      <c r="C274" s="313"/>
      <c r="D274" s="313"/>
      <c r="E274" s="313"/>
      <c r="F274" s="313"/>
      <c r="G274" s="323"/>
      <c r="H274" s="323"/>
      <c r="I274" s="323"/>
      <c r="J274" s="323"/>
      <c r="K274" s="32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row>
    <row r="275" spans="1:33">
      <c r="A275" s="313"/>
      <c r="B275" s="313"/>
      <c r="C275" s="313"/>
      <c r="D275" s="313"/>
      <c r="E275" s="313"/>
      <c r="F275" s="313"/>
      <c r="G275" s="323"/>
      <c r="H275" s="323"/>
      <c r="I275" s="323"/>
      <c r="J275" s="323"/>
      <c r="K275" s="323"/>
      <c r="L275" s="313"/>
      <c r="M275" s="313"/>
      <c r="N275" s="313"/>
      <c r="O275" s="313"/>
      <c r="P275" s="313"/>
      <c r="Q275" s="313"/>
      <c r="R275" s="313"/>
      <c r="S275" s="313"/>
      <c r="T275" s="313"/>
      <c r="U275" s="313"/>
      <c r="V275" s="313"/>
      <c r="W275" s="313"/>
      <c r="X275" s="313"/>
      <c r="Y275" s="313"/>
      <c r="Z275" s="313"/>
      <c r="AA275" s="313"/>
      <c r="AB275" s="313"/>
      <c r="AC275" s="313"/>
      <c r="AD275" s="313"/>
      <c r="AE275" s="313"/>
      <c r="AF275" s="313"/>
      <c r="AG275" s="313"/>
    </row>
    <row r="276" spans="1:33">
      <c r="A276" s="313"/>
      <c r="B276" s="313"/>
      <c r="C276" s="313"/>
      <c r="D276" s="313"/>
      <c r="E276" s="313"/>
      <c r="F276" s="313"/>
      <c r="G276" s="323"/>
      <c r="H276" s="323"/>
      <c r="I276" s="323"/>
      <c r="J276" s="323"/>
      <c r="K276" s="323"/>
      <c r="L276" s="313"/>
      <c r="M276" s="313"/>
      <c r="N276" s="313"/>
      <c r="O276" s="313"/>
      <c r="P276" s="313"/>
      <c r="Q276" s="313"/>
      <c r="R276" s="313"/>
      <c r="S276" s="313"/>
      <c r="T276" s="313"/>
      <c r="U276" s="313"/>
      <c r="V276" s="313"/>
      <c r="W276" s="313"/>
      <c r="X276" s="313"/>
      <c r="Y276" s="313"/>
      <c r="Z276" s="313"/>
      <c r="AA276" s="313"/>
      <c r="AB276" s="313"/>
      <c r="AC276" s="313"/>
      <c r="AD276" s="313"/>
      <c r="AE276" s="313"/>
      <c r="AF276" s="313"/>
      <c r="AG276" s="313"/>
    </row>
    <row r="277" spans="1:33">
      <c r="A277" s="313"/>
      <c r="B277" s="313"/>
      <c r="C277" s="313"/>
      <c r="D277" s="313"/>
      <c r="E277" s="313"/>
      <c r="F277" s="313"/>
      <c r="G277" s="323"/>
      <c r="H277" s="323"/>
      <c r="I277" s="323"/>
      <c r="J277" s="323"/>
      <c r="K277" s="323"/>
      <c r="L277" s="313"/>
      <c r="M277" s="313"/>
      <c r="N277" s="313"/>
      <c r="O277" s="313"/>
      <c r="P277" s="313"/>
      <c r="Q277" s="313"/>
      <c r="R277" s="313"/>
      <c r="S277" s="313"/>
      <c r="T277" s="313"/>
      <c r="U277" s="313"/>
      <c r="V277" s="313"/>
      <c r="W277" s="313"/>
      <c r="X277" s="313"/>
      <c r="Y277" s="313"/>
      <c r="Z277" s="313"/>
      <c r="AA277" s="313"/>
      <c r="AB277" s="313"/>
      <c r="AC277" s="313"/>
      <c r="AD277" s="313"/>
      <c r="AE277" s="313"/>
      <c r="AF277" s="313"/>
      <c r="AG277" s="313"/>
    </row>
    <row r="278" spans="1:33">
      <c r="A278" s="313"/>
      <c r="B278" s="313"/>
      <c r="C278" s="313"/>
      <c r="D278" s="313"/>
      <c r="E278" s="313"/>
      <c r="F278" s="313"/>
      <c r="G278" s="323"/>
      <c r="H278" s="323"/>
      <c r="I278" s="323"/>
      <c r="J278" s="323"/>
      <c r="K278" s="32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row>
    <row r="279" spans="1:33">
      <c r="A279" s="313"/>
      <c r="B279" s="313"/>
      <c r="C279" s="313"/>
      <c r="D279" s="313"/>
      <c r="E279" s="313"/>
      <c r="F279" s="313"/>
      <c r="G279" s="323"/>
      <c r="H279" s="323"/>
      <c r="I279" s="323"/>
      <c r="J279" s="323"/>
      <c r="K279" s="323"/>
      <c r="L279" s="313"/>
      <c r="M279" s="313"/>
      <c r="N279" s="313"/>
      <c r="O279" s="313"/>
      <c r="P279" s="313"/>
      <c r="Q279" s="313"/>
      <c r="R279" s="313"/>
      <c r="S279" s="313"/>
      <c r="T279" s="313"/>
      <c r="U279" s="313"/>
      <c r="V279" s="313"/>
      <c r="W279" s="313"/>
      <c r="X279" s="313"/>
      <c r="Y279" s="313"/>
      <c r="Z279" s="313"/>
      <c r="AA279" s="313"/>
      <c r="AB279" s="313"/>
      <c r="AC279" s="313"/>
      <c r="AD279" s="313"/>
      <c r="AE279" s="313"/>
      <c r="AF279" s="313"/>
      <c r="AG279" s="313"/>
    </row>
    <row r="280" spans="1:33">
      <c r="A280" s="313"/>
      <c r="B280" s="313"/>
      <c r="C280" s="313"/>
      <c r="D280" s="313"/>
      <c r="E280" s="313"/>
      <c r="F280" s="313"/>
      <c r="G280" s="323"/>
      <c r="H280" s="323"/>
      <c r="I280" s="323"/>
      <c r="J280" s="323"/>
      <c r="K280" s="323"/>
      <c r="L280" s="313"/>
      <c r="M280" s="313"/>
      <c r="N280" s="313"/>
      <c r="O280" s="313"/>
      <c r="P280" s="313"/>
      <c r="Q280" s="313"/>
      <c r="R280" s="313"/>
      <c r="S280" s="313"/>
      <c r="T280" s="313"/>
      <c r="U280" s="313"/>
      <c r="V280" s="313"/>
      <c r="W280" s="313"/>
      <c r="X280" s="313"/>
      <c r="Y280" s="313"/>
      <c r="Z280" s="313"/>
      <c r="AA280" s="313"/>
      <c r="AB280" s="313"/>
      <c r="AC280" s="313"/>
      <c r="AD280" s="313"/>
      <c r="AE280" s="313"/>
      <c r="AF280" s="313"/>
      <c r="AG280" s="313"/>
    </row>
    <row r="281" spans="1:33">
      <c r="A281" s="313"/>
      <c r="B281" s="313"/>
      <c r="C281" s="313"/>
      <c r="D281" s="313"/>
      <c r="E281" s="313"/>
      <c r="F281" s="313"/>
      <c r="G281" s="323"/>
      <c r="H281" s="323"/>
      <c r="I281" s="323"/>
      <c r="J281" s="323"/>
      <c r="K281" s="323"/>
      <c r="L281" s="313"/>
      <c r="M281" s="313"/>
      <c r="N281" s="313"/>
      <c r="O281" s="313"/>
      <c r="P281" s="313"/>
      <c r="Q281" s="313"/>
      <c r="R281" s="313"/>
      <c r="S281" s="313"/>
      <c r="T281" s="313"/>
      <c r="U281" s="313"/>
      <c r="V281" s="313"/>
      <c r="W281" s="313"/>
      <c r="X281" s="313"/>
      <c r="Y281" s="313"/>
      <c r="Z281" s="313"/>
      <c r="AA281" s="313"/>
      <c r="AB281" s="313"/>
      <c r="AC281" s="313"/>
      <c r="AD281" s="313"/>
      <c r="AE281" s="313"/>
      <c r="AF281" s="313"/>
      <c r="AG281" s="313"/>
    </row>
    <row r="282" spans="1:33">
      <c r="A282" s="313"/>
      <c r="B282" s="313"/>
      <c r="C282" s="313"/>
      <c r="D282" s="313"/>
      <c r="E282" s="313"/>
      <c r="F282" s="313"/>
      <c r="G282" s="323"/>
      <c r="H282" s="323"/>
      <c r="I282" s="323"/>
      <c r="J282" s="323"/>
      <c r="K282" s="32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row>
    <row r="283" spans="1:33">
      <c r="A283" s="313"/>
      <c r="B283" s="313"/>
      <c r="C283" s="313"/>
      <c r="D283" s="313"/>
      <c r="E283" s="313"/>
      <c r="F283" s="313"/>
      <c r="G283" s="323"/>
      <c r="H283" s="323"/>
      <c r="I283" s="323"/>
      <c r="J283" s="323"/>
      <c r="K283" s="323"/>
      <c r="L283" s="313"/>
      <c r="M283" s="313"/>
      <c r="N283" s="313"/>
      <c r="O283" s="313"/>
      <c r="P283" s="313"/>
      <c r="Q283" s="313"/>
      <c r="R283" s="313"/>
      <c r="S283" s="313"/>
      <c r="T283" s="313"/>
      <c r="U283" s="313"/>
      <c r="V283" s="313"/>
      <c r="W283" s="313"/>
      <c r="X283" s="313"/>
      <c r="Y283" s="313"/>
      <c r="Z283" s="313"/>
      <c r="AA283" s="313"/>
      <c r="AB283" s="313"/>
      <c r="AC283" s="313"/>
      <c r="AD283" s="313"/>
      <c r="AE283" s="313"/>
      <c r="AF283" s="313"/>
      <c r="AG283" s="313"/>
    </row>
    <row r="284" spans="1:33">
      <c r="A284" s="313"/>
      <c r="B284" s="313"/>
      <c r="C284" s="313"/>
      <c r="D284" s="313"/>
      <c r="E284" s="313"/>
      <c r="F284" s="313"/>
      <c r="G284" s="323"/>
      <c r="H284" s="323"/>
      <c r="I284" s="323"/>
      <c r="J284" s="323"/>
      <c r="K284" s="323"/>
      <c r="L284" s="313"/>
      <c r="M284" s="313"/>
      <c r="N284" s="313"/>
      <c r="O284" s="313"/>
      <c r="P284" s="313"/>
      <c r="Q284" s="313"/>
      <c r="R284" s="313"/>
      <c r="S284" s="313"/>
      <c r="T284" s="313"/>
      <c r="U284" s="313"/>
      <c r="V284" s="313"/>
      <c r="W284" s="313"/>
      <c r="X284" s="313"/>
      <c r="Y284" s="313"/>
      <c r="Z284" s="313"/>
      <c r="AA284" s="313"/>
      <c r="AB284" s="313"/>
      <c r="AC284" s="313"/>
      <c r="AD284" s="313"/>
      <c r="AE284" s="313"/>
      <c r="AF284" s="313"/>
      <c r="AG284" s="313"/>
    </row>
    <row r="285" spans="1:33">
      <c r="A285" s="313"/>
      <c r="B285" s="313"/>
      <c r="C285" s="313"/>
      <c r="D285" s="313"/>
      <c r="E285" s="313"/>
      <c r="F285" s="313"/>
      <c r="G285" s="323"/>
      <c r="H285" s="323"/>
      <c r="I285" s="323"/>
      <c r="J285" s="323"/>
      <c r="K285" s="32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row>
    <row r="286" spans="1:33">
      <c r="A286" s="313"/>
      <c r="B286" s="313"/>
      <c r="C286" s="313"/>
      <c r="D286" s="313"/>
      <c r="E286" s="313"/>
      <c r="F286" s="313"/>
      <c r="G286" s="323"/>
      <c r="H286" s="323"/>
      <c r="I286" s="323"/>
      <c r="J286" s="323"/>
      <c r="K286" s="323"/>
      <c r="L286" s="313"/>
      <c r="M286" s="313"/>
      <c r="N286" s="313"/>
      <c r="O286" s="313"/>
      <c r="P286" s="313"/>
      <c r="Q286" s="313"/>
      <c r="R286" s="313"/>
      <c r="S286" s="313"/>
      <c r="T286" s="313"/>
      <c r="U286" s="313"/>
      <c r="V286" s="313"/>
      <c r="W286" s="313"/>
      <c r="X286" s="313"/>
      <c r="Y286" s="313"/>
      <c r="Z286" s="313"/>
      <c r="AA286" s="313"/>
      <c r="AB286" s="313"/>
      <c r="AC286" s="313"/>
      <c r="AD286" s="313"/>
      <c r="AE286" s="313"/>
      <c r="AF286" s="313"/>
      <c r="AG286" s="313"/>
    </row>
    <row r="287" spans="1:33">
      <c r="A287" s="313"/>
      <c r="B287" s="313"/>
      <c r="C287" s="313"/>
      <c r="D287" s="313"/>
      <c r="E287" s="313"/>
      <c r="F287" s="313"/>
      <c r="G287" s="323"/>
      <c r="H287" s="323"/>
      <c r="I287" s="323"/>
      <c r="J287" s="323"/>
      <c r="K287" s="32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row>
    <row r="288" spans="1:33">
      <c r="A288" s="313"/>
      <c r="B288" s="313"/>
      <c r="C288" s="313"/>
      <c r="D288" s="313"/>
      <c r="E288" s="313"/>
      <c r="F288" s="313"/>
      <c r="G288" s="323"/>
      <c r="H288" s="323"/>
      <c r="I288" s="323"/>
      <c r="J288" s="323"/>
      <c r="K288" s="323"/>
      <c r="L288" s="313"/>
      <c r="M288" s="313"/>
      <c r="N288" s="313"/>
      <c r="O288" s="313"/>
      <c r="P288" s="313"/>
      <c r="Q288" s="313"/>
      <c r="R288" s="313"/>
      <c r="S288" s="313"/>
      <c r="T288" s="313"/>
      <c r="U288" s="313"/>
      <c r="V288" s="313"/>
      <c r="W288" s="313"/>
      <c r="X288" s="313"/>
      <c r="Y288" s="313"/>
      <c r="Z288" s="313"/>
      <c r="AA288" s="313"/>
      <c r="AB288" s="313"/>
      <c r="AC288" s="313"/>
      <c r="AD288" s="313"/>
      <c r="AE288" s="313"/>
      <c r="AF288" s="313"/>
      <c r="AG288" s="313"/>
    </row>
    <row r="289" spans="1:33">
      <c r="A289" s="313"/>
      <c r="B289" s="313"/>
      <c r="C289" s="313"/>
      <c r="D289" s="313"/>
      <c r="E289" s="313"/>
      <c r="F289" s="313"/>
      <c r="G289" s="323"/>
      <c r="H289" s="323"/>
      <c r="I289" s="323"/>
      <c r="J289" s="323"/>
      <c r="K289" s="323"/>
      <c r="L289" s="313"/>
      <c r="M289" s="313"/>
      <c r="N289" s="313"/>
      <c r="O289" s="313"/>
      <c r="P289" s="313"/>
      <c r="Q289" s="313"/>
      <c r="R289" s="313"/>
      <c r="S289" s="313"/>
      <c r="T289" s="313"/>
      <c r="U289" s="313"/>
      <c r="V289" s="313"/>
      <c r="W289" s="313"/>
      <c r="X289" s="313"/>
      <c r="Y289" s="313"/>
      <c r="Z289" s="313"/>
      <c r="AA289" s="313"/>
      <c r="AB289" s="313"/>
      <c r="AC289" s="313"/>
      <c r="AD289" s="313"/>
      <c r="AE289" s="313"/>
      <c r="AF289" s="313"/>
      <c r="AG289" s="313"/>
    </row>
    <row r="290" spans="1:33">
      <c r="A290" s="313"/>
      <c r="B290" s="313"/>
      <c r="C290" s="313"/>
      <c r="D290" s="313"/>
      <c r="E290" s="313"/>
      <c r="F290" s="313"/>
      <c r="G290" s="323"/>
      <c r="H290" s="323"/>
      <c r="I290" s="323"/>
      <c r="J290" s="323"/>
      <c r="K290" s="323"/>
      <c r="L290" s="313"/>
      <c r="M290" s="313"/>
      <c r="N290" s="313"/>
      <c r="O290" s="313"/>
      <c r="P290" s="313"/>
      <c r="Q290" s="313"/>
      <c r="R290" s="313"/>
      <c r="S290" s="313"/>
      <c r="T290" s="313"/>
      <c r="U290" s="313"/>
      <c r="V290" s="313"/>
      <c r="W290" s="313"/>
      <c r="X290" s="313"/>
      <c r="Y290" s="313"/>
      <c r="Z290" s="313"/>
      <c r="AA290" s="313"/>
      <c r="AB290" s="313"/>
      <c r="AC290" s="313"/>
      <c r="AD290" s="313"/>
      <c r="AE290" s="313"/>
      <c r="AF290" s="313"/>
      <c r="AG290" s="313"/>
    </row>
    <row r="291" spans="1:33">
      <c r="A291" s="313"/>
      <c r="B291" s="313"/>
      <c r="C291" s="313"/>
      <c r="D291" s="313"/>
      <c r="E291" s="313"/>
      <c r="F291" s="313"/>
      <c r="G291" s="323"/>
      <c r="H291" s="323"/>
      <c r="I291" s="323"/>
      <c r="J291" s="323"/>
      <c r="K291" s="323"/>
      <c r="L291" s="313"/>
      <c r="M291" s="313"/>
      <c r="N291" s="313"/>
      <c r="O291" s="313"/>
      <c r="P291" s="313"/>
      <c r="Q291" s="313"/>
      <c r="R291" s="313"/>
      <c r="S291" s="313"/>
      <c r="T291" s="313"/>
      <c r="U291" s="313"/>
      <c r="V291" s="313"/>
      <c r="W291" s="313"/>
      <c r="X291" s="313"/>
      <c r="Y291" s="313"/>
      <c r="Z291" s="313"/>
      <c r="AA291" s="313"/>
      <c r="AB291" s="313"/>
      <c r="AC291" s="313"/>
      <c r="AD291" s="313"/>
      <c r="AE291" s="313"/>
      <c r="AF291" s="313"/>
      <c r="AG291" s="313"/>
    </row>
    <row r="292" spans="1:33">
      <c r="A292" s="313"/>
      <c r="B292" s="313"/>
      <c r="C292" s="313"/>
      <c r="D292" s="313"/>
      <c r="E292" s="313"/>
      <c r="F292" s="313"/>
      <c r="G292" s="323"/>
      <c r="H292" s="323"/>
      <c r="I292" s="323"/>
      <c r="J292" s="323"/>
      <c r="K292" s="323"/>
      <c r="L292" s="313"/>
      <c r="M292" s="313"/>
      <c r="N292" s="313"/>
      <c r="O292" s="313"/>
      <c r="P292" s="313"/>
      <c r="Q292" s="313"/>
      <c r="R292" s="313"/>
      <c r="S292" s="313"/>
      <c r="T292" s="313"/>
      <c r="U292" s="313"/>
      <c r="V292" s="313"/>
      <c r="W292" s="313"/>
      <c r="X292" s="313"/>
      <c r="Y292" s="313"/>
      <c r="Z292" s="313"/>
      <c r="AA292" s="313"/>
      <c r="AB292" s="313"/>
      <c r="AC292" s="313"/>
      <c r="AD292" s="313"/>
      <c r="AE292" s="313"/>
      <c r="AF292" s="313"/>
      <c r="AG292" s="313"/>
    </row>
    <row r="293" spans="1:33">
      <c r="A293" s="313"/>
      <c r="B293" s="313"/>
      <c r="C293" s="313"/>
      <c r="D293" s="313"/>
      <c r="E293" s="313"/>
      <c r="F293" s="313"/>
      <c r="G293" s="323"/>
      <c r="H293" s="323"/>
      <c r="I293" s="323"/>
      <c r="J293" s="323"/>
      <c r="K293" s="323"/>
      <c r="L293" s="313"/>
      <c r="M293" s="313"/>
      <c r="N293" s="313"/>
      <c r="O293" s="313"/>
      <c r="P293" s="313"/>
      <c r="Q293" s="313"/>
      <c r="R293" s="313"/>
      <c r="S293" s="313"/>
      <c r="T293" s="313"/>
      <c r="U293" s="313"/>
      <c r="V293" s="313"/>
      <c r="W293" s="313"/>
      <c r="X293" s="313"/>
      <c r="Y293" s="313"/>
      <c r="Z293" s="313"/>
      <c r="AA293" s="313"/>
      <c r="AB293" s="313"/>
      <c r="AC293" s="313"/>
      <c r="AD293" s="313"/>
      <c r="AE293" s="313"/>
      <c r="AF293" s="313"/>
      <c r="AG293" s="313"/>
    </row>
    <row r="294" spans="1:33">
      <c r="A294" s="313"/>
      <c r="B294" s="313"/>
      <c r="C294" s="313"/>
      <c r="D294" s="313"/>
      <c r="E294" s="313"/>
      <c r="F294" s="313"/>
      <c r="G294" s="323"/>
      <c r="H294" s="323"/>
      <c r="I294" s="323"/>
      <c r="J294" s="323"/>
      <c r="K294" s="323"/>
      <c r="L294" s="313"/>
      <c r="M294" s="313"/>
      <c r="N294" s="313"/>
      <c r="O294" s="313"/>
      <c r="P294" s="313"/>
      <c r="Q294" s="313"/>
      <c r="R294" s="313"/>
      <c r="S294" s="313"/>
      <c r="T294" s="313"/>
      <c r="U294" s="313"/>
      <c r="V294" s="313"/>
      <c r="W294" s="313"/>
      <c r="X294" s="313"/>
      <c r="Y294" s="313"/>
      <c r="Z294" s="313"/>
      <c r="AA294" s="313"/>
      <c r="AB294" s="313"/>
      <c r="AC294" s="313"/>
      <c r="AD294" s="313"/>
      <c r="AE294" s="313"/>
      <c r="AF294" s="313"/>
      <c r="AG294" s="313"/>
    </row>
    <row r="295" spans="1:33">
      <c r="A295" s="313"/>
      <c r="B295" s="313"/>
      <c r="C295" s="313"/>
      <c r="D295" s="313"/>
      <c r="E295" s="313"/>
      <c r="F295" s="313"/>
      <c r="G295" s="323"/>
      <c r="H295" s="323"/>
      <c r="I295" s="323"/>
      <c r="J295" s="323"/>
      <c r="K295" s="323"/>
      <c r="L295" s="313"/>
      <c r="M295" s="313"/>
      <c r="N295" s="313"/>
      <c r="O295" s="313"/>
      <c r="P295" s="313"/>
      <c r="Q295" s="313"/>
      <c r="R295" s="313"/>
      <c r="S295" s="313"/>
      <c r="T295" s="313"/>
      <c r="U295" s="313"/>
      <c r="V295" s="313"/>
      <c r="W295" s="313"/>
      <c r="X295" s="313"/>
      <c r="Y295" s="313"/>
      <c r="Z295" s="313"/>
      <c r="AA295" s="313"/>
      <c r="AB295" s="313"/>
      <c r="AC295" s="313"/>
      <c r="AD295" s="313"/>
      <c r="AE295" s="313"/>
      <c r="AF295" s="313"/>
      <c r="AG295" s="313"/>
    </row>
    <row r="296" spans="1:33">
      <c r="A296" s="313"/>
      <c r="B296" s="313"/>
      <c r="C296" s="313"/>
      <c r="D296" s="313"/>
      <c r="E296" s="313"/>
      <c r="F296" s="313"/>
      <c r="G296" s="323"/>
      <c r="H296" s="323"/>
      <c r="I296" s="323"/>
      <c r="J296" s="323"/>
      <c r="K296" s="323"/>
      <c r="L296" s="313"/>
      <c r="M296" s="313"/>
      <c r="N296" s="313"/>
      <c r="O296" s="313"/>
      <c r="P296" s="313"/>
      <c r="Q296" s="313"/>
      <c r="R296" s="313"/>
      <c r="S296" s="313"/>
      <c r="T296" s="313"/>
      <c r="U296" s="313"/>
      <c r="V296" s="313"/>
      <c r="W296" s="313"/>
      <c r="X296" s="313"/>
      <c r="Y296" s="313"/>
      <c r="Z296" s="313"/>
      <c r="AA296" s="313"/>
      <c r="AB296" s="313"/>
      <c r="AC296" s="313"/>
      <c r="AD296" s="313"/>
      <c r="AE296" s="313"/>
      <c r="AF296" s="313"/>
      <c r="AG296" s="313"/>
    </row>
    <row r="297" spans="1:33">
      <c r="A297" s="313"/>
      <c r="B297" s="313"/>
      <c r="C297" s="313"/>
      <c r="D297" s="313"/>
      <c r="E297" s="313"/>
      <c r="F297" s="313"/>
      <c r="G297" s="323"/>
      <c r="H297" s="323"/>
      <c r="I297" s="323"/>
      <c r="J297" s="323"/>
      <c r="K297" s="323"/>
      <c r="L297" s="313"/>
      <c r="M297" s="313"/>
      <c r="N297" s="313"/>
      <c r="O297" s="313"/>
      <c r="P297" s="313"/>
      <c r="Q297" s="313"/>
      <c r="R297" s="313"/>
      <c r="S297" s="313"/>
      <c r="T297" s="313"/>
      <c r="U297" s="313"/>
      <c r="V297" s="313"/>
      <c r="W297" s="313"/>
      <c r="X297" s="313"/>
      <c r="Y297" s="313"/>
      <c r="Z297" s="313"/>
      <c r="AA297" s="313"/>
      <c r="AB297" s="313"/>
      <c r="AC297" s="313"/>
      <c r="AD297" s="313"/>
      <c r="AE297" s="313"/>
      <c r="AF297" s="313"/>
      <c r="AG297" s="313"/>
    </row>
    <row r="298" spans="1:33">
      <c r="A298" s="313"/>
      <c r="B298" s="313"/>
      <c r="C298" s="313"/>
      <c r="D298" s="313"/>
      <c r="E298" s="313"/>
      <c r="F298" s="313"/>
      <c r="G298" s="323"/>
      <c r="H298" s="323"/>
      <c r="I298" s="323"/>
      <c r="J298" s="323"/>
      <c r="K298" s="323"/>
      <c r="L298" s="313"/>
      <c r="M298" s="313"/>
      <c r="N298" s="313"/>
      <c r="O298" s="313"/>
      <c r="P298" s="313"/>
      <c r="Q298" s="313"/>
      <c r="R298" s="313"/>
      <c r="S298" s="313"/>
      <c r="T298" s="313"/>
      <c r="U298" s="313"/>
      <c r="V298" s="313"/>
      <c r="W298" s="313"/>
      <c r="X298" s="313"/>
      <c r="Y298" s="313"/>
      <c r="Z298" s="313"/>
      <c r="AA298" s="313"/>
      <c r="AB298" s="313"/>
      <c r="AC298" s="313"/>
      <c r="AD298" s="313"/>
      <c r="AE298" s="313"/>
      <c r="AF298" s="313"/>
      <c r="AG298" s="313"/>
    </row>
    <row r="299" spans="1:33">
      <c r="A299" s="313"/>
      <c r="B299" s="313"/>
      <c r="C299" s="313"/>
      <c r="D299" s="313"/>
      <c r="E299" s="313"/>
      <c r="F299" s="313"/>
      <c r="G299" s="323"/>
      <c r="H299" s="323"/>
      <c r="I299" s="323"/>
      <c r="J299" s="323"/>
      <c r="K299" s="323"/>
      <c r="L299" s="313"/>
      <c r="M299" s="313"/>
      <c r="N299" s="313"/>
      <c r="O299" s="313"/>
      <c r="P299" s="313"/>
      <c r="Q299" s="313"/>
      <c r="R299" s="313"/>
      <c r="S299" s="313"/>
      <c r="T299" s="313"/>
      <c r="U299" s="313"/>
      <c r="V299" s="313"/>
      <c r="W299" s="313"/>
      <c r="X299" s="313"/>
      <c r="Y299" s="313"/>
      <c r="Z299" s="313"/>
      <c r="AA299" s="313"/>
      <c r="AB299" s="313"/>
      <c r="AC299" s="313"/>
      <c r="AD299" s="313"/>
      <c r="AE299" s="313"/>
      <c r="AF299" s="313"/>
      <c r="AG299" s="313"/>
    </row>
    <row r="300" spans="1:33">
      <c r="A300" s="313"/>
      <c r="B300" s="313"/>
      <c r="C300" s="313"/>
      <c r="D300" s="313"/>
      <c r="E300" s="313"/>
      <c r="F300" s="313"/>
      <c r="G300" s="323"/>
      <c r="H300" s="323"/>
      <c r="I300" s="323"/>
      <c r="J300" s="323"/>
      <c r="K300" s="323"/>
      <c r="L300" s="313"/>
      <c r="M300" s="313"/>
      <c r="N300" s="313"/>
      <c r="O300" s="313"/>
      <c r="P300" s="313"/>
      <c r="Q300" s="313"/>
      <c r="R300" s="313"/>
      <c r="S300" s="313"/>
      <c r="T300" s="313"/>
      <c r="U300" s="313"/>
      <c r="V300" s="313"/>
      <c r="W300" s="313"/>
      <c r="X300" s="313"/>
      <c r="Y300" s="313"/>
      <c r="Z300" s="313"/>
      <c r="AA300" s="313"/>
      <c r="AB300" s="313"/>
      <c r="AC300" s="313"/>
      <c r="AD300" s="313"/>
      <c r="AE300" s="313"/>
      <c r="AF300" s="313"/>
      <c r="AG300" s="313"/>
    </row>
    <row r="301" spans="1:33">
      <c r="A301" s="313"/>
      <c r="B301" s="313"/>
      <c r="C301" s="313"/>
      <c r="D301" s="313"/>
      <c r="E301" s="313"/>
      <c r="F301" s="313"/>
      <c r="G301" s="323"/>
      <c r="H301" s="323"/>
      <c r="I301" s="323"/>
      <c r="J301" s="323"/>
      <c r="K301" s="323"/>
      <c r="L301" s="313"/>
      <c r="M301" s="313"/>
      <c r="N301" s="313"/>
      <c r="O301" s="313"/>
      <c r="P301" s="313"/>
      <c r="Q301" s="313"/>
      <c r="R301" s="313"/>
      <c r="S301" s="313"/>
      <c r="T301" s="313"/>
      <c r="U301" s="313"/>
      <c r="V301" s="313"/>
      <c r="W301" s="313"/>
      <c r="X301" s="313"/>
      <c r="Y301" s="313"/>
      <c r="Z301" s="313"/>
      <c r="AA301" s="313"/>
      <c r="AB301" s="313"/>
      <c r="AC301" s="313"/>
      <c r="AD301" s="313"/>
      <c r="AE301" s="313"/>
      <c r="AF301" s="313"/>
      <c r="AG301" s="313"/>
    </row>
    <row r="302" spans="1:33">
      <c r="A302" s="313"/>
      <c r="B302" s="313"/>
      <c r="C302" s="313"/>
      <c r="D302" s="313"/>
      <c r="E302" s="313"/>
      <c r="F302" s="313"/>
      <c r="G302" s="323"/>
      <c r="H302" s="323"/>
      <c r="I302" s="323"/>
      <c r="J302" s="323"/>
      <c r="K302" s="323"/>
      <c r="L302" s="313"/>
      <c r="M302" s="313"/>
      <c r="N302" s="313"/>
      <c r="O302" s="313"/>
      <c r="P302" s="313"/>
      <c r="Q302" s="313"/>
      <c r="R302" s="313"/>
      <c r="S302" s="313"/>
      <c r="T302" s="313"/>
      <c r="U302" s="313"/>
      <c r="V302" s="313"/>
      <c r="W302" s="313"/>
      <c r="X302" s="313"/>
      <c r="Y302" s="313"/>
      <c r="Z302" s="313"/>
      <c r="AA302" s="313"/>
      <c r="AB302" s="313"/>
      <c r="AC302" s="313"/>
      <c r="AD302" s="313"/>
      <c r="AE302" s="313"/>
      <c r="AF302" s="313"/>
      <c r="AG302" s="313"/>
    </row>
    <row r="303" spans="1:33">
      <c r="A303" s="313"/>
      <c r="B303" s="313"/>
      <c r="C303" s="313"/>
      <c r="D303" s="313"/>
      <c r="E303" s="313"/>
      <c r="F303" s="313"/>
      <c r="G303" s="323"/>
      <c r="H303" s="323"/>
      <c r="I303" s="323"/>
      <c r="J303" s="323"/>
      <c r="K303" s="323"/>
      <c r="L303" s="313"/>
      <c r="M303" s="313"/>
      <c r="N303" s="313"/>
      <c r="O303" s="313"/>
      <c r="P303" s="313"/>
      <c r="Q303" s="313"/>
      <c r="R303" s="313"/>
      <c r="S303" s="313"/>
      <c r="T303" s="313"/>
      <c r="U303" s="313"/>
      <c r="V303" s="313"/>
      <c r="W303" s="313"/>
      <c r="X303" s="313"/>
      <c r="Y303" s="313"/>
      <c r="Z303" s="313"/>
      <c r="AA303" s="313"/>
      <c r="AB303" s="313"/>
      <c r="AC303" s="313"/>
      <c r="AD303" s="313"/>
      <c r="AE303" s="313"/>
      <c r="AF303" s="313"/>
      <c r="AG303" s="313"/>
    </row>
    <row r="304" spans="1:33">
      <c r="A304" s="313"/>
      <c r="B304" s="313"/>
      <c r="C304" s="313"/>
      <c r="D304" s="313"/>
      <c r="E304" s="313"/>
      <c r="F304" s="313"/>
      <c r="G304" s="323"/>
      <c r="H304" s="323"/>
      <c r="I304" s="323"/>
      <c r="J304" s="323"/>
      <c r="K304" s="323"/>
      <c r="L304" s="313"/>
      <c r="M304" s="313"/>
      <c r="N304" s="313"/>
      <c r="O304" s="313"/>
      <c r="P304" s="313"/>
      <c r="Q304" s="313"/>
      <c r="R304" s="313"/>
      <c r="S304" s="313"/>
      <c r="T304" s="313"/>
      <c r="U304" s="313"/>
      <c r="V304" s="313"/>
      <c r="W304" s="313"/>
      <c r="X304" s="313"/>
      <c r="Y304" s="313"/>
      <c r="Z304" s="313"/>
      <c r="AA304" s="313"/>
      <c r="AB304" s="313"/>
      <c r="AC304" s="313"/>
      <c r="AD304" s="313"/>
      <c r="AE304" s="313"/>
      <c r="AF304" s="313"/>
      <c r="AG304" s="313"/>
    </row>
    <row r="305" spans="1:33">
      <c r="A305" s="313"/>
      <c r="B305" s="313"/>
      <c r="C305" s="313"/>
      <c r="D305" s="313"/>
      <c r="E305" s="313"/>
      <c r="F305" s="313"/>
      <c r="G305" s="323"/>
      <c r="H305" s="323"/>
      <c r="I305" s="323"/>
      <c r="J305" s="323"/>
      <c r="K305" s="323"/>
      <c r="L305" s="313"/>
      <c r="M305" s="313"/>
      <c r="N305" s="313"/>
      <c r="O305" s="313"/>
      <c r="P305" s="313"/>
      <c r="Q305" s="313"/>
      <c r="R305" s="313"/>
      <c r="S305" s="313"/>
      <c r="T305" s="313"/>
      <c r="U305" s="313"/>
      <c r="V305" s="313"/>
      <c r="W305" s="313"/>
      <c r="X305" s="313"/>
      <c r="Y305" s="313"/>
      <c r="Z305" s="313"/>
      <c r="AA305" s="313"/>
      <c r="AB305" s="313"/>
      <c r="AC305" s="313"/>
      <c r="AD305" s="313"/>
      <c r="AE305" s="313"/>
      <c r="AF305" s="313"/>
      <c r="AG305" s="313"/>
    </row>
    <row r="306" spans="1:33">
      <c r="A306" s="313"/>
      <c r="B306" s="313"/>
      <c r="C306" s="313"/>
      <c r="D306" s="313"/>
      <c r="E306" s="313"/>
      <c r="F306" s="313"/>
      <c r="G306" s="323"/>
      <c r="H306" s="323"/>
      <c r="I306" s="323"/>
      <c r="J306" s="323"/>
      <c r="K306" s="323"/>
      <c r="L306" s="313"/>
      <c r="M306" s="313"/>
      <c r="N306" s="313"/>
      <c r="O306" s="313"/>
      <c r="P306" s="313"/>
      <c r="Q306" s="313"/>
      <c r="R306" s="313"/>
      <c r="S306" s="313"/>
      <c r="T306" s="313"/>
      <c r="U306" s="313"/>
      <c r="V306" s="313"/>
      <c r="W306" s="313"/>
      <c r="X306" s="313"/>
      <c r="Y306" s="313"/>
      <c r="Z306" s="313"/>
      <c r="AA306" s="313"/>
      <c r="AB306" s="313"/>
      <c r="AC306" s="313"/>
      <c r="AD306" s="313"/>
      <c r="AE306" s="313"/>
      <c r="AF306" s="313"/>
      <c r="AG306" s="313"/>
    </row>
    <row r="307" spans="1:33">
      <c r="A307" s="313"/>
      <c r="B307" s="313"/>
      <c r="C307" s="313"/>
      <c r="D307" s="313"/>
      <c r="E307" s="313"/>
      <c r="F307" s="313"/>
      <c r="G307" s="323"/>
      <c r="H307" s="323"/>
      <c r="I307" s="323"/>
      <c r="J307" s="323"/>
      <c r="K307" s="32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row>
    <row r="308" spans="1:33">
      <c r="A308" s="313"/>
      <c r="B308" s="313"/>
      <c r="C308" s="313"/>
      <c r="D308" s="313"/>
      <c r="E308" s="313"/>
      <c r="F308" s="313"/>
      <c r="G308" s="323"/>
      <c r="H308" s="323"/>
      <c r="I308" s="323"/>
      <c r="J308" s="323"/>
      <c r="K308" s="323"/>
      <c r="L308" s="313"/>
      <c r="M308" s="313"/>
      <c r="N308" s="313"/>
      <c r="O308" s="313"/>
      <c r="P308" s="313"/>
      <c r="Q308" s="313"/>
      <c r="R308" s="313"/>
      <c r="S308" s="313"/>
      <c r="T308" s="313"/>
      <c r="U308" s="313"/>
      <c r="V308" s="313"/>
      <c r="W308" s="313"/>
      <c r="X308" s="313"/>
      <c r="Y308" s="313"/>
      <c r="Z308" s="313"/>
      <c r="AA308" s="313"/>
      <c r="AB308" s="313"/>
      <c r="AC308" s="313"/>
      <c r="AD308" s="313"/>
      <c r="AE308" s="313"/>
      <c r="AF308" s="313"/>
      <c r="AG308" s="313"/>
    </row>
    <row r="309" spans="1:33">
      <c r="A309" s="313"/>
      <c r="B309" s="313"/>
      <c r="C309" s="313"/>
      <c r="D309" s="313"/>
      <c r="E309" s="313"/>
      <c r="F309" s="313"/>
      <c r="G309" s="323"/>
      <c r="H309" s="323"/>
      <c r="I309" s="323"/>
      <c r="J309" s="323"/>
      <c r="K309" s="323"/>
      <c r="L309" s="313"/>
      <c r="M309" s="313"/>
      <c r="N309" s="313"/>
      <c r="O309" s="313"/>
      <c r="P309" s="313"/>
      <c r="Q309" s="313"/>
      <c r="R309" s="313"/>
      <c r="S309" s="313"/>
      <c r="T309" s="313"/>
      <c r="U309" s="313"/>
      <c r="V309" s="313"/>
      <c r="W309" s="313"/>
      <c r="X309" s="313"/>
      <c r="Y309" s="313"/>
      <c r="Z309" s="313"/>
      <c r="AA309" s="313"/>
      <c r="AB309" s="313"/>
      <c r="AC309" s="313"/>
      <c r="AD309" s="313"/>
      <c r="AE309" s="313"/>
      <c r="AF309" s="313"/>
      <c r="AG309" s="313"/>
    </row>
    <row r="310" spans="1:33">
      <c r="A310" s="313"/>
      <c r="B310" s="313"/>
      <c r="C310" s="313"/>
      <c r="D310" s="313"/>
      <c r="E310" s="313"/>
      <c r="F310" s="313"/>
      <c r="G310" s="323"/>
      <c r="H310" s="323"/>
      <c r="I310" s="323"/>
      <c r="J310" s="323"/>
      <c r="K310" s="32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row>
    <row r="311" spans="1:33">
      <c r="A311" s="313"/>
      <c r="B311" s="313"/>
      <c r="C311" s="313"/>
      <c r="D311" s="313"/>
      <c r="E311" s="313"/>
      <c r="F311" s="313"/>
      <c r="G311" s="323"/>
      <c r="H311" s="323"/>
      <c r="I311" s="323"/>
      <c r="J311" s="323"/>
      <c r="K311" s="32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row>
    <row r="312" spans="1:33">
      <c r="A312" s="313"/>
      <c r="B312" s="313"/>
      <c r="C312" s="313"/>
      <c r="D312" s="313"/>
      <c r="E312" s="313"/>
      <c r="F312" s="313"/>
      <c r="G312" s="323"/>
      <c r="H312" s="323"/>
      <c r="I312" s="323"/>
      <c r="J312" s="323"/>
      <c r="K312" s="323"/>
      <c r="L312" s="313"/>
      <c r="M312" s="313"/>
      <c r="N312" s="313"/>
      <c r="O312" s="313"/>
      <c r="P312" s="313"/>
      <c r="Q312" s="313"/>
      <c r="R312" s="313"/>
      <c r="S312" s="313"/>
      <c r="T312" s="313"/>
      <c r="U312" s="313"/>
      <c r="V312" s="313"/>
      <c r="W312" s="313"/>
      <c r="X312" s="313"/>
      <c r="Y312" s="313"/>
      <c r="Z312" s="313"/>
      <c r="AA312" s="313"/>
      <c r="AB312" s="313"/>
      <c r="AC312" s="313"/>
      <c r="AD312" s="313"/>
      <c r="AE312" s="313"/>
      <c r="AF312" s="313"/>
      <c r="AG312" s="313"/>
    </row>
    <row r="313" spans="1:33">
      <c r="A313" s="313"/>
      <c r="B313" s="313"/>
      <c r="C313" s="313"/>
      <c r="D313" s="313"/>
      <c r="E313" s="313"/>
      <c r="F313" s="313"/>
      <c r="G313" s="323"/>
      <c r="H313" s="323"/>
      <c r="I313" s="323"/>
      <c r="J313" s="323"/>
      <c r="K313" s="323"/>
      <c r="L313" s="313"/>
      <c r="M313" s="313"/>
      <c r="N313" s="313"/>
      <c r="O313" s="313"/>
      <c r="P313" s="313"/>
      <c r="Q313" s="313"/>
      <c r="R313" s="313"/>
      <c r="S313" s="313"/>
      <c r="T313" s="313"/>
      <c r="U313" s="313"/>
      <c r="V313" s="313"/>
      <c r="W313" s="313"/>
      <c r="X313" s="313"/>
      <c r="Y313" s="313"/>
      <c r="Z313" s="313"/>
      <c r="AA313" s="313"/>
      <c r="AB313" s="313"/>
      <c r="AC313" s="313"/>
      <c r="AD313" s="313"/>
      <c r="AE313" s="313"/>
      <c r="AF313" s="313"/>
      <c r="AG313" s="313"/>
    </row>
    <row r="314" spans="1:33">
      <c r="A314" s="313"/>
      <c r="B314" s="313"/>
      <c r="C314" s="313"/>
      <c r="D314" s="313"/>
      <c r="E314" s="313"/>
      <c r="F314" s="313"/>
      <c r="G314" s="323"/>
      <c r="H314" s="323"/>
      <c r="I314" s="323"/>
      <c r="J314" s="323"/>
      <c r="K314" s="323"/>
      <c r="L314" s="313"/>
      <c r="M314" s="313"/>
      <c r="N314" s="313"/>
      <c r="O314" s="313"/>
      <c r="P314" s="313"/>
      <c r="Q314" s="313"/>
      <c r="R314" s="313"/>
      <c r="S314" s="313"/>
      <c r="T314" s="313"/>
      <c r="U314" s="313"/>
      <c r="V314" s="313"/>
      <c r="W314" s="313"/>
      <c r="X314" s="313"/>
      <c r="Y314" s="313"/>
      <c r="Z314" s="313"/>
      <c r="AA314" s="313"/>
      <c r="AB314" s="313"/>
      <c r="AC314" s="313"/>
      <c r="AD314" s="313"/>
      <c r="AE314" s="313"/>
      <c r="AF314" s="313"/>
      <c r="AG314" s="313"/>
    </row>
    <row r="315" spans="1:33">
      <c r="A315" s="313"/>
      <c r="B315" s="313"/>
      <c r="C315" s="313"/>
      <c r="D315" s="313"/>
      <c r="E315" s="313"/>
      <c r="F315" s="313"/>
      <c r="G315" s="323"/>
      <c r="H315" s="323"/>
      <c r="I315" s="323"/>
      <c r="J315" s="323"/>
      <c r="K315" s="323"/>
      <c r="L315" s="313"/>
      <c r="M315" s="313"/>
      <c r="N315" s="313"/>
      <c r="O315" s="313"/>
      <c r="P315" s="313"/>
      <c r="Q315" s="313"/>
      <c r="R315" s="313"/>
      <c r="S315" s="313"/>
      <c r="T315" s="313"/>
      <c r="U315" s="313"/>
      <c r="V315" s="313"/>
      <c r="W315" s="313"/>
      <c r="X315" s="313"/>
      <c r="Y315" s="313"/>
      <c r="Z315" s="313"/>
      <c r="AA315" s="313"/>
      <c r="AB315" s="313"/>
      <c r="AC315" s="313"/>
      <c r="AD315" s="313"/>
      <c r="AE315" s="313"/>
      <c r="AF315" s="313"/>
      <c r="AG315" s="313"/>
    </row>
    <row r="316" spans="1:33">
      <c r="A316" s="313"/>
      <c r="B316" s="313"/>
      <c r="C316" s="313"/>
      <c r="D316" s="313"/>
      <c r="E316" s="313"/>
      <c r="F316" s="313"/>
      <c r="G316" s="323"/>
      <c r="H316" s="323"/>
      <c r="I316" s="323"/>
      <c r="J316" s="323"/>
      <c r="K316" s="323"/>
      <c r="L316" s="313"/>
      <c r="M316" s="313"/>
      <c r="N316" s="313"/>
      <c r="O316" s="313"/>
      <c r="P316" s="313"/>
      <c r="Q316" s="313"/>
      <c r="R316" s="313"/>
      <c r="S316" s="313"/>
      <c r="T316" s="313"/>
      <c r="U316" s="313"/>
      <c r="V316" s="313"/>
      <c r="W316" s="313"/>
      <c r="X316" s="313"/>
      <c r="Y316" s="313"/>
      <c r="Z316" s="313"/>
      <c r="AA316" s="313"/>
      <c r="AB316" s="313"/>
      <c r="AC316" s="313"/>
      <c r="AD316" s="313"/>
      <c r="AE316" s="313"/>
      <c r="AF316" s="313"/>
      <c r="AG316" s="313"/>
    </row>
    <row r="317" spans="1:33">
      <c r="A317" s="313"/>
      <c r="B317" s="313"/>
      <c r="C317" s="313"/>
      <c r="D317" s="313"/>
      <c r="E317" s="313"/>
      <c r="F317" s="313"/>
      <c r="G317" s="323"/>
      <c r="H317" s="323"/>
      <c r="I317" s="323"/>
      <c r="J317" s="323"/>
      <c r="K317" s="323"/>
      <c r="L317" s="313"/>
      <c r="M317" s="313"/>
      <c r="N317" s="313"/>
      <c r="O317" s="313"/>
      <c r="P317" s="313"/>
      <c r="Q317" s="313"/>
      <c r="R317" s="313"/>
      <c r="S317" s="313"/>
      <c r="T317" s="313"/>
      <c r="U317" s="313"/>
      <c r="V317" s="313"/>
      <c r="W317" s="313"/>
      <c r="X317" s="313"/>
      <c r="Y317" s="313"/>
      <c r="Z317" s="313"/>
      <c r="AA317" s="313"/>
      <c r="AB317" s="313"/>
      <c r="AC317" s="313"/>
      <c r="AD317" s="313"/>
      <c r="AE317" s="313"/>
      <c r="AF317" s="313"/>
      <c r="AG317" s="313"/>
    </row>
    <row r="318" spans="1:33">
      <c r="A318" s="313"/>
      <c r="B318" s="313"/>
      <c r="C318" s="313"/>
      <c r="D318" s="313"/>
      <c r="E318" s="313"/>
      <c r="F318" s="313"/>
      <c r="G318" s="323"/>
      <c r="H318" s="323"/>
      <c r="I318" s="323"/>
      <c r="J318" s="323"/>
      <c r="K318" s="323"/>
      <c r="L318" s="313"/>
      <c r="M318" s="313"/>
      <c r="N318" s="313"/>
      <c r="O318" s="313"/>
      <c r="P318" s="313"/>
      <c r="Q318" s="313"/>
      <c r="R318" s="313"/>
      <c r="S318" s="313"/>
      <c r="T318" s="313"/>
      <c r="U318" s="313"/>
      <c r="V318" s="313"/>
      <c r="W318" s="313"/>
      <c r="X318" s="313"/>
      <c r="Y318" s="313"/>
      <c r="Z318" s="313"/>
      <c r="AA318" s="313"/>
      <c r="AB318" s="313"/>
      <c r="AC318" s="313"/>
      <c r="AD318" s="313"/>
      <c r="AE318" s="313"/>
      <c r="AF318" s="313"/>
      <c r="AG318" s="313"/>
    </row>
    <row r="319" spans="1:33">
      <c r="A319" s="313"/>
      <c r="B319" s="313"/>
      <c r="C319" s="313"/>
      <c r="D319" s="313"/>
      <c r="E319" s="313"/>
      <c r="F319" s="313"/>
      <c r="G319" s="323"/>
      <c r="H319" s="323"/>
      <c r="I319" s="323"/>
      <c r="J319" s="323"/>
      <c r="K319" s="323"/>
      <c r="L319" s="313"/>
      <c r="M319" s="313"/>
      <c r="N319" s="313"/>
      <c r="O319" s="313"/>
      <c r="P319" s="313"/>
      <c r="Q319" s="313"/>
      <c r="R319" s="313"/>
      <c r="S319" s="313"/>
      <c r="T319" s="313"/>
      <c r="U319" s="313"/>
      <c r="V319" s="313"/>
      <c r="W319" s="313"/>
      <c r="X319" s="313"/>
      <c r="Y319" s="313"/>
      <c r="Z319" s="313"/>
      <c r="AA319" s="313"/>
      <c r="AB319" s="313"/>
      <c r="AC319" s="313"/>
      <c r="AD319" s="313"/>
      <c r="AE319" s="313"/>
      <c r="AF319" s="313"/>
      <c r="AG319" s="313"/>
    </row>
    <row r="320" spans="1:33">
      <c r="A320" s="313"/>
      <c r="B320" s="313"/>
      <c r="C320" s="313"/>
      <c r="D320" s="313"/>
      <c r="E320" s="313"/>
      <c r="F320" s="313"/>
      <c r="G320" s="323"/>
      <c r="H320" s="323"/>
      <c r="I320" s="323"/>
      <c r="J320" s="323"/>
      <c r="K320" s="323"/>
      <c r="L320" s="313"/>
      <c r="M320" s="313"/>
      <c r="N320" s="313"/>
      <c r="O320" s="313"/>
      <c r="P320" s="313"/>
      <c r="Q320" s="313"/>
      <c r="R320" s="313"/>
      <c r="S320" s="313"/>
      <c r="T320" s="313"/>
      <c r="U320" s="313"/>
      <c r="V320" s="313"/>
      <c r="W320" s="313"/>
      <c r="X320" s="313"/>
      <c r="Y320" s="313"/>
      <c r="Z320" s="313"/>
      <c r="AA320" s="313"/>
      <c r="AB320" s="313"/>
      <c r="AC320" s="313"/>
      <c r="AD320" s="313"/>
      <c r="AE320" s="313"/>
      <c r="AF320" s="313"/>
      <c r="AG320" s="313"/>
    </row>
    <row r="321" spans="1:33">
      <c r="A321" s="313"/>
      <c r="B321" s="313"/>
      <c r="C321" s="313"/>
      <c r="D321" s="313"/>
      <c r="E321" s="313"/>
      <c r="F321" s="313"/>
      <c r="G321" s="323"/>
      <c r="H321" s="323"/>
      <c r="I321" s="323"/>
      <c r="J321" s="323"/>
      <c r="K321" s="323"/>
      <c r="L321" s="313"/>
      <c r="M321" s="313"/>
      <c r="N321" s="313"/>
      <c r="O321" s="313"/>
      <c r="P321" s="313"/>
      <c r="Q321" s="313"/>
      <c r="R321" s="313"/>
      <c r="S321" s="313"/>
      <c r="T321" s="313"/>
      <c r="U321" s="313"/>
      <c r="V321" s="313"/>
      <c r="W321" s="313"/>
      <c r="X321" s="313"/>
      <c r="Y321" s="313"/>
      <c r="Z321" s="313"/>
      <c r="AA321" s="313"/>
      <c r="AB321" s="313"/>
      <c r="AC321" s="313"/>
      <c r="AD321" s="313"/>
      <c r="AE321" s="313"/>
      <c r="AF321" s="313"/>
      <c r="AG321" s="313"/>
    </row>
    <row r="322" spans="1:33">
      <c r="A322" s="313"/>
      <c r="B322" s="313"/>
      <c r="C322" s="313"/>
      <c r="D322" s="313"/>
      <c r="E322" s="313"/>
      <c r="F322" s="313"/>
      <c r="G322" s="323"/>
      <c r="H322" s="323"/>
      <c r="I322" s="323"/>
      <c r="J322" s="323"/>
      <c r="K322" s="323"/>
      <c r="L322" s="313"/>
      <c r="M322" s="313"/>
      <c r="N322" s="313"/>
      <c r="O322" s="313"/>
      <c r="P322" s="313"/>
      <c r="Q322" s="313"/>
      <c r="R322" s="313"/>
      <c r="S322" s="313"/>
      <c r="T322" s="313"/>
      <c r="U322" s="313"/>
      <c r="V322" s="313"/>
      <c r="W322" s="313"/>
      <c r="X322" s="313"/>
      <c r="Y322" s="313"/>
      <c r="Z322" s="313"/>
      <c r="AA322" s="313"/>
      <c r="AB322" s="313"/>
      <c r="AC322" s="313"/>
      <c r="AD322" s="313"/>
      <c r="AE322" s="313"/>
      <c r="AF322" s="313"/>
      <c r="AG322" s="313"/>
    </row>
    <row r="323" spans="1:33">
      <c r="A323" s="313"/>
      <c r="B323" s="313"/>
      <c r="C323" s="313"/>
      <c r="D323" s="313"/>
      <c r="E323" s="313"/>
      <c r="F323" s="313"/>
      <c r="G323" s="323"/>
      <c r="H323" s="323"/>
      <c r="I323" s="323"/>
      <c r="J323" s="323"/>
      <c r="K323" s="323"/>
      <c r="L323" s="313"/>
      <c r="M323" s="313"/>
      <c r="N323" s="313"/>
      <c r="O323" s="313"/>
      <c r="P323" s="313"/>
      <c r="Q323" s="313"/>
      <c r="R323" s="313"/>
      <c r="S323" s="313"/>
      <c r="T323" s="313"/>
      <c r="U323" s="313"/>
      <c r="V323" s="313"/>
      <c r="W323" s="313"/>
      <c r="X323" s="313"/>
      <c r="Y323" s="313"/>
      <c r="Z323" s="313"/>
      <c r="AA323" s="313"/>
      <c r="AB323" s="313"/>
      <c r="AC323" s="313"/>
      <c r="AD323" s="313"/>
      <c r="AE323" s="313"/>
      <c r="AF323" s="313"/>
      <c r="AG323" s="313"/>
    </row>
    <row r="324" spans="1:33">
      <c r="A324" s="313"/>
      <c r="B324" s="313"/>
      <c r="C324" s="313"/>
      <c r="D324" s="313"/>
      <c r="E324" s="313"/>
      <c r="F324" s="313"/>
      <c r="G324" s="323"/>
      <c r="H324" s="323"/>
      <c r="I324" s="323"/>
      <c r="J324" s="323"/>
      <c r="K324" s="323"/>
      <c r="L324" s="313"/>
      <c r="M324" s="313"/>
      <c r="N324" s="313"/>
      <c r="O324" s="313"/>
      <c r="P324" s="313"/>
      <c r="Q324" s="313"/>
      <c r="R324" s="313"/>
      <c r="S324" s="313"/>
      <c r="T324" s="313"/>
      <c r="U324" s="313"/>
      <c r="V324" s="313"/>
      <c r="W324" s="313"/>
      <c r="X324" s="313"/>
      <c r="Y324" s="313"/>
      <c r="Z324" s="313"/>
      <c r="AA324" s="313"/>
      <c r="AB324" s="313"/>
      <c r="AC324" s="313"/>
      <c r="AD324" s="313"/>
      <c r="AE324" s="313"/>
      <c r="AF324" s="313"/>
      <c r="AG324" s="313"/>
    </row>
    <row r="325" spans="1:33">
      <c r="A325" s="313"/>
      <c r="B325" s="313"/>
      <c r="C325" s="313"/>
      <c r="D325" s="313"/>
      <c r="E325" s="313"/>
      <c r="F325" s="313"/>
      <c r="G325" s="323"/>
      <c r="H325" s="323"/>
      <c r="I325" s="323"/>
      <c r="J325" s="323"/>
      <c r="K325" s="323"/>
      <c r="L325" s="313"/>
      <c r="M325" s="313"/>
      <c r="N325" s="313"/>
      <c r="O325" s="313"/>
      <c r="P325" s="313"/>
      <c r="Q325" s="313"/>
      <c r="R325" s="313"/>
      <c r="S325" s="313"/>
      <c r="T325" s="313"/>
      <c r="U325" s="313"/>
      <c r="V325" s="313"/>
      <c r="W325" s="313"/>
      <c r="X325" s="313"/>
      <c r="Y325" s="313"/>
      <c r="Z325" s="313"/>
      <c r="AA325" s="313"/>
      <c r="AB325" s="313"/>
      <c r="AC325" s="313"/>
      <c r="AD325" s="313"/>
      <c r="AE325" s="313"/>
      <c r="AF325" s="313"/>
      <c r="AG325" s="313"/>
    </row>
    <row r="326" spans="1:33">
      <c r="A326" s="313"/>
      <c r="B326" s="313"/>
      <c r="C326" s="313"/>
      <c r="D326" s="313"/>
      <c r="E326" s="313"/>
      <c r="F326" s="313"/>
      <c r="G326" s="323"/>
      <c r="H326" s="323"/>
      <c r="I326" s="323"/>
      <c r="J326" s="323"/>
      <c r="K326" s="323"/>
      <c r="L326" s="313"/>
      <c r="M326" s="313"/>
      <c r="N326" s="313"/>
      <c r="O326" s="313"/>
      <c r="P326" s="313"/>
      <c r="Q326" s="313"/>
      <c r="R326" s="313"/>
      <c r="S326" s="313"/>
      <c r="T326" s="313"/>
      <c r="U326" s="313"/>
      <c r="V326" s="313"/>
      <c r="W326" s="313"/>
      <c r="X326" s="313"/>
      <c r="Y326" s="313"/>
      <c r="Z326" s="313"/>
      <c r="AA326" s="313"/>
      <c r="AB326" s="313"/>
      <c r="AC326" s="313"/>
      <c r="AD326" s="313"/>
      <c r="AE326" s="313"/>
      <c r="AF326" s="313"/>
      <c r="AG326" s="313"/>
    </row>
    <row r="327" spans="1:33">
      <c r="A327" s="313"/>
      <c r="B327" s="313"/>
      <c r="C327" s="313"/>
      <c r="D327" s="313"/>
      <c r="E327" s="313"/>
      <c r="F327" s="313"/>
      <c r="G327" s="323"/>
      <c r="H327" s="323"/>
      <c r="I327" s="323"/>
      <c r="J327" s="323"/>
      <c r="K327" s="323"/>
      <c r="L327" s="313"/>
      <c r="M327" s="313"/>
      <c r="N327" s="313"/>
      <c r="O327" s="313"/>
      <c r="P327" s="313"/>
      <c r="Q327" s="313"/>
      <c r="R327" s="313"/>
      <c r="S327" s="313"/>
      <c r="T327" s="313"/>
      <c r="U327" s="313"/>
      <c r="V327" s="313"/>
      <c r="W327" s="313"/>
      <c r="X327" s="313"/>
      <c r="Y327" s="313"/>
      <c r="Z327" s="313"/>
      <c r="AA327" s="313"/>
      <c r="AB327" s="313"/>
      <c r="AC327" s="313"/>
      <c r="AD327" s="313"/>
      <c r="AE327" s="313"/>
      <c r="AF327" s="313"/>
      <c r="AG327" s="313"/>
    </row>
    <row r="328" spans="1:33">
      <c r="A328" s="313"/>
      <c r="B328" s="313"/>
      <c r="C328" s="313"/>
      <c r="D328" s="313"/>
      <c r="E328" s="313"/>
      <c r="F328" s="313"/>
      <c r="G328" s="323"/>
      <c r="H328" s="323"/>
      <c r="I328" s="323"/>
      <c r="J328" s="323"/>
      <c r="K328" s="323"/>
      <c r="L328" s="313"/>
      <c r="M328" s="313"/>
      <c r="N328" s="313"/>
      <c r="O328" s="313"/>
      <c r="P328" s="313"/>
      <c r="Q328" s="313"/>
      <c r="R328" s="313"/>
      <c r="S328" s="313"/>
      <c r="T328" s="313"/>
      <c r="U328" s="313"/>
      <c r="V328" s="313"/>
      <c r="W328" s="313"/>
      <c r="X328" s="313"/>
      <c r="Y328" s="313"/>
      <c r="Z328" s="313"/>
      <c r="AA328" s="313"/>
      <c r="AB328" s="313"/>
      <c r="AC328" s="313"/>
      <c r="AD328" s="313"/>
      <c r="AE328" s="313"/>
      <c r="AF328" s="313"/>
      <c r="AG328" s="313"/>
    </row>
    <row r="329" spans="1:33">
      <c r="A329" s="313"/>
      <c r="B329" s="313"/>
      <c r="C329" s="313"/>
      <c r="D329" s="313"/>
      <c r="E329" s="313"/>
      <c r="F329" s="313"/>
      <c r="G329" s="323"/>
      <c r="H329" s="323"/>
      <c r="I329" s="323"/>
      <c r="J329" s="323"/>
      <c r="K329" s="323"/>
      <c r="L329" s="313"/>
      <c r="M329" s="313"/>
      <c r="N329" s="313"/>
      <c r="O329" s="313"/>
      <c r="P329" s="313"/>
      <c r="Q329" s="313"/>
      <c r="R329" s="313"/>
      <c r="S329" s="313"/>
      <c r="T329" s="313"/>
      <c r="U329" s="313"/>
      <c r="V329" s="313"/>
      <c r="W329" s="313"/>
      <c r="X329" s="313"/>
      <c r="Y329" s="313"/>
      <c r="Z329" s="313"/>
      <c r="AA329" s="313"/>
      <c r="AB329" s="313"/>
      <c r="AC329" s="313"/>
      <c r="AD329" s="313"/>
      <c r="AE329" s="313"/>
      <c r="AF329" s="313"/>
      <c r="AG329" s="313"/>
    </row>
    <row r="330" spans="1:33">
      <c r="A330" s="313"/>
      <c r="B330" s="313"/>
      <c r="C330" s="313"/>
      <c r="D330" s="313"/>
      <c r="E330" s="313"/>
      <c r="F330" s="313"/>
      <c r="G330" s="323"/>
      <c r="H330" s="323"/>
      <c r="I330" s="323"/>
      <c r="J330" s="323"/>
      <c r="K330" s="323"/>
      <c r="L330" s="313"/>
      <c r="M330" s="313"/>
      <c r="N330" s="313"/>
      <c r="O330" s="313"/>
      <c r="P330" s="313"/>
      <c r="Q330" s="313"/>
      <c r="R330" s="313"/>
      <c r="S330" s="313"/>
      <c r="T330" s="313"/>
      <c r="U330" s="313"/>
      <c r="V330" s="313"/>
      <c r="W330" s="313"/>
      <c r="X330" s="313"/>
      <c r="Y330" s="313"/>
      <c r="Z330" s="313"/>
      <c r="AA330" s="313"/>
      <c r="AB330" s="313"/>
      <c r="AC330" s="313"/>
      <c r="AD330" s="313"/>
      <c r="AE330" s="313"/>
      <c r="AF330" s="313"/>
      <c r="AG330" s="313"/>
    </row>
    <row r="331" spans="1:33">
      <c r="A331" s="313"/>
      <c r="B331" s="313"/>
      <c r="C331" s="313"/>
      <c r="D331" s="313"/>
      <c r="E331" s="313"/>
      <c r="F331" s="313"/>
      <c r="G331" s="323"/>
      <c r="H331" s="323"/>
      <c r="I331" s="323"/>
      <c r="J331" s="323"/>
      <c r="K331" s="323"/>
      <c r="L331" s="313"/>
      <c r="M331" s="313"/>
      <c r="N331" s="313"/>
      <c r="O331" s="313"/>
      <c r="P331" s="313"/>
      <c r="Q331" s="313"/>
      <c r="R331" s="313"/>
      <c r="S331" s="313"/>
      <c r="T331" s="313"/>
      <c r="U331" s="313"/>
      <c r="V331" s="313"/>
      <c r="W331" s="313"/>
      <c r="X331" s="313"/>
      <c r="Y331" s="313"/>
      <c r="Z331" s="313"/>
      <c r="AA331" s="313"/>
      <c r="AB331" s="313"/>
      <c r="AC331" s="313"/>
      <c r="AD331" s="313"/>
      <c r="AE331" s="313"/>
      <c r="AF331" s="313"/>
      <c r="AG331" s="313"/>
    </row>
    <row r="332" spans="1:33">
      <c r="A332" s="313"/>
      <c r="B332" s="313"/>
      <c r="C332" s="313"/>
      <c r="D332" s="313"/>
      <c r="E332" s="313"/>
      <c r="F332" s="313"/>
      <c r="G332" s="323"/>
      <c r="H332" s="323"/>
      <c r="I332" s="323"/>
      <c r="J332" s="323"/>
      <c r="K332" s="323"/>
      <c r="L332" s="313"/>
      <c r="M332" s="313"/>
      <c r="N332" s="313"/>
      <c r="O332" s="313"/>
      <c r="P332" s="313"/>
      <c r="Q332" s="313"/>
      <c r="R332" s="313"/>
      <c r="S332" s="313"/>
      <c r="T332" s="313"/>
      <c r="U332" s="313"/>
      <c r="V332" s="313"/>
      <c r="W332" s="313"/>
      <c r="X332" s="313"/>
      <c r="Y332" s="313"/>
      <c r="Z332" s="313"/>
      <c r="AA332" s="313"/>
      <c r="AB332" s="313"/>
      <c r="AC332" s="313"/>
      <c r="AD332" s="313"/>
      <c r="AE332" s="313"/>
      <c r="AF332" s="313"/>
      <c r="AG332" s="313"/>
    </row>
    <row r="333" spans="1:33">
      <c r="A333" s="313"/>
      <c r="B333" s="313"/>
      <c r="C333" s="313"/>
      <c r="D333" s="313"/>
      <c r="E333" s="313"/>
      <c r="F333" s="313"/>
      <c r="G333" s="323"/>
      <c r="H333" s="323"/>
      <c r="I333" s="323"/>
      <c r="J333" s="323"/>
      <c r="K333" s="323"/>
      <c r="L333" s="313"/>
      <c r="M333" s="313"/>
      <c r="N333" s="313"/>
      <c r="O333" s="313"/>
      <c r="P333" s="313"/>
      <c r="Q333" s="313"/>
      <c r="R333" s="313"/>
      <c r="S333" s="313"/>
      <c r="T333" s="313"/>
      <c r="U333" s="313"/>
      <c r="V333" s="313"/>
      <c r="W333" s="313"/>
      <c r="X333" s="313"/>
      <c r="Y333" s="313"/>
      <c r="Z333" s="313"/>
      <c r="AA333" s="313"/>
      <c r="AB333" s="313"/>
      <c r="AC333" s="313"/>
      <c r="AD333" s="313"/>
      <c r="AE333" s="313"/>
      <c r="AF333" s="313"/>
      <c r="AG333" s="313"/>
    </row>
    <row r="334" spans="1:33">
      <c r="A334" s="313"/>
      <c r="B334" s="313"/>
      <c r="C334" s="313"/>
      <c r="D334" s="313"/>
      <c r="E334" s="313"/>
      <c r="F334" s="313"/>
      <c r="G334" s="323"/>
      <c r="H334" s="323"/>
      <c r="I334" s="323"/>
      <c r="J334" s="323"/>
      <c r="K334" s="323"/>
      <c r="L334" s="313"/>
      <c r="M334" s="313"/>
      <c r="N334" s="313"/>
      <c r="O334" s="313"/>
      <c r="P334" s="313"/>
      <c r="Q334" s="313"/>
      <c r="R334" s="313"/>
      <c r="S334" s="313"/>
      <c r="T334" s="313"/>
      <c r="U334" s="313"/>
      <c r="V334" s="313"/>
      <c r="W334" s="313"/>
      <c r="X334" s="313"/>
      <c r="Y334" s="313"/>
      <c r="Z334" s="313"/>
      <c r="AA334" s="313"/>
      <c r="AB334" s="313"/>
      <c r="AC334" s="313"/>
      <c r="AD334" s="313"/>
      <c r="AE334" s="313"/>
      <c r="AF334" s="313"/>
      <c r="AG334" s="313"/>
    </row>
    <row r="335" spans="1:33">
      <c r="A335" s="313"/>
      <c r="B335" s="313"/>
      <c r="C335" s="313"/>
      <c r="D335" s="313"/>
      <c r="E335" s="313"/>
      <c r="F335" s="313"/>
      <c r="G335" s="323"/>
      <c r="H335" s="323"/>
      <c r="I335" s="323"/>
      <c r="J335" s="323"/>
      <c r="K335" s="323"/>
      <c r="L335" s="313"/>
      <c r="M335" s="313"/>
      <c r="N335" s="313"/>
      <c r="O335" s="313"/>
      <c r="P335" s="313"/>
      <c r="Q335" s="313"/>
      <c r="R335" s="313"/>
      <c r="S335" s="313"/>
      <c r="T335" s="313"/>
      <c r="U335" s="313"/>
      <c r="V335" s="313"/>
      <c r="W335" s="313"/>
      <c r="X335" s="313"/>
      <c r="Y335" s="313"/>
      <c r="Z335" s="313"/>
      <c r="AA335" s="313"/>
      <c r="AB335" s="313"/>
      <c r="AC335" s="313"/>
      <c r="AD335" s="313"/>
      <c r="AE335" s="313"/>
      <c r="AF335" s="313"/>
      <c r="AG335" s="313"/>
    </row>
    <row r="336" spans="1:33">
      <c r="A336" s="313"/>
      <c r="B336" s="313"/>
      <c r="C336" s="313"/>
      <c r="D336" s="313"/>
      <c r="E336" s="313"/>
      <c r="F336" s="313"/>
      <c r="G336" s="323"/>
      <c r="H336" s="323"/>
      <c r="I336" s="323"/>
      <c r="J336" s="323"/>
      <c r="K336" s="323"/>
      <c r="L336" s="313"/>
      <c r="M336" s="313"/>
      <c r="N336" s="313"/>
      <c r="O336" s="313"/>
      <c r="P336" s="313"/>
      <c r="Q336" s="313"/>
      <c r="R336" s="313"/>
      <c r="S336" s="313"/>
      <c r="T336" s="313"/>
      <c r="U336" s="313"/>
      <c r="V336" s="313"/>
      <c r="W336" s="313"/>
      <c r="X336" s="313"/>
      <c r="Y336" s="313"/>
      <c r="Z336" s="313"/>
      <c r="AA336" s="313"/>
      <c r="AB336" s="313"/>
      <c r="AC336" s="313"/>
      <c r="AD336" s="313"/>
      <c r="AE336" s="313"/>
      <c r="AF336" s="313"/>
      <c r="AG336" s="313"/>
    </row>
    <row r="337" spans="1:33">
      <c r="A337" s="313"/>
      <c r="B337" s="313"/>
      <c r="C337" s="313"/>
      <c r="D337" s="313"/>
      <c r="E337" s="313"/>
      <c r="F337" s="313"/>
      <c r="G337" s="323"/>
      <c r="H337" s="323"/>
      <c r="I337" s="323"/>
      <c r="J337" s="323"/>
      <c r="K337" s="32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row>
    <row r="338" spans="1:33">
      <c r="A338" s="313"/>
      <c r="B338" s="313"/>
      <c r="C338" s="313"/>
      <c r="D338" s="313"/>
      <c r="E338" s="313"/>
      <c r="F338" s="313"/>
      <c r="G338" s="323"/>
      <c r="H338" s="323"/>
      <c r="I338" s="323"/>
      <c r="J338" s="323"/>
      <c r="K338" s="32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row>
    <row r="339" spans="1:33">
      <c r="A339" s="313"/>
      <c r="B339" s="313"/>
      <c r="C339" s="313"/>
      <c r="D339" s="313"/>
      <c r="E339" s="313"/>
      <c r="F339" s="313"/>
      <c r="G339" s="323"/>
      <c r="H339" s="323"/>
      <c r="I339" s="323"/>
      <c r="J339" s="323"/>
      <c r="K339" s="323"/>
      <c r="L339" s="313"/>
      <c r="M339" s="313"/>
      <c r="N339" s="313"/>
      <c r="O339" s="313"/>
      <c r="P339" s="313"/>
      <c r="Q339" s="313"/>
      <c r="R339" s="313"/>
      <c r="S339" s="313"/>
      <c r="T339" s="313"/>
      <c r="U339" s="313"/>
      <c r="V339" s="313"/>
      <c r="W339" s="313"/>
      <c r="X339" s="313"/>
      <c r="Y339" s="313"/>
      <c r="Z339" s="313"/>
      <c r="AA339" s="313"/>
      <c r="AB339" s="313"/>
      <c r="AC339" s="313"/>
      <c r="AD339" s="313"/>
      <c r="AE339" s="313"/>
      <c r="AF339" s="313"/>
      <c r="AG339" s="313"/>
    </row>
    <row r="340" spans="1:33">
      <c r="A340" s="313"/>
      <c r="B340" s="313"/>
      <c r="C340" s="313"/>
      <c r="D340" s="313"/>
      <c r="E340" s="313"/>
      <c r="F340" s="313"/>
      <c r="G340" s="323"/>
      <c r="H340" s="323"/>
      <c r="I340" s="323"/>
      <c r="J340" s="323"/>
      <c r="K340" s="323"/>
      <c r="L340" s="313"/>
      <c r="M340" s="313"/>
      <c r="N340" s="313"/>
      <c r="O340" s="313"/>
      <c r="P340" s="313"/>
      <c r="Q340" s="313"/>
      <c r="R340" s="313"/>
      <c r="S340" s="313"/>
      <c r="T340" s="313"/>
      <c r="U340" s="313"/>
      <c r="V340" s="313"/>
      <c r="W340" s="313"/>
      <c r="X340" s="313"/>
      <c r="Y340" s="313"/>
      <c r="Z340" s="313"/>
      <c r="AA340" s="313"/>
      <c r="AB340" s="313"/>
      <c r="AC340" s="313"/>
      <c r="AD340" s="313"/>
      <c r="AE340" s="313"/>
      <c r="AF340" s="313"/>
      <c r="AG340" s="313"/>
    </row>
    <row r="341" spans="1:33">
      <c r="A341" s="313"/>
      <c r="B341" s="313"/>
      <c r="C341" s="313"/>
      <c r="D341" s="313"/>
      <c r="E341" s="313"/>
      <c r="F341" s="313"/>
      <c r="G341" s="323"/>
      <c r="H341" s="323"/>
      <c r="I341" s="323"/>
      <c r="J341" s="323"/>
      <c r="K341" s="323"/>
      <c r="L341" s="313"/>
      <c r="M341" s="313"/>
      <c r="N341" s="313"/>
      <c r="O341" s="313"/>
      <c r="P341" s="313"/>
      <c r="Q341" s="313"/>
      <c r="R341" s="313"/>
      <c r="S341" s="313"/>
      <c r="T341" s="313"/>
      <c r="U341" s="313"/>
      <c r="V341" s="313"/>
      <c r="W341" s="313"/>
      <c r="X341" s="313"/>
      <c r="Y341" s="313"/>
      <c r="Z341" s="313"/>
      <c r="AA341" s="313"/>
      <c r="AB341" s="313"/>
      <c r="AC341" s="313"/>
      <c r="AD341" s="313"/>
      <c r="AE341" s="313"/>
      <c r="AF341" s="313"/>
      <c r="AG341" s="313"/>
    </row>
    <row r="342" spans="1:33">
      <c r="A342" s="313"/>
      <c r="B342" s="313"/>
      <c r="C342" s="313"/>
      <c r="D342" s="313"/>
      <c r="E342" s="313"/>
      <c r="F342" s="313"/>
      <c r="G342" s="323"/>
      <c r="H342" s="323"/>
      <c r="I342" s="323"/>
      <c r="J342" s="323"/>
      <c r="K342" s="323"/>
      <c r="L342" s="313"/>
      <c r="M342" s="313"/>
      <c r="N342" s="313"/>
      <c r="O342" s="313"/>
      <c r="P342" s="313"/>
      <c r="Q342" s="313"/>
      <c r="R342" s="313"/>
      <c r="S342" s="313"/>
      <c r="T342" s="313"/>
      <c r="U342" s="313"/>
      <c r="V342" s="313"/>
      <c r="W342" s="313"/>
      <c r="X342" s="313"/>
      <c r="Y342" s="313"/>
      <c r="Z342" s="313"/>
      <c r="AA342" s="313"/>
      <c r="AB342" s="313"/>
      <c r="AC342" s="313"/>
      <c r="AD342" s="313"/>
      <c r="AE342" s="313"/>
      <c r="AF342" s="313"/>
      <c r="AG342" s="313"/>
    </row>
    <row r="343" spans="1:33">
      <c r="A343" s="313"/>
      <c r="B343" s="313"/>
      <c r="C343" s="313"/>
      <c r="D343" s="313"/>
      <c r="E343" s="313"/>
      <c r="F343" s="313"/>
      <c r="G343" s="323"/>
      <c r="H343" s="323"/>
      <c r="I343" s="323"/>
      <c r="J343" s="323"/>
      <c r="K343" s="323"/>
      <c r="L343" s="313"/>
      <c r="M343" s="313"/>
      <c r="N343" s="313"/>
      <c r="O343" s="313"/>
      <c r="P343" s="313"/>
      <c r="Q343" s="313"/>
      <c r="R343" s="313"/>
      <c r="S343" s="313"/>
      <c r="T343" s="313"/>
      <c r="U343" s="313"/>
      <c r="V343" s="313"/>
      <c r="W343" s="313"/>
      <c r="X343" s="313"/>
      <c r="Y343" s="313"/>
      <c r="Z343" s="313"/>
      <c r="AA343" s="313"/>
      <c r="AB343" s="313"/>
      <c r="AC343" s="313"/>
      <c r="AD343" s="313"/>
      <c r="AE343" s="313"/>
      <c r="AF343" s="313"/>
      <c r="AG343" s="313"/>
    </row>
    <row r="344" spans="1:33">
      <c r="A344" s="313"/>
      <c r="B344" s="313"/>
      <c r="C344" s="313"/>
      <c r="D344" s="313"/>
      <c r="E344" s="313"/>
      <c r="F344" s="313"/>
      <c r="G344" s="323"/>
      <c r="H344" s="323"/>
      <c r="I344" s="323"/>
      <c r="J344" s="323"/>
      <c r="K344" s="323"/>
      <c r="L344" s="313"/>
      <c r="M344" s="313"/>
      <c r="N344" s="313"/>
      <c r="O344" s="313"/>
      <c r="P344" s="313"/>
      <c r="Q344" s="313"/>
      <c r="R344" s="313"/>
      <c r="S344" s="313"/>
      <c r="T344" s="313"/>
      <c r="U344" s="313"/>
      <c r="V344" s="313"/>
      <c r="W344" s="313"/>
      <c r="X344" s="313"/>
      <c r="Y344" s="313"/>
      <c r="Z344" s="313"/>
      <c r="AA344" s="313"/>
      <c r="AB344" s="313"/>
      <c r="AC344" s="313"/>
      <c r="AD344" s="313"/>
      <c r="AE344" s="313"/>
      <c r="AF344" s="313"/>
      <c r="AG344" s="313"/>
    </row>
    <row r="345" spans="1:33">
      <c r="A345" s="313"/>
      <c r="B345" s="313"/>
      <c r="C345" s="313"/>
      <c r="D345" s="313"/>
      <c r="E345" s="313"/>
      <c r="F345" s="313"/>
      <c r="G345" s="323"/>
      <c r="H345" s="323"/>
      <c r="I345" s="323"/>
      <c r="J345" s="323"/>
      <c r="K345" s="323"/>
      <c r="L345" s="313"/>
      <c r="M345" s="313"/>
      <c r="N345" s="313"/>
      <c r="O345" s="313"/>
      <c r="P345" s="313"/>
      <c r="Q345" s="313"/>
      <c r="R345" s="313"/>
      <c r="S345" s="313"/>
      <c r="T345" s="313"/>
      <c r="U345" s="313"/>
      <c r="V345" s="313"/>
      <c r="W345" s="313"/>
      <c r="X345" s="313"/>
      <c r="Y345" s="313"/>
      <c r="Z345" s="313"/>
      <c r="AA345" s="313"/>
      <c r="AB345" s="313"/>
      <c r="AC345" s="313"/>
      <c r="AD345" s="313"/>
      <c r="AE345" s="313"/>
      <c r="AF345" s="313"/>
      <c r="AG345" s="313"/>
    </row>
    <row r="346" spans="1:33">
      <c r="A346" s="313"/>
      <c r="B346" s="313"/>
      <c r="C346" s="313"/>
      <c r="D346" s="313"/>
      <c r="E346" s="313"/>
      <c r="F346" s="313"/>
      <c r="G346" s="323"/>
      <c r="H346" s="323"/>
      <c r="I346" s="323"/>
      <c r="J346" s="323"/>
      <c r="K346" s="323"/>
      <c r="L346" s="313"/>
      <c r="M346" s="313"/>
      <c r="N346" s="313"/>
      <c r="O346" s="313"/>
      <c r="P346" s="313"/>
      <c r="Q346" s="313"/>
      <c r="R346" s="313"/>
      <c r="S346" s="313"/>
      <c r="T346" s="313"/>
      <c r="U346" s="313"/>
      <c r="V346" s="313"/>
      <c r="W346" s="313"/>
      <c r="X346" s="313"/>
      <c r="Y346" s="313"/>
      <c r="Z346" s="313"/>
      <c r="AA346" s="313"/>
      <c r="AB346" s="313"/>
      <c r="AC346" s="313"/>
      <c r="AD346" s="313"/>
      <c r="AE346" s="313"/>
      <c r="AF346" s="313"/>
      <c r="AG346" s="313"/>
    </row>
    <row r="347" spans="1:33">
      <c r="A347" s="313"/>
      <c r="B347" s="313"/>
      <c r="C347" s="313"/>
      <c r="D347" s="313"/>
      <c r="E347" s="313"/>
      <c r="F347" s="313"/>
      <c r="G347" s="323"/>
      <c r="H347" s="323"/>
      <c r="I347" s="323"/>
      <c r="J347" s="323"/>
      <c r="K347" s="323"/>
      <c r="L347" s="313"/>
      <c r="M347" s="313"/>
      <c r="N347" s="313"/>
      <c r="O347" s="313"/>
      <c r="P347" s="313"/>
      <c r="Q347" s="313"/>
      <c r="R347" s="313"/>
      <c r="S347" s="313"/>
      <c r="T347" s="313"/>
      <c r="U347" s="313"/>
      <c r="V347" s="313"/>
      <c r="W347" s="313"/>
      <c r="X347" s="313"/>
      <c r="Y347" s="313"/>
      <c r="Z347" s="313"/>
      <c r="AA347" s="313"/>
      <c r="AB347" s="313"/>
      <c r="AC347" s="313"/>
      <c r="AD347" s="313"/>
      <c r="AE347" s="313"/>
      <c r="AF347" s="313"/>
      <c r="AG347" s="313"/>
    </row>
    <row r="348" spans="1:33">
      <c r="A348" s="313"/>
      <c r="B348" s="313"/>
      <c r="C348" s="313"/>
      <c r="D348" s="313"/>
      <c r="E348" s="313"/>
      <c r="F348" s="313"/>
      <c r="G348" s="323"/>
      <c r="H348" s="323"/>
      <c r="I348" s="323"/>
      <c r="J348" s="323"/>
      <c r="K348" s="323"/>
      <c r="L348" s="313"/>
      <c r="M348" s="313"/>
      <c r="N348" s="313"/>
      <c r="O348" s="313"/>
      <c r="P348" s="313"/>
      <c r="Q348" s="313"/>
      <c r="R348" s="313"/>
      <c r="S348" s="313"/>
      <c r="T348" s="313"/>
      <c r="U348" s="313"/>
      <c r="V348" s="313"/>
      <c r="W348" s="313"/>
      <c r="X348" s="313"/>
      <c r="Y348" s="313"/>
      <c r="Z348" s="313"/>
      <c r="AA348" s="313"/>
      <c r="AB348" s="313"/>
      <c r="AC348" s="313"/>
      <c r="AD348" s="313"/>
      <c r="AE348" s="313"/>
      <c r="AF348" s="313"/>
      <c r="AG348" s="313"/>
    </row>
    <row r="349" spans="1:33">
      <c r="A349" s="313"/>
      <c r="B349" s="313"/>
      <c r="C349" s="313"/>
      <c r="D349" s="313"/>
      <c r="E349" s="313"/>
      <c r="F349" s="313"/>
      <c r="G349" s="323"/>
      <c r="H349" s="323"/>
      <c r="I349" s="323"/>
      <c r="J349" s="323"/>
      <c r="K349" s="323"/>
      <c r="L349" s="313"/>
      <c r="M349" s="313"/>
      <c r="N349" s="313"/>
      <c r="O349" s="313"/>
      <c r="P349" s="313"/>
      <c r="Q349" s="313"/>
      <c r="R349" s="313"/>
      <c r="S349" s="313"/>
      <c r="T349" s="313"/>
      <c r="U349" s="313"/>
      <c r="V349" s="313"/>
      <c r="W349" s="313"/>
      <c r="X349" s="313"/>
      <c r="Y349" s="313"/>
      <c r="Z349" s="313"/>
      <c r="AA349" s="313"/>
      <c r="AB349" s="313"/>
      <c r="AC349" s="313"/>
      <c r="AD349" s="313"/>
      <c r="AE349" s="313"/>
      <c r="AF349" s="313"/>
      <c r="AG349" s="313"/>
    </row>
    <row r="350" spans="1:33">
      <c r="A350" s="313"/>
      <c r="B350" s="313"/>
      <c r="C350" s="313"/>
      <c r="D350" s="313"/>
      <c r="E350" s="313"/>
      <c r="F350" s="313"/>
      <c r="G350" s="323"/>
      <c r="H350" s="323"/>
      <c r="I350" s="323"/>
      <c r="J350" s="323"/>
      <c r="K350" s="323"/>
      <c r="L350" s="313"/>
      <c r="M350" s="313"/>
      <c r="N350" s="313"/>
      <c r="O350" s="313"/>
      <c r="P350" s="313"/>
      <c r="Q350" s="313"/>
      <c r="R350" s="313"/>
      <c r="S350" s="313"/>
      <c r="T350" s="313"/>
      <c r="U350" s="313"/>
      <c r="V350" s="313"/>
      <c r="W350" s="313"/>
      <c r="X350" s="313"/>
      <c r="Y350" s="313"/>
      <c r="Z350" s="313"/>
      <c r="AA350" s="313"/>
      <c r="AB350" s="313"/>
      <c r="AC350" s="313"/>
      <c r="AD350" s="313"/>
      <c r="AE350" s="313"/>
      <c r="AF350" s="313"/>
      <c r="AG350" s="313"/>
    </row>
    <row r="351" spans="1:33">
      <c r="A351" s="313"/>
      <c r="B351" s="313"/>
      <c r="C351" s="313"/>
      <c r="D351" s="313"/>
      <c r="E351" s="313"/>
      <c r="F351" s="313"/>
      <c r="G351" s="323"/>
      <c r="H351" s="323"/>
      <c r="I351" s="323"/>
      <c r="J351" s="323"/>
      <c r="K351" s="323"/>
      <c r="L351" s="313"/>
      <c r="M351" s="313"/>
      <c r="N351" s="313"/>
      <c r="O351" s="313"/>
      <c r="P351" s="313"/>
      <c r="Q351" s="313"/>
      <c r="R351" s="313"/>
      <c r="S351" s="313"/>
      <c r="T351" s="313"/>
      <c r="U351" s="313"/>
      <c r="V351" s="313"/>
      <c r="W351" s="313"/>
      <c r="X351" s="313"/>
      <c r="Y351" s="313"/>
      <c r="Z351" s="313"/>
      <c r="AA351" s="313"/>
      <c r="AB351" s="313"/>
      <c r="AC351" s="313"/>
      <c r="AD351" s="313"/>
      <c r="AE351" s="313"/>
      <c r="AF351" s="313"/>
      <c r="AG351" s="313"/>
    </row>
    <row r="352" spans="1:33">
      <c r="A352" s="313"/>
      <c r="B352" s="313"/>
      <c r="C352" s="313"/>
      <c r="D352" s="313"/>
      <c r="E352" s="313"/>
      <c r="F352" s="313"/>
      <c r="G352" s="323"/>
      <c r="H352" s="323"/>
      <c r="I352" s="323"/>
      <c r="J352" s="323"/>
      <c r="K352" s="323"/>
      <c r="L352" s="313"/>
      <c r="M352" s="313"/>
      <c r="N352" s="313"/>
      <c r="O352" s="313"/>
      <c r="P352" s="313"/>
      <c r="Q352" s="313"/>
      <c r="R352" s="313"/>
      <c r="S352" s="313"/>
      <c r="T352" s="313"/>
      <c r="U352" s="313"/>
      <c r="V352" s="313"/>
      <c r="W352" s="313"/>
      <c r="X352" s="313"/>
      <c r="Y352" s="313"/>
      <c r="Z352" s="313"/>
      <c r="AA352" s="313"/>
      <c r="AB352" s="313"/>
      <c r="AC352" s="313"/>
      <c r="AD352" s="313"/>
      <c r="AE352" s="313"/>
      <c r="AF352" s="313"/>
      <c r="AG352" s="313"/>
    </row>
    <row r="353" spans="1:33">
      <c r="A353" s="313"/>
      <c r="B353" s="313"/>
      <c r="C353" s="313"/>
      <c r="D353" s="313"/>
      <c r="E353" s="313"/>
      <c r="F353" s="313"/>
      <c r="G353" s="323"/>
      <c r="H353" s="323"/>
      <c r="I353" s="323"/>
      <c r="J353" s="323"/>
      <c r="K353" s="323"/>
      <c r="L353" s="313"/>
      <c r="M353" s="313"/>
      <c r="N353" s="313"/>
      <c r="O353" s="313"/>
      <c r="P353" s="313"/>
      <c r="Q353" s="313"/>
      <c r="R353" s="313"/>
      <c r="S353" s="313"/>
      <c r="T353" s="313"/>
      <c r="U353" s="313"/>
      <c r="V353" s="313"/>
      <c r="W353" s="313"/>
      <c r="X353" s="313"/>
      <c r="Y353" s="313"/>
      <c r="Z353" s="313"/>
      <c r="AA353" s="313"/>
      <c r="AB353" s="313"/>
      <c r="AC353" s="313"/>
      <c r="AD353" s="313"/>
      <c r="AE353" s="313"/>
      <c r="AF353" s="313"/>
      <c r="AG353" s="313"/>
    </row>
    <row r="354" spans="1:33">
      <c r="A354" s="313"/>
      <c r="B354" s="313"/>
      <c r="C354" s="313"/>
      <c r="D354" s="313"/>
      <c r="E354" s="313"/>
      <c r="F354" s="313"/>
      <c r="G354" s="323"/>
      <c r="H354" s="323"/>
      <c r="I354" s="323"/>
      <c r="J354" s="323"/>
      <c r="K354" s="323"/>
      <c r="L354" s="313"/>
      <c r="M354" s="313"/>
      <c r="N354" s="313"/>
      <c r="O354" s="313"/>
      <c r="P354" s="313"/>
      <c r="Q354" s="313"/>
      <c r="R354" s="313"/>
      <c r="S354" s="313"/>
      <c r="T354" s="313"/>
      <c r="U354" s="313"/>
      <c r="V354" s="313"/>
      <c r="W354" s="313"/>
      <c r="X354" s="313"/>
      <c r="Y354" s="313"/>
      <c r="Z354" s="313"/>
      <c r="AA354" s="313"/>
      <c r="AB354" s="313"/>
      <c r="AC354" s="313"/>
      <c r="AD354" s="313"/>
      <c r="AE354" s="313"/>
      <c r="AF354" s="313"/>
      <c r="AG354" s="313"/>
    </row>
    <row r="355" spans="1:33">
      <c r="A355" s="313"/>
      <c r="B355" s="313"/>
      <c r="C355" s="313"/>
      <c r="D355" s="313"/>
      <c r="E355" s="313"/>
      <c r="F355" s="313"/>
      <c r="G355" s="323"/>
      <c r="H355" s="323"/>
      <c r="I355" s="323"/>
      <c r="J355" s="323"/>
      <c r="K355" s="323"/>
      <c r="L355" s="313"/>
      <c r="M355" s="313"/>
      <c r="N355" s="313"/>
      <c r="O355" s="313"/>
      <c r="P355" s="313"/>
      <c r="Q355" s="313"/>
      <c r="R355" s="313"/>
      <c r="S355" s="313"/>
      <c r="T355" s="313"/>
      <c r="U355" s="313"/>
      <c r="V355" s="313"/>
      <c r="W355" s="313"/>
      <c r="X355" s="313"/>
      <c r="Y355" s="313"/>
      <c r="Z355" s="313"/>
      <c r="AA355" s="313"/>
      <c r="AB355" s="313"/>
      <c r="AC355" s="313"/>
      <c r="AD355" s="313"/>
      <c r="AE355" s="313"/>
      <c r="AF355" s="313"/>
      <c r="AG355" s="313"/>
    </row>
    <row r="356" spans="1:33">
      <c r="A356" s="313"/>
      <c r="B356" s="313"/>
      <c r="C356" s="313"/>
      <c r="D356" s="313"/>
      <c r="E356" s="313"/>
      <c r="F356" s="313"/>
      <c r="G356" s="323"/>
      <c r="H356" s="323"/>
      <c r="I356" s="323"/>
      <c r="J356" s="323"/>
      <c r="K356" s="323"/>
      <c r="L356" s="313"/>
      <c r="M356" s="313"/>
      <c r="N356" s="313"/>
      <c r="O356" s="313"/>
      <c r="P356" s="313"/>
      <c r="Q356" s="313"/>
      <c r="R356" s="313"/>
      <c r="S356" s="313"/>
      <c r="T356" s="313"/>
      <c r="U356" s="313"/>
      <c r="V356" s="313"/>
      <c r="W356" s="313"/>
      <c r="X356" s="313"/>
      <c r="Y356" s="313"/>
      <c r="Z356" s="313"/>
      <c r="AA356" s="313"/>
      <c r="AB356" s="313"/>
      <c r="AC356" s="313"/>
      <c r="AD356" s="313"/>
      <c r="AE356" s="313"/>
      <c r="AF356" s="313"/>
      <c r="AG356" s="313"/>
    </row>
    <row r="357" spans="1:33">
      <c r="A357" s="313"/>
      <c r="B357" s="313"/>
      <c r="C357" s="313"/>
      <c r="D357" s="313"/>
      <c r="E357" s="313"/>
      <c r="F357" s="313"/>
      <c r="G357" s="323"/>
      <c r="H357" s="323"/>
      <c r="I357" s="323"/>
      <c r="J357" s="323"/>
      <c r="K357" s="323"/>
      <c r="L357" s="313"/>
      <c r="M357" s="313"/>
      <c r="N357" s="313"/>
      <c r="O357" s="313"/>
      <c r="P357" s="313"/>
      <c r="Q357" s="313"/>
      <c r="R357" s="313"/>
      <c r="S357" s="313"/>
      <c r="T357" s="313"/>
      <c r="U357" s="313"/>
      <c r="V357" s="313"/>
      <c r="W357" s="313"/>
      <c r="X357" s="313"/>
      <c r="Y357" s="313"/>
      <c r="Z357" s="313"/>
      <c r="AA357" s="313"/>
      <c r="AB357" s="313"/>
      <c r="AC357" s="313"/>
      <c r="AD357" s="313"/>
      <c r="AE357" s="313"/>
      <c r="AF357" s="313"/>
      <c r="AG357" s="313"/>
    </row>
    <row r="358" spans="1:33">
      <c r="A358" s="313"/>
      <c r="B358" s="313"/>
      <c r="C358" s="313"/>
      <c r="D358" s="313"/>
      <c r="E358" s="313"/>
      <c r="F358" s="313"/>
      <c r="G358" s="323"/>
      <c r="H358" s="323"/>
      <c r="I358" s="323"/>
      <c r="J358" s="323"/>
      <c r="K358" s="323"/>
      <c r="L358" s="313"/>
      <c r="M358" s="313"/>
      <c r="N358" s="313"/>
      <c r="O358" s="313"/>
      <c r="P358" s="313"/>
      <c r="Q358" s="313"/>
      <c r="R358" s="313"/>
      <c r="S358" s="313"/>
      <c r="T358" s="313"/>
      <c r="U358" s="313"/>
      <c r="V358" s="313"/>
      <c r="W358" s="313"/>
      <c r="X358" s="313"/>
      <c r="Y358" s="313"/>
      <c r="Z358" s="313"/>
      <c r="AA358" s="313"/>
      <c r="AB358" s="313"/>
      <c r="AC358" s="313"/>
      <c r="AD358" s="313"/>
      <c r="AE358" s="313"/>
      <c r="AF358" s="313"/>
      <c r="AG358" s="313"/>
    </row>
    <row r="359" spans="1:33">
      <c r="A359" s="313"/>
      <c r="B359" s="313"/>
      <c r="C359" s="313"/>
      <c r="D359" s="313"/>
      <c r="E359" s="313"/>
      <c r="F359" s="313"/>
      <c r="G359" s="323"/>
      <c r="H359" s="323"/>
      <c r="I359" s="323"/>
      <c r="J359" s="323"/>
      <c r="K359" s="323"/>
      <c r="L359" s="313"/>
      <c r="M359" s="313"/>
      <c r="N359" s="313"/>
      <c r="O359" s="313"/>
      <c r="P359" s="313"/>
      <c r="Q359" s="313"/>
      <c r="R359" s="313"/>
      <c r="S359" s="313"/>
      <c r="T359" s="313"/>
      <c r="U359" s="313"/>
      <c r="V359" s="313"/>
      <c r="W359" s="313"/>
      <c r="X359" s="313"/>
      <c r="Y359" s="313"/>
      <c r="Z359" s="313"/>
      <c r="AA359" s="313"/>
      <c r="AB359" s="313"/>
      <c r="AC359" s="313"/>
      <c r="AD359" s="313"/>
      <c r="AE359" s="313"/>
      <c r="AF359" s="313"/>
      <c r="AG359" s="313"/>
    </row>
    <row r="360" spans="1:33">
      <c r="A360" s="313"/>
      <c r="B360" s="313"/>
      <c r="C360" s="313"/>
      <c r="D360" s="313"/>
      <c r="E360" s="313"/>
      <c r="F360" s="313"/>
      <c r="G360" s="323"/>
      <c r="H360" s="323"/>
      <c r="I360" s="323"/>
      <c r="J360" s="323"/>
      <c r="K360" s="323"/>
      <c r="L360" s="313"/>
      <c r="M360" s="313"/>
      <c r="N360" s="313"/>
      <c r="O360" s="313"/>
      <c r="P360" s="313"/>
      <c r="Q360" s="313"/>
      <c r="R360" s="313"/>
      <c r="S360" s="313"/>
      <c r="T360" s="313"/>
      <c r="U360" s="313"/>
      <c r="V360" s="313"/>
      <c r="W360" s="313"/>
      <c r="X360" s="313"/>
      <c r="Y360" s="313"/>
      <c r="Z360" s="313"/>
      <c r="AA360" s="313"/>
      <c r="AB360" s="313"/>
      <c r="AC360" s="313"/>
      <c r="AD360" s="313"/>
      <c r="AE360" s="313"/>
      <c r="AF360" s="313"/>
      <c r="AG360" s="313"/>
    </row>
    <row r="361" spans="1:33">
      <c r="A361" s="313"/>
      <c r="B361" s="313"/>
      <c r="C361" s="313"/>
      <c r="D361" s="313"/>
      <c r="E361" s="313"/>
      <c r="F361" s="313"/>
      <c r="G361" s="323"/>
      <c r="H361" s="323"/>
      <c r="I361" s="323"/>
      <c r="J361" s="323"/>
      <c r="K361" s="323"/>
      <c r="L361" s="313"/>
      <c r="M361" s="313"/>
      <c r="N361" s="313"/>
      <c r="O361" s="313"/>
      <c r="P361" s="313"/>
      <c r="Q361" s="313"/>
      <c r="R361" s="313"/>
      <c r="S361" s="313"/>
      <c r="T361" s="313"/>
      <c r="U361" s="313"/>
      <c r="V361" s="313"/>
      <c r="W361" s="313"/>
      <c r="X361" s="313"/>
      <c r="Y361" s="313"/>
      <c r="Z361" s="313"/>
      <c r="AA361" s="313"/>
      <c r="AB361" s="313"/>
      <c r="AC361" s="313"/>
      <c r="AD361" s="313"/>
      <c r="AE361" s="313"/>
      <c r="AF361" s="313"/>
      <c r="AG361" s="313"/>
    </row>
    <row r="362" spans="1:33">
      <c r="A362" s="313"/>
      <c r="B362" s="313"/>
      <c r="C362" s="313"/>
      <c r="D362" s="313"/>
      <c r="E362" s="313"/>
      <c r="F362" s="313"/>
      <c r="G362" s="323"/>
      <c r="H362" s="323"/>
      <c r="I362" s="323"/>
      <c r="J362" s="323"/>
      <c r="K362" s="323"/>
      <c r="L362" s="313"/>
      <c r="M362" s="313"/>
      <c r="N362" s="313"/>
      <c r="O362" s="313"/>
      <c r="P362" s="313"/>
      <c r="Q362" s="313"/>
      <c r="R362" s="313"/>
      <c r="S362" s="313"/>
      <c r="T362" s="313"/>
      <c r="U362" s="313"/>
      <c r="V362" s="313"/>
      <c r="W362" s="313"/>
      <c r="X362" s="313"/>
      <c r="Y362" s="313"/>
      <c r="Z362" s="313"/>
      <c r="AA362" s="313"/>
      <c r="AB362" s="313"/>
      <c r="AC362" s="313"/>
      <c r="AD362" s="313"/>
      <c r="AE362" s="313"/>
      <c r="AF362" s="313"/>
      <c r="AG362" s="313"/>
    </row>
    <row r="363" spans="1:33">
      <c r="A363" s="313"/>
      <c r="B363" s="313"/>
      <c r="C363" s="313"/>
      <c r="D363" s="313"/>
      <c r="E363" s="313"/>
      <c r="F363" s="313"/>
      <c r="G363" s="323"/>
      <c r="H363" s="323"/>
      <c r="I363" s="323"/>
      <c r="J363" s="323"/>
      <c r="K363" s="323"/>
      <c r="L363" s="313"/>
      <c r="M363" s="313"/>
      <c r="N363" s="313"/>
      <c r="O363" s="313"/>
      <c r="P363" s="313"/>
      <c r="Q363" s="313"/>
      <c r="R363" s="313"/>
      <c r="S363" s="313"/>
      <c r="T363" s="313"/>
      <c r="U363" s="313"/>
      <c r="V363" s="313"/>
      <c r="W363" s="313"/>
      <c r="X363" s="313"/>
      <c r="Y363" s="313"/>
      <c r="Z363" s="313"/>
      <c r="AA363" s="313"/>
      <c r="AB363" s="313"/>
      <c r="AC363" s="313"/>
      <c r="AD363" s="313"/>
      <c r="AE363" s="313"/>
      <c r="AF363" s="313"/>
      <c r="AG363" s="313"/>
    </row>
    <row r="364" spans="1:33">
      <c r="A364" s="313"/>
      <c r="B364" s="313"/>
      <c r="C364" s="313"/>
      <c r="D364" s="313"/>
      <c r="E364" s="313"/>
      <c r="F364" s="313"/>
      <c r="G364" s="323"/>
      <c r="H364" s="323"/>
      <c r="I364" s="323"/>
      <c r="J364" s="323"/>
      <c r="K364" s="323"/>
      <c r="L364" s="313"/>
      <c r="M364" s="313"/>
      <c r="N364" s="313"/>
      <c r="O364" s="313"/>
      <c r="P364" s="313"/>
      <c r="Q364" s="313"/>
      <c r="R364" s="313"/>
      <c r="S364" s="313"/>
      <c r="T364" s="313"/>
      <c r="U364" s="313"/>
      <c r="V364" s="313"/>
      <c r="W364" s="313"/>
      <c r="X364" s="313"/>
      <c r="Y364" s="313"/>
      <c r="Z364" s="313"/>
      <c r="AA364" s="313"/>
      <c r="AB364" s="313"/>
      <c r="AC364" s="313"/>
      <c r="AD364" s="313"/>
      <c r="AE364" s="313"/>
      <c r="AF364" s="313"/>
      <c r="AG364" s="313"/>
    </row>
    <row r="365" spans="1:33">
      <c r="A365" s="313"/>
      <c r="B365" s="313"/>
      <c r="C365" s="313"/>
      <c r="D365" s="313"/>
      <c r="E365" s="313"/>
      <c r="F365" s="313"/>
      <c r="G365" s="323"/>
      <c r="H365" s="323"/>
      <c r="I365" s="323"/>
      <c r="J365" s="323"/>
      <c r="K365" s="32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row>
    <row r="366" spans="1:33">
      <c r="A366" s="313"/>
      <c r="B366" s="313"/>
      <c r="C366" s="313"/>
      <c r="D366" s="313"/>
      <c r="E366" s="313"/>
      <c r="F366" s="313"/>
      <c r="G366" s="323"/>
      <c r="H366" s="323"/>
      <c r="I366" s="323"/>
      <c r="J366" s="323"/>
      <c r="K366" s="323"/>
      <c r="L366" s="313"/>
      <c r="M366" s="313"/>
      <c r="N366" s="313"/>
      <c r="O366" s="313"/>
      <c r="P366" s="313"/>
      <c r="Q366" s="313"/>
      <c r="R366" s="313"/>
      <c r="S366" s="313"/>
      <c r="T366" s="313"/>
      <c r="U366" s="313"/>
      <c r="V366" s="313"/>
      <c r="W366" s="313"/>
      <c r="X366" s="313"/>
      <c r="Y366" s="313"/>
      <c r="Z366" s="313"/>
      <c r="AA366" s="313"/>
      <c r="AB366" s="313"/>
      <c r="AC366" s="313"/>
      <c r="AD366" s="313"/>
      <c r="AE366" s="313"/>
      <c r="AF366" s="313"/>
      <c r="AG366" s="313"/>
    </row>
    <row r="367" spans="1:33">
      <c r="A367" s="313"/>
      <c r="B367" s="313"/>
      <c r="C367" s="313"/>
      <c r="D367" s="313"/>
      <c r="E367" s="313"/>
      <c r="F367" s="313"/>
      <c r="G367" s="323"/>
      <c r="H367" s="323"/>
      <c r="I367" s="323"/>
      <c r="J367" s="323"/>
      <c r="K367" s="323"/>
      <c r="L367" s="313"/>
      <c r="M367" s="313"/>
      <c r="N367" s="313"/>
      <c r="O367" s="313"/>
      <c r="P367" s="313"/>
      <c r="Q367" s="313"/>
      <c r="R367" s="313"/>
      <c r="S367" s="313"/>
      <c r="T367" s="313"/>
      <c r="U367" s="313"/>
      <c r="V367" s="313"/>
      <c r="W367" s="313"/>
      <c r="X367" s="313"/>
      <c r="Y367" s="313"/>
      <c r="Z367" s="313"/>
      <c r="AA367" s="313"/>
      <c r="AB367" s="313"/>
      <c r="AC367" s="313"/>
      <c r="AD367" s="313"/>
      <c r="AE367" s="313"/>
      <c r="AF367" s="313"/>
      <c r="AG367" s="313"/>
    </row>
    <row r="368" spans="1:33">
      <c r="A368" s="313"/>
      <c r="B368" s="313"/>
      <c r="C368" s="313"/>
      <c r="D368" s="313"/>
      <c r="E368" s="313"/>
      <c r="F368" s="313"/>
      <c r="G368" s="323"/>
      <c r="H368" s="323"/>
      <c r="I368" s="323"/>
      <c r="J368" s="323"/>
      <c r="K368" s="323"/>
      <c r="L368" s="313"/>
      <c r="M368" s="313"/>
      <c r="N368" s="313"/>
      <c r="O368" s="313"/>
      <c r="P368" s="313"/>
      <c r="Q368" s="313"/>
      <c r="R368" s="313"/>
      <c r="S368" s="313"/>
      <c r="T368" s="313"/>
      <c r="U368" s="313"/>
      <c r="V368" s="313"/>
      <c r="W368" s="313"/>
      <c r="X368" s="313"/>
      <c r="Y368" s="313"/>
      <c r="Z368" s="313"/>
      <c r="AA368" s="313"/>
      <c r="AB368" s="313"/>
      <c r="AC368" s="313"/>
      <c r="AD368" s="313"/>
      <c r="AE368" s="313"/>
      <c r="AF368" s="313"/>
      <c r="AG368" s="313"/>
    </row>
    <row r="369" spans="1:33">
      <c r="A369" s="313"/>
      <c r="B369" s="313"/>
      <c r="C369" s="313"/>
      <c r="D369" s="313"/>
      <c r="E369" s="313"/>
      <c r="F369" s="313"/>
      <c r="G369" s="323"/>
      <c r="H369" s="323"/>
      <c r="I369" s="323"/>
      <c r="J369" s="323"/>
      <c r="K369" s="323"/>
      <c r="L369" s="313"/>
      <c r="M369" s="313"/>
      <c r="N369" s="313"/>
      <c r="O369" s="313"/>
      <c r="P369" s="313"/>
      <c r="Q369" s="313"/>
      <c r="R369" s="313"/>
      <c r="S369" s="313"/>
      <c r="T369" s="313"/>
      <c r="U369" s="313"/>
      <c r="V369" s="313"/>
      <c r="W369" s="313"/>
      <c r="X369" s="313"/>
      <c r="Y369" s="313"/>
      <c r="Z369" s="313"/>
      <c r="AA369" s="313"/>
      <c r="AB369" s="313"/>
      <c r="AC369" s="313"/>
      <c r="AD369" s="313"/>
      <c r="AE369" s="313"/>
      <c r="AF369" s="313"/>
      <c r="AG369" s="313"/>
    </row>
    <row r="370" spans="1:33">
      <c r="A370" s="313"/>
      <c r="B370" s="313"/>
      <c r="C370" s="313"/>
      <c r="D370" s="313"/>
      <c r="E370" s="313"/>
      <c r="F370" s="313"/>
      <c r="G370" s="323"/>
      <c r="H370" s="323"/>
      <c r="I370" s="323"/>
      <c r="J370" s="323"/>
      <c r="K370" s="32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row>
    <row r="371" spans="1:33">
      <c r="A371" s="313"/>
      <c r="B371" s="313"/>
      <c r="C371" s="313"/>
      <c r="D371" s="313"/>
      <c r="E371" s="313"/>
      <c r="F371" s="313"/>
      <c r="G371" s="323"/>
      <c r="H371" s="323"/>
      <c r="I371" s="323"/>
      <c r="J371" s="323"/>
      <c r="K371" s="32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row>
    <row r="372" spans="1:33">
      <c r="A372" s="313"/>
      <c r="B372" s="313"/>
      <c r="C372" s="313"/>
      <c r="D372" s="313"/>
      <c r="E372" s="313"/>
      <c r="F372" s="313"/>
      <c r="G372" s="323"/>
      <c r="H372" s="323"/>
      <c r="I372" s="323"/>
      <c r="J372" s="323"/>
      <c r="K372" s="323"/>
      <c r="L372" s="313"/>
      <c r="M372" s="313"/>
      <c r="N372" s="313"/>
      <c r="O372" s="313"/>
      <c r="P372" s="313"/>
      <c r="Q372" s="313"/>
      <c r="R372" s="313"/>
      <c r="S372" s="313"/>
      <c r="T372" s="313"/>
      <c r="U372" s="313"/>
      <c r="V372" s="313"/>
      <c r="W372" s="313"/>
      <c r="X372" s="313"/>
      <c r="Y372" s="313"/>
      <c r="Z372" s="313"/>
      <c r="AA372" s="313"/>
      <c r="AB372" s="313"/>
      <c r="AC372" s="313"/>
      <c r="AD372" s="313"/>
      <c r="AE372" s="313"/>
      <c r="AF372" s="313"/>
      <c r="AG372" s="313"/>
    </row>
    <row r="373" spans="1:33">
      <c r="A373" s="313"/>
      <c r="B373" s="313"/>
      <c r="C373" s="313"/>
      <c r="D373" s="313"/>
      <c r="E373" s="313"/>
      <c r="F373" s="313"/>
      <c r="G373" s="323"/>
      <c r="H373" s="323"/>
      <c r="I373" s="323"/>
      <c r="J373" s="323"/>
      <c r="K373" s="323"/>
      <c r="L373" s="313"/>
      <c r="M373" s="313"/>
      <c r="N373" s="313"/>
      <c r="O373" s="313"/>
      <c r="P373" s="313"/>
      <c r="Q373" s="313"/>
      <c r="R373" s="313"/>
      <c r="S373" s="313"/>
      <c r="T373" s="313"/>
      <c r="U373" s="313"/>
      <c r="V373" s="313"/>
      <c r="W373" s="313"/>
      <c r="X373" s="313"/>
      <c r="Y373" s="313"/>
      <c r="Z373" s="313"/>
      <c r="AA373" s="313"/>
      <c r="AB373" s="313"/>
      <c r="AC373" s="313"/>
      <c r="AD373" s="313"/>
      <c r="AE373" s="313"/>
      <c r="AF373" s="313"/>
      <c r="AG373" s="313"/>
    </row>
    <row r="374" spans="1:33">
      <c r="A374" s="313"/>
      <c r="B374" s="313"/>
      <c r="C374" s="313"/>
      <c r="D374" s="313"/>
      <c r="E374" s="313"/>
      <c r="F374" s="313"/>
      <c r="G374" s="323"/>
      <c r="H374" s="323"/>
      <c r="I374" s="323"/>
      <c r="J374" s="323"/>
      <c r="K374" s="323"/>
      <c r="L374" s="313"/>
      <c r="M374" s="313"/>
      <c r="N374" s="313"/>
      <c r="O374" s="313"/>
      <c r="P374" s="313"/>
      <c r="Q374" s="313"/>
      <c r="R374" s="313"/>
      <c r="S374" s="313"/>
      <c r="T374" s="313"/>
      <c r="U374" s="313"/>
      <c r="V374" s="313"/>
      <c r="W374" s="313"/>
      <c r="X374" s="313"/>
      <c r="Y374" s="313"/>
      <c r="Z374" s="313"/>
      <c r="AA374" s="313"/>
      <c r="AB374" s="313"/>
      <c r="AC374" s="313"/>
      <c r="AD374" s="313"/>
      <c r="AE374" s="313"/>
      <c r="AF374" s="313"/>
      <c r="AG374" s="313"/>
    </row>
    <row r="375" spans="1:33">
      <c r="A375" s="313"/>
      <c r="B375" s="313"/>
      <c r="C375" s="313"/>
      <c r="D375" s="313"/>
      <c r="E375" s="313"/>
      <c r="F375" s="313"/>
      <c r="G375" s="323"/>
      <c r="H375" s="323"/>
      <c r="I375" s="323"/>
      <c r="J375" s="323"/>
      <c r="K375" s="323"/>
      <c r="L375" s="313"/>
      <c r="M375" s="313"/>
      <c r="N375" s="313"/>
      <c r="O375" s="313"/>
      <c r="P375" s="313"/>
      <c r="Q375" s="313"/>
      <c r="R375" s="313"/>
      <c r="S375" s="313"/>
      <c r="T375" s="313"/>
      <c r="U375" s="313"/>
      <c r="V375" s="313"/>
      <c r="W375" s="313"/>
      <c r="X375" s="313"/>
      <c r="Y375" s="313"/>
      <c r="Z375" s="313"/>
      <c r="AA375" s="313"/>
      <c r="AB375" s="313"/>
      <c r="AC375" s="313"/>
      <c r="AD375" s="313"/>
      <c r="AE375" s="313"/>
      <c r="AF375" s="313"/>
      <c r="AG375" s="313"/>
    </row>
    <row r="376" spans="1:33">
      <c r="A376" s="313"/>
      <c r="B376" s="313"/>
      <c r="C376" s="313"/>
      <c r="D376" s="313"/>
      <c r="E376" s="313"/>
      <c r="F376" s="313"/>
      <c r="G376" s="323"/>
      <c r="H376" s="323"/>
      <c r="I376" s="323"/>
      <c r="J376" s="323"/>
      <c r="K376" s="323"/>
      <c r="L376" s="313"/>
      <c r="M376" s="313"/>
      <c r="N376" s="313"/>
      <c r="O376" s="313"/>
      <c r="P376" s="313"/>
      <c r="Q376" s="313"/>
      <c r="R376" s="313"/>
      <c r="S376" s="313"/>
      <c r="T376" s="313"/>
      <c r="U376" s="313"/>
      <c r="V376" s="313"/>
      <c r="W376" s="313"/>
      <c r="X376" s="313"/>
      <c r="Y376" s="313"/>
      <c r="Z376" s="313"/>
      <c r="AA376" s="313"/>
      <c r="AB376" s="313"/>
      <c r="AC376" s="313"/>
      <c r="AD376" s="313"/>
      <c r="AE376" s="313"/>
      <c r="AF376" s="313"/>
      <c r="AG376" s="313"/>
    </row>
    <row r="377" spans="1:33">
      <c r="A377" s="313"/>
      <c r="B377" s="313"/>
      <c r="C377" s="313"/>
      <c r="D377" s="313"/>
      <c r="E377" s="313"/>
      <c r="F377" s="313"/>
      <c r="G377" s="323"/>
      <c r="H377" s="323"/>
      <c r="I377" s="323"/>
      <c r="J377" s="323"/>
      <c r="K377" s="323"/>
      <c r="L377" s="313"/>
      <c r="M377" s="313"/>
      <c r="N377" s="313"/>
      <c r="O377" s="313"/>
      <c r="P377" s="313"/>
      <c r="Q377" s="313"/>
      <c r="R377" s="313"/>
      <c r="S377" s="313"/>
      <c r="T377" s="313"/>
      <c r="U377" s="313"/>
      <c r="V377" s="313"/>
      <c r="W377" s="313"/>
      <c r="X377" s="313"/>
      <c r="Y377" s="313"/>
      <c r="Z377" s="313"/>
      <c r="AA377" s="313"/>
      <c r="AB377" s="313"/>
      <c r="AC377" s="313"/>
      <c r="AD377" s="313"/>
      <c r="AE377" s="313"/>
      <c r="AF377" s="313"/>
      <c r="AG377" s="313"/>
    </row>
    <row r="378" spans="1:33">
      <c r="A378" s="313"/>
      <c r="B378" s="313"/>
      <c r="C378" s="313"/>
      <c r="D378" s="313"/>
      <c r="E378" s="313"/>
      <c r="F378" s="313"/>
      <c r="G378" s="323"/>
      <c r="H378" s="323"/>
      <c r="I378" s="323"/>
      <c r="J378" s="323"/>
      <c r="K378" s="323"/>
      <c r="L378" s="313"/>
      <c r="M378" s="313"/>
      <c r="N378" s="313"/>
      <c r="O378" s="313"/>
      <c r="P378" s="313"/>
      <c r="Q378" s="313"/>
      <c r="R378" s="313"/>
      <c r="S378" s="313"/>
      <c r="T378" s="313"/>
      <c r="U378" s="313"/>
      <c r="V378" s="313"/>
      <c r="W378" s="313"/>
      <c r="X378" s="313"/>
      <c r="Y378" s="313"/>
      <c r="Z378" s="313"/>
      <c r="AA378" s="313"/>
      <c r="AB378" s="313"/>
      <c r="AC378" s="313"/>
      <c r="AD378" s="313"/>
      <c r="AE378" s="313"/>
      <c r="AF378" s="313"/>
      <c r="AG378" s="313"/>
    </row>
    <row r="379" spans="1:33">
      <c r="A379" s="313"/>
      <c r="B379" s="313"/>
      <c r="C379" s="313"/>
      <c r="D379" s="313"/>
      <c r="E379" s="313"/>
      <c r="F379" s="313"/>
      <c r="G379" s="323"/>
      <c r="H379" s="323"/>
      <c r="I379" s="323"/>
      <c r="J379" s="323"/>
      <c r="K379" s="323"/>
      <c r="L379" s="313"/>
      <c r="M379" s="313"/>
      <c r="N379" s="313"/>
      <c r="O379" s="313"/>
      <c r="P379" s="313"/>
      <c r="Q379" s="313"/>
      <c r="R379" s="313"/>
      <c r="S379" s="313"/>
      <c r="T379" s="313"/>
      <c r="U379" s="313"/>
      <c r="V379" s="313"/>
      <c r="W379" s="313"/>
      <c r="X379" s="313"/>
      <c r="Y379" s="313"/>
      <c r="Z379" s="313"/>
      <c r="AA379" s="313"/>
      <c r="AB379" s="313"/>
      <c r="AC379" s="313"/>
      <c r="AD379" s="313"/>
      <c r="AE379" s="313"/>
      <c r="AF379" s="313"/>
      <c r="AG379" s="313"/>
    </row>
    <row r="380" spans="1:33">
      <c r="A380" s="313"/>
      <c r="B380" s="313"/>
      <c r="C380" s="313"/>
      <c r="D380" s="313"/>
      <c r="E380" s="313"/>
      <c r="F380" s="313"/>
      <c r="G380" s="323"/>
      <c r="H380" s="323"/>
      <c r="I380" s="323"/>
      <c r="J380" s="323"/>
      <c r="K380" s="323"/>
      <c r="L380" s="313"/>
      <c r="M380" s="313"/>
      <c r="N380" s="313"/>
      <c r="O380" s="313"/>
      <c r="P380" s="313"/>
      <c r="Q380" s="313"/>
      <c r="R380" s="313"/>
      <c r="S380" s="313"/>
      <c r="T380" s="313"/>
      <c r="U380" s="313"/>
      <c r="V380" s="313"/>
      <c r="W380" s="313"/>
      <c r="X380" s="313"/>
      <c r="Y380" s="313"/>
      <c r="Z380" s="313"/>
      <c r="AA380" s="313"/>
      <c r="AB380" s="313"/>
      <c r="AC380" s="313"/>
      <c r="AD380" s="313"/>
      <c r="AE380" s="313"/>
      <c r="AF380" s="313"/>
      <c r="AG380" s="313"/>
    </row>
    <row r="381" spans="1:33">
      <c r="A381" s="313"/>
      <c r="B381" s="313"/>
      <c r="C381" s="313"/>
      <c r="D381" s="313"/>
      <c r="E381" s="313"/>
      <c r="F381" s="313"/>
      <c r="G381" s="323"/>
      <c r="H381" s="323"/>
      <c r="I381" s="323"/>
      <c r="J381" s="323"/>
      <c r="K381" s="323"/>
      <c r="L381" s="313"/>
      <c r="M381" s="313"/>
      <c r="N381" s="313"/>
      <c r="O381" s="313"/>
      <c r="P381" s="313"/>
      <c r="Q381" s="313"/>
      <c r="R381" s="313"/>
      <c r="S381" s="313"/>
      <c r="T381" s="313"/>
      <c r="U381" s="313"/>
      <c r="V381" s="313"/>
      <c r="W381" s="313"/>
      <c r="X381" s="313"/>
      <c r="Y381" s="313"/>
      <c r="Z381" s="313"/>
      <c r="AA381" s="313"/>
      <c r="AB381" s="313"/>
      <c r="AC381" s="313"/>
      <c r="AD381" s="313"/>
      <c r="AE381" s="313"/>
      <c r="AF381" s="313"/>
      <c r="AG381" s="313"/>
    </row>
    <row r="382" spans="1:33">
      <c r="A382" s="313"/>
      <c r="B382" s="313"/>
      <c r="C382" s="313"/>
      <c r="D382" s="313"/>
      <c r="E382" s="313"/>
      <c r="F382" s="313"/>
      <c r="G382" s="323"/>
      <c r="H382" s="323"/>
      <c r="I382" s="323"/>
      <c r="J382" s="323"/>
      <c r="K382" s="323"/>
      <c r="L382" s="313"/>
      <c r="M382" s="313"/>
      <c r="N382" s="313"/>
      <c r="O382" s="313"/>
      <c r="P382" s="313"/>
      <c r="Q382" s="313"/>
      <c r="R382" s="313"/>
      <c r="S382" s="313"/>
      <c r="T382" s="313"/>
      <c r="U382" s="313"/>
      <c r="V382" s="313"/>
      <c r="W382" s="313"/>
      <c r="X382" s="313"/>
      <c r="Y382" s="313"/>
      <c r="Z382" s="313"/>
      <c r="AA382" s="313"/>
      <c r="AB382" s="313"/>
      <c r="AC382" s="313"/>
      <c r="AD382" s="313"/>
      <c r="AE382" s="313"/>
      <c r="AF382" s="313"/>
      <c r="AG382" s="313"/>
    </row>
    <row r="383" spans="1:33">
      <c r="A383" s="313"/>
      <c r="B383" s="313"/>
      <c r="C383" s="313"/>
      <c r="D383" s="313"/>
      <c r="E383" s="313"/>
      <c r="F383" s="313"/>
      <c r="G383" s="323"/>
      <c r="H383" s="323"/>
      <c r="I383" s="323"/>
      <c r="J383" s="323"/>
      <c r="K383" s="323"/>
      <c r="L383" s="313"/>
      <c r="M383" s="313"/>
      <c r="N383" s="313"/>
      <c r="O383" s="313"/>
      <c r="P383" s="313"/>
      <c r="Q383" s="313"/>
      <c r="R383" s="313"/>
      <c r="S383" s="313"/>
      <c r="T383" s="313"/>
      <c r="U383" s="313"/>
      <c r="V383" s="313"/>
      <c r="W383" s="313"/>
      <c r="X383" s="313"/>
      <c r="Y383" s="313"/>
      <c r="Z383" s="313"/>
      <c r="AA383" s="313"/>
      <c r="AB383" s="313"/>
      <c r="AC383" s="313"/>
      <c r="AD383" s="313"/>
      <c r="AE383" s="313"/>
      <c r="AF383" s="313"/>
      <c r="AG383" s="313"/>
    </row>
    <row r="384" spans="1:33">
      <c r="A384" s="313"/>
      <c r="B384" s="313"/>
      <c r="C384" s="313"/>
      <c r="D384" s="313"/>
      <c r="E384" s="313"/>
      <c r="F384" s="313"/>
      <c r="G384" s="323"/>
      <c r="H384" s="323"/>
      <c r="I384" s="323"/>
      <c r="J384" s="323"/>
      <c r="K384" s="323"/>
      <c r="L384" s="313"/>
      <c r="M384" s="313"/>
      <c r="N384" s="313"/>
      <c r="O384" s="313"/>
      <c r="P384" s="313"/>
      <c r="Q384" s="313"/>
      <c r="R384" s="313"/>
      <c r="S384" s="313"/>
      <c r="T384" s="313"/>
      <c r="U384" s="313"/>
      <c r="V384" s="313"/>
      <c r="W384" s="313"/>
      <c r="X384" s="313"/>
      <c r="Y384" s="313"/>
      <c r="Z384" s="313"/>
      <c r="AA384" s="313"/>
      <c r="AB384" s="313"/>
      <c r="AC384" s="313"/>
      <c r="AD384" s="313"/>
      <c r="AE384" s="313"/>
      <c r="AF384" s="313"/>
      <c r="AG384" s="313"/>
    </row>
    <row r="385" spans="1:33">
      <c r="A385" s="313"/>
      <c r="B385" s="313"/>
      <c r="C385" s="313"/>
      <c r="D385" s="313"/>
      <c r="E385" s="313"/>
      <c r="F385" s="313"/>
      <c r="G385" s="323"/>
      <c r="H385" s="323"/>
      <c r="I385" s="323"/>
      <c r="J385" s="323"/>
      <c r="K385" s="323"/>
      <c r="L385" s="313"/>
      <c r="M385" s="313"/>
      <c r="N385" s="313"/>
      <c r="O385" s="313"/>
      <c r="P385" s="313"/>
      <c r="Q385" s="313"/>
      <c r="R385" s="313"/>
      <c r="S385" s="313"/>
      <c r="T385" s="313"/>
      <c r="U385" s="313"/>
      <c r="V385" s="313"/>
      <c r="W385" s="313"/>
      <c r="X385" s="313"/>
      <c r="Y385" s="313"/>
      <c r="Z385" s="313"/>
      <c r="AA385" s="313"/>
      <c r="AB385" s="313"/>
      <c r="AC385" s="313"/>
      <c r="AD385" s="313"/>
      <c r="AE385" s="313"/>
      <c r="AF385" s="313"/>
      <c r="AG385" s="313"/>
    </row>
    <row r="386" spans="1:33">
      <c r="A386" s="313"/>
      <c r="B386" s="313"/>
      <c r="C386" s="313"/>
      <c r="D386" s="313"/>
      <c r="E386" s="313"/>
      <c r="F386" s="313"/>
      <c r="G386" s="323"/>
      <c r="H386" s="323"/>
      <c r="I386" s="323"/>
      <c r="J386" s="323"/>
      <c r="K386" s="323"/>
      <c r="L386" s="313"/>
      <c r="M386" s="313"/>
      <c r="N386" s="313"/>
      <c r="O386" s="313"/>
      <c r="P386" s="313"/>
      <c r="Q386" s="313"/>
      <c r="R386" s="313"/>
      <c r="S386" s="313"/>
      <c r="T386" s="313"/>
      <c r="U386" s="313"/>
      <c r="V386" s="313"/>
      <c r="W386" s="313"/>
      <c r="X386" s="313"/>
      <c r="Y386" s="313"/>
      <c r="Z386" s="313"/>
      <c r="AA386" s="313"/>
      <c r="AB386" s="313"/>
      <c r="AC386" s="313"/>
      <c r="AD386" s="313"/>
      <c r="AE386" s="313"/>
      <c r="AF386" s="313"/>
      <c r="AG386" s="313"/>
    </row>
    <row r="387" spans="1:33">
      <c r="A387" s="313"/>
      <c r="B387" s="313"/>
      <c r="C387" s="313"/>
      <c r="D387" s="313"/>
      <c r="E387" s="313"/>
      <c r="F387" s="313"/>
      <c r="G387" s="323"/>
      <c r="H387" s="323"/>
      <c r="I387" s="323"/>
      <c r="J387" s="323"/>
      <c r="K387" s="323"/>
      <c r="L387" s="313"/>
      <c r="M387" s="313"/>
      <c r="N387" s="313"/>
      <c r="O387" s="313"/>
      <c r="P387" s="313"/>
      <c r="Q387" s="313"/>
      <c r="R387" s="313"/>
      <c r="S387" s="313"/>
      <c r="T387" s="313"/>
      <c r="U387" s="313"/>
      <c r="V387" s="313"/>
      <c r="W387" s="313"/>
      <c r="X387" s="313"/>
      <c r="Y387" s="313"/>
      <c r="Z387" s="313"/>
      <c r="AA387" s="313"/>
      <c r="AB387" s="313"/>
      <c r="AC387" s="313"/>
      <c r="AD387" s="313"/>
      <c r="AE387" s="313"/>
      <c r="AF387" s="313"/>
      <c r="AG387" s="313"/>
    </row>
    <row r="388" spans="1:33">
      <c r="A388" s="313"/>
      <c r="B388" s="313"/>
      <c r="C388" s="313"/>
      <c r="D388" s="313"/>
      <c r="E388" s="313"/>
      <c r="F388" s="313"/>
      <c r="G388" s="323"/>
      <c r="H388" s="323"/>
      <c r="I388" s="323"/>
      <c r="J388" s="323"/>
      <c r="K388" s="323"/>
      <c r="L388" s="313"/>
      <c r="M388" s="313"/>
      <c r="N388" s="313"/>
      <c r="O388" s="313"/>
      <c r="P388" s="313"/>
      <c r="Q388" s="313"/>
      <c r="R388" s="313"/>
      <c r="S388" s="313"/>
      <c r="T388" s="313"/>
      <c r="U388" s="313"/>
      <c r="V388" s="313"/>
      <c r="W388" s="313"/>
      <c r="X388" s="313"/>
      <c r="Y388" s="313"/>
      <c r="Z388" s="313"/>
      <c r="AA388" s="313"/>
      <c r="AB388" s="313"/>
      <c r="AC388" s="313"/>
      <c r="AD388" s="313"/>
      <c r="AE388" s="313"/>
      <c r="AF388" s="313"/>
      <c r="AG388" s="313"/>
    </row>
    <row r="389" spans="1:33">
      <c r="A389" s="313"/>
      <c r="B389" s="313"/>
      <c r="C389" s="313"/>
      <c r="D389" s="313"/>
      <c r="E389" s="313"/>
      <c r="F389" s="313"/>
      <c r="G389" s="323"/>
      <c r="H389" s="323"/>
      <c r="I389" s="323"/>
      <c r="J389" s="323"/>
      <c r="K389" s="323"/>
      <c r="L389" s="313"/>
      <c r="M389" s="313"/>
      <c r="N389" s="313"/>
      <c r="O389" s="313"/>
      <c r="P389" s="313"/>
      <c r="Q389" s="313"/>
      <c r="R389" s="313"/>
      <c r="S389" s="313"/>
      <c r="T389" s="313"/>
      <c r="U389" s="313"/>
      <c r="V389" s="313"/>
      <c r="W389" s="313"/>
      <c r="X389" s="313"/>
      <c r="Y389" s="313"/>
      <c r="Z389" s="313"/>
      <c r="AA389" s="313"/>
      <c r="AB389" s="313"/>
      <c r="AC389" s="313"/>
      <c r="AD389" s="313"/>
      <c r="AE389" s="313"/>
      <c r="AF389" s="313"/>
      <c r="AG389" s="313"/>
    </row>
    <row r="390" spans="1:33">
      <c r="A390" s="313"/>
      <c r="B390" s="313"/>
      <c r="C390" s="313"/>
      <c r="D390" s="313"/>
      <c r="E390" s="313"/>
      <c r="F390" s="313"/>
      <c r="G390" s="323"/>
      <c r="H390" s="323"/>
      <c r="I390" s="323"/>
      <c r="J390" s="323"/>
      <c r="K390" s="323"/>
      <c r="L390" s="313"/>
      <c r="M390" s="313"/>
      <c r="N390" s="313"/>
      <c r="O390" s="313"/>
      <c r="P390" s="313"/>
      <c r="Q390" s="313"/>
      <c r="R390" s="313"/>
      <c r="S390" s="313"/>
      <c r="T390" s="313"/>
      <c r="U390" s="313"/>
      <c r="V390" s="313"/>
      <c r="W390" s="313"/>
      <c r="X390" s="313"/>
      <c r="Y390" s="313"/>
      <c r="Z390" s="313"/>
      <c r="AA390" s="313"/>
      <c r="AB390" s="313"/>
      <c r="AC390" s="313"/>
      <c r="AD390" s="313"/>
      <c r="AE390" s="313"/>
      <c r="AF390" s="313"/>
      <c r="AG390" s="313"/>
    </row>
    <row r="391" spans="1:33">
      <c r="A391" s="313"/>
      <c r="B391" s="313"/>
      <c r="C391" s="313"/>
      <c r="D391" s="313"/>
      <c r="E391" s="313"/>
      <c r="F391" s="313"/>
      <c r="G391" s="323"/>
      <c r="H391" s="323"/>
      <c r="I391" s="323"/>
      <c r="J391" s="323"/>
      <c r="K391" s="323"/>
      <c r="L391" s="313"/>
      <c r="M391" s="313"/>
      <c r="N391" s="313"/>
      <c r="O391" s="313"/>
      <c r="P391" s="313"/>
      <c r="Q391" s="313"/>
      <c r="R391" s="313"/>
      <c r="S391" s="313"/>
      <c r="T391" s="313"/>
      <c r="U391" s="313"/>
      <c r="V391" s="313"/>
      <c r="W391" s="313"/>
      <c r="X391" s="313"/>
      <c r="Y391" s="313"/>
      <c r="Z391" s="313"/>
      <c r="AA391" s="313"/>
      <c r="AB391" s="313"/>
      <c r="AC391" s="313"/>
      <c r="AD391" s="313"/>
      <c r="AE391" s="313"/>
      <c r="AF391" s="313"/>
      <c r="AG391" s="313"/>
    </row>
    <row r="392" spans="1:33">
      <c r="A392" s="313"/>
      <c r="B392" s="313"/>
      <c r="C392" s="313"/>
      <c r="D392" s="313"/>
      <c r="E392" s="313"/>
      <c r="F392" s="313"/>
      <c r="G392" s="323"/>
      <c r="H392" s="323"/>
      <c r="I392" s="323"/>
      <c r="J392" s="323"/>
      <c r="K392" s="323"/>
      <c r="L392" s="313"/>
      <c r="M392" s="313"/>
      <c r="N392" s="313"/>
      <c r="O392" s="313"/>
      <c r="P392" s="313"/>
      <c r="Q392" s="313"/>
      <c r="R392" s="313"/>
      <c r="S392" s="313"/>
      <c r="T392" s="313"/>
      <c r="U392" s="313"/>
      <c r="V392" s="313"/>
      <c r="W392" s="313"/>
      <c r="X392" s="313"/>
      <c r="Y392" s="313"/>
      <c r="Z392" s="313"/>
      <c r="AA392" s="313"/>
      <c r="AB392" s="313"/>
      <c r="AC392" s="313"/>
      <c r="AD392" s="313"/>
      <c r="AE392" s="313"/>
      <c r="AF392" s="313"/>
      <c r="AG392" s="313"/>
    </row>
    <row r="393" spans="1:33">
      <c r="A393" s="313"/>
      <c r="B393" s="313"/>
      <c r="C393" s="313"/>
      <c r="D393" s="313"/>
      <c r="E393" s="313"/>
      <c r="F393" s="313"/>
      <c r="G393" s="323"/>
      <c r="H393" s="323"/>
      <c r="I393" s="323"/>
      <c r="J393" s="323"/>
      <c r="K393" s="323"/>
      <c r="L393" s="313"/>
      <c r="M393" s="313"/>
      <c r="N393" s="313"/>
      <c r="O393" s="313"/>
      <c r="P393" s="313"/>
      <c r="Q393" s="313"/>
      <c r="R393" s="313"/>
      <c r="S393" s="313"/>
      <c r="T393" s="313"/>
      <c r="U393" s="313"/>
      <c r="V393" s="313"/>
      <c r="W393" s="313"/>
      <c r="X393" s="313"/>
      <c r="Y393" s="313"/>
      <c r="Z393" s="313"/>
      <c r="AA393" s="313"/>
      <c r="AB393" s="313"/>
      <c r="AC393" s="313"/>
      <c r="AD393" s="313"/>
      <c r="AE393" s="313"/>
      <c r="AF393" s="313"/>
      <c r="AG393" s="313"/>
    </row>
    <row r="394" spans="1:33">
      <c r="A394" s="313"/>
      <c r="B394" s="313"/>
      <c r="C394" s="313"/>
      <c r="D394" s="313"/>
      <c r="E394" s="313"/>
      <c r="F394" s="313"/>
      <c r="G394" s="323"/>
      <c r="H394" s="323"/>
      <c r="I394" s="323"/>
      <c r="J394" s="323"/>
      <c r="K394" s="323"/>
      <c r="L394" s="313"/>
      <c r="M394" s="313"/>
      <c r="N394" s="313"/>
      <c r="O394" s="313"/>
      <c r="P394" s="313"/>
      <c r="Q394" s="313"/>
      <c r="R394" s="313"/>
      <c r="S394" s="313"/>
      <c r="T394" s="313"/>
      <c r="U394" s="313"/>
      <c r="V394" s="313"/>
      <c r="W394" s="313"/>
      <c r="X394" s="313"/>
      <c r="Y394" s="313"/>
      <c r="Z394" s="313"/>
      <c r="AA394" s="313"/>
      <c r="AB394" s="313"/>
      <c r="AC394" s="313"/>
      <c r="AD394" s="313"/>
      <c r="AE394" s="313"/>
      <c r="AF394" s="313"/>
      <c r="AG394" s="313"/>
    </row>
    <row r="395" spans="1:33">
      <c r="A395" s="313"/>
      <c r="B395" s="313"/>
      <c r="C395" s="313"/>
      <c r="D395" s="313"/>
      <c r="E395" s="313"/>
      <c r="F395" s="313"/>
      <c r="G395" s="323"/>
      <c r="H395" s="323"/>
      <c r="I395" s="323"/>
      <c r="J395" s="323"/>
      <c r="K395" s="323"/>
      <c r="L395" s="313"/>
      <c r="M395" s="313"/>
      <c r="N395" s="313"/>
      <c r="O395" s="313"/>
      <c r="P395" s="313"/>
      <c r="Q395" s="313"/>
      <c r="R395" s="313"/>
      <c r="S395" s="313"/>
      <c r="T395" s="313"/>
      <c r="U395" s="313"/>
      <c r="V395" s="313"/>
      <c r="W395" s="313"/>
      <c r="X395" s="313"/>
      <c r="Y395" s="313"/>
      <c r="Z395" s="313"/>
      <c r="AA395" s="313"/>
      <c r="AB395" s="313"/>
      <c r="AC395" s="313"/>
      <c r="AD395" s="313"/>
      <c r="AE395" s="313"/>
      <c r="AF395" s="313"/>
      <c r="AG395" s="313"/>
    </row>
    <row r="396" spans="1:33">
      <c r="A396" s="313"/>
      <c r="B396" s="313"/>
      <c r="C396" s="313"/>
      <c r="D396" s="313"/>
      <c r="E396" s="313"/>
      <c r="F396" s="313"/>
      <c r="G396" s="323"/>
      <c r="H396" s="323"/>
      <c r="I396" s="323"/>
      <c r="J396" s="323"/>
      <c r="K396" s="323"/>
      <c r="L396" s="313"/>
      <c r="M396" s="313"/>
      <c r="N396" s="313"/>
      <c r="O396" s="313"/>
      <c r="P396" s="313"/>
      <c r="Q396" s="313"/>
      <c r="R396" s="313"/>
      <c r="S396" s="313"/>
      <c r="T396" s="313"/>
      <c r="U396" s="313"/>
      <c r="V396" s="313"/>
      <c r="W396" s="313"/>
      <c r="X396" s="313"/>
      <c r="Y396" s="313"/>
      <c r="Z396" s="313"/>
      <c r="AA396" s="313"/>
      <c r="AB396" s="313"/>
      <c r="AC396" s="313"/>
      <c r="AD396" s="313"/>
      <c r="AE396" s="313"/>
      <c r="AF396" s="313"/>
      <c r="AG396" s="313"/>
    </row>
    <row r="397" spans="1:33">
      <c r="A397" s="313"/>
      <c r="B397" s="313"/>
      <c r="C397" s="313"/>
      <c r="D397" s="313"/>
      <c r="E397" s="313"/>
      <c r="F397" s="313"/>
      <c r="G397" s="323"/>
      <c r="H397" s="323"/>
      <c r="I397" s="323"/>
      <c r="J397" s="323"/>
      <c r="K397" s="323"/>
      <c r="L397" s="313"/>
      <c r="M397" s="313"/>
      <c r="N397" s="313"/>
      <c r="O397" s="313"/>
      <c r="P397" s="313"/>
      <c r="Q397" s="313"/>
      <c r="R397" s="313"/>
      <c r="S397" s="313"/>
      <c r="T397" s="313"/>
      <c r="U397" s="313"/>
      <c r="V397" s="313"/>
      <c r="W397" s="313"/>
      <c r="X397" s="313"/>
      <c r="Y397" s="313"/>
      <c r="Z397" s="313"/>
      <c r="AA397" s="313"/>
      <c r="AB397" s="313"/>
      <c r="AC397" s="313"/>
      <c r="AD397" s="313"/>
      <c r="AE397" s="313"/>
      <c r="AF397" s="313"/>
      <c r="AG397" s="313"/>
    </row>
    <row r="398" spans="1:33">
      <c r="A398" s="313"/>
      <c r="B398" s="313"/>
      <c r="C398" s="313"/>
      <c r="D398" s="313"/>
      <c r="E398" s="313"/>
      <c r="F398" s="313"/>
      <c r="G398" s="323"/>
      <c r="H398" s="323"/>
      <c r="I398" s="323"/>
      <c r="J398" s="323"/>
      <c r="K398" s="323"/>
      <c r="L398" s="313"/>
      <c r="M398" s="313"/>
      <c r="N398" s="313"/>
      <c r="O398" s="313"/>
      <c r="P398" s="313"/>
      <c r="Q398" s="313"/>
      <c r="R398" s="313"/>
      <c r="S398" s="313"/>
      <c r="T398" s="313"/>
      <c r="U398" s="313"/>
      <c r="V398" s="313"/>
      <c r="W398" s="313"/>
      <c r="X398" s="313"/>
      <c r="Y398" s="313"/>
      <c r="Z398" s="313"/>
      <c r="AA398" s="313"/>
      <c r="AB398" s="313"/>
      <c r="AC398" s="313"/>
      <c r="AD398" s="313"/>
      <c r="AE398" s="313"/>
      <c r="AF398" s="313"/>
      <c r="AG398" s="313"/>
    </row>
    <row r="399" spans="1:33">
      <c r="A399" s="313"/>
      <c r="B399" s="313"/>
      <c r="C399" s="313"/>
      <c r="D399" s="313"/>
      <c r="E399" s="313"/>
      <c r="F399" s="313"/>
      <c r="G399" s="323"/>
      <c r="H399" s="323"/>
      <c r="I399" s="323"/>
      <c r="J399" s="323"/>
      <c r="K399" s="323"/>
      <c r="L399" s="313"/>
      <c r="M399" s="313"/>
      <c r="N399" s="313"/>
      <c r="O399" s="313"/>
      <c r="P399" s="313"/>
      <c r="Q399" s="313"/>
      <c r="R399" s="313"/>
      <c r="S399" s="313"/>
      <c r="T399" s="313"/>
      <c r="U399" s="313"/>
      <c r="V399" s="313"/>
      <c r="W399" s="313"/>
      <c r="X399" s="313"/>
      <c r="Y399" s="313"/>
      <c r="Z399" s="313"/>
      <c r="AA399" s="313"/>
      <c r="AB399" s="313"/>
      <c r="AC399" s="313"/>
      <c r="AD399" s="313"/>
      <c r="AE399" s="313"/>
      <c r="AF399" s="313"/>
      <c r="AG399" s="313"/>
    </row>
    <row r="400" spans="1:33">
      <c r="A400" s="313"/>
      <c r="B400" s="313"/>
      <c r="C400" s="313"/>
      <c r="D400" s="313"/>
      <c r="E400" s="313"/>
      <c r="F400" s="313"/>
      <c r="G400" s="323"/>
      <c r="H400" s="323"/>
      <c r="I400" s="323"/>
      <c r="J400" s="323"/>
      <c r="K400" s="323"/>
      <c r="L400" s="313"/>
      <c r="M400" s="313"/>
      <c r="N400" s="313"/>
      <c r="O400" s="313"/>
      <c r="P400" s="313"/>
      <c r="Q400" s="313"/>
      <c r="R400" s="313"/>
      <c r="S400" s="313"/>
      <c r="T400" s="313"/>
      <c r="U400" s="313"/>
      <c r="V400" s="313"/>
      <c r="W400" s="313"/>
      <c r="X400" s="313"/>
      <c r="Y400" s="313"/>
      <c r="Z400" s="313"/>
      <c r="AA400" s="313"/>
      <c r="AB400" s="313"/>
      <c r="AC400" s="313"/>
      <c r="AD400" s="313"/>
      <c r="AE400" s="313"/>
      <c r="AF400" s="313"/>
      <c r="AG400" s="313"/>
    </row>
    <row r="401" spans="1:33">
      <c r="A401" s="313"/>
      <c r="B401" s="313"/>
      <c r="C401" s="313"/>
      <c r="D401" s="313"/>
      <c r="E401" s="313"/>
      <c r="F401" s="313"/>
      <c r="G401" s="323"/>
      <c r="H401" s="323"/>
      <c r="I401" s="323"/>
      <c r="J401" s="323"/>
      <c r="K401" s="323"/>
      <c r="L401" s="313"/>
      <c r="M401" s="313"/>
      <c r="N401" s="313"/>
      <c r="O401" s="313"/>
      <c r="P401" s="313"/>
      <c r="Q401" s="313"/>
      <c r="R401" s="313"/>
      <c r="S401" s="313"/>
      <c r="T401" s="313"/>
      <c r="U401" s="313"/>
      <c r="V401" s="313"/>
      <c r="W401" s="313"/>
      <c r="X401" s="313"/>
      <c r="Y401" s="313"/>
      <c r="Z401" s="313"/>
      <c r="AA401" s="313"/>
      <c r="AB401" s="313"/>
      <c r="AC401" s="313"/>
      <c r="AD401" s="313"/>
      <c r="AE401" s="313"/>
      <c r="AF401" s="313"/>
      <c r="AG401" s="313"/>
    </row>
    <row r="402" spans="1:33">
      <c r="A402" s="313"/>
      <c r="B402" s="313"/>
      <c r="C402" s="313"/>
      <c r="D402" s="313"/>
      <c r="E402" s="313"/>
      <c r="F402" s="313"/>
      <c r="G402" s="323"/>
      <c r="H402" s="323"/>
      <c r="I402" s="323"/>
      <c r="J402" s="323"/>
      <c r="K402" s="323"/>
      <c r="L402" s="313"/>
      <c r="M402" s="313"/>
      <c r="N402" s="313"/>
      <c r="O402" s="313"/>
      <c r="P402" s="313"/>
      <c r="Q402" s="313"/>
      <c r="R402" s="313"/>
      <c r="S402" s="313"/>
      <c r="T402" s="313"/>
      <c r="U402" s="313"/>
      <c r="V402" s="313"/>
      <c r="W402" s="313"/>
      <c r="X402" s="313"/>
      <c r="Y402" s="313"/>
      <c r="Z402" s="313"/>
      <c r="AA402" s="313"/>
      <c r="AB402" s="313"/>
      <c r="AC402" s="313"/>
      <c r="AD402" s="313"/>
      <c r="AE402" s="313"/>
      <c r="AF402" s="313"/>
      <c r="AG402" s="313"/>
    </row>
    <row r="403" spans="1:33">
      <c r="A403" s="313"/>
      <c r="B403" s="313"/>
      <c r="C403" s="313"/>
      <c r="D403" s="313"/>
      <c r="E403" s="313"/>
      <c r="F403" s="313"/>
      <c r="G403" s="323"/>
      <c r="H403" s="323"/>
      <c r="I403" s="323"/>
      <c r="J403" s="323"/>
      <c r="K403" s="323"/>
      <c r="L403" s="313"/>
      <c r="M403" s="313"/>
      <c r="N403" s="313"/>
      <c r="O403" s="313"/>
      <c r="P403" s="313"/>
      <c r="Q403" s="313"/>
      <c r="R403" s="313"/>
      <c r="S403" s="313"/>
      <c r="T403" s="313"/>
      <c r="U403" s="313"/>
      <c r="V403" s="313"/>
      <c r="W403" s="313"/>
      <c r="X403" s="313"/>
      <c r="Y403" s="313"/>
      <c r="Z403" s="313"/>
      <c r="AA403" s="313"/>
      <c r="AB403" s="313"/>
      <c r="AC403" s="313"/>
      <c r="AD403" s="313"/>
      <c r="AE403" s="313"/>
      <c r="AF403" s="313"/>
      <c r="AG403" s="313"/>
    </row>
    <row r="404" spans="1:33">
      <c r="A404" s="313"/>
      <c r="B404" s="313"/>
      <c r="C404" s="313"/>
      <c r="D404" s="313"/>
      <c r="E404" s="313"/>
      <c r="F404" s="313"/>
      <c r="G404" s="323"/>
      <c r="H404" s="323"/>
      <c r="I404" s="323"/>
      <c r="J404" s="323"/>
      <c r="K404" s="323"/>
      <c r="L404" s="313"/>
      <c r="M404" s="313"/>
      <c r="N404" s="313"/>
      <c r="O404" s="313"/>
      <c r="P404" s="313"/>
      <c r="Q404" s="313"/>
      <c r="R404" s="313"/>
      <c r="S404" s="313"/>
      <c r="T404" s="313"/>
      <c r="U404" s="313"/>
      <c r="V404" s="313"/>
      <c r="W404" s="313"/>
      <c r="X404" s="313"/>
      <c r="Y404" s="313"/>
      <c r="Z404" s="313"/>
      <c r="AA404" s="313"/>
      <c r="AB404" s="313"/>
      <c r="AC404" s="313"/>
      <c r="AD404" s="313"/>
      <c r="AE404" s="313"/>
      <c r="AF404" s="313"/>
      <c r="AG404" s="313"/>
    </row>
    <row r="405" spans="1:33">
      <c r="A405" s="313"/>
      <c r="B405" s="313"/>
      <c r="C405" s="313"/>
      <c r="D405" s="313"/>
      <c r="E405" s="313"/>
      <c r="F405" s="313"/>
      <c r="G405" s="323"/>
      <c r="H405" s="323"/>
      <c r="I405" s="323"/>
      <c r="J405" s="323"/>
      <c r="K405" s="323"/>
      <c r="L405" s="313"/>
      <c r="M405" s="313"/>
      <c r="N405" s="313"/>
      <c r="O405" s="313"/>
      <c r="P405" s="313"/>
      <c r="Q405" s="313"/>
      <c r="R405" s="313"/>
      <c r="S405" s="313"/>
      <c r="T405" s="313"/>
      <c r="U405" s="313"/>
      <c r="V405" s="313"/>
      <c r="W405" s="313"/>
      <c r="X405" s="313"/>
      <c r="Y405" s="313"/>
      <c r="Z405" s="313"/>
      <c r="AA405" s="313"/>
      <c r="AB405" s="313"/>
      <c r="AC405" s="313"/>
      <c r="AD405" s="313"/>
      <c r="AE405" s="313"/>
      <c r="AF405" s="313"/>
      <c r="AG405" s="313"/>
    </row>
    <row r="406" spans="1:33">
      <c r="A406" s="313"/>
      <c r="B406" s="313"/>
      <c r="C406" s="313"/>
      <c r="D406" s="313"/>
      <c r="E406" s="313"/>
      <c r="F406" s="313"/>
      <c r="G406" s="323"/>
      <c r="H406" s="323"/>
      <c r="I406" s="323"/>
      <c r="J406" s="323"/>
      <c r="K406" s="323"/>
      <c r="L406" s="313"/>
      <c r="M406" s="313"/>
      <c r="N406" s="313"/>
      <c r="O406" s="313"/>
      <c r="P406" s="313"/>
      <c r="Q406" s="313"/>
      <c r="R406" s="313"/>
      <c r="S406" s="313"/>
      <c r="T406" s="313"/>
      <c r="U406" s="313"/>
      <c r="V406" s="313"/>
      <c r="W406" s="313"/>
      <c r="X406" s="313"/>
      <c r="Y406" s="313"/>
      <c r="Z406" s="313"/>
      <c r="AA406" s="313"/>
      <c r="AB406" s="313"/>
      <c r="AC406" s="313"/>
      <c r="AD406" s="313"/>
      <c r="AE406" s="313"/>
      <c r="AF406" s="313"/>
      <c r="AG406" s="313"/>
    </row>
    <row r="407" spans="1:33">
      <c r="A407" s="313"/>
      <c r="B407" s="313"/>
      <c r="C407" s="313"/>
      <c r="D407" s="313"/>
      <c r="E407" s="313"/>
      <c r="F407" s="313"/>
      <c r="G407" s="323"/>
      <c r="H407" s="323"/>
      <c r="I407" s="323"/>
      <c r="J407" s="323"/>
      <c r="K407" s="323"/>
      <c r="L407" s="313"/>
      <c r="M407" s="313"/>
      <c r="N407" s="313"/>
      <c r="O407" s="313"/>
      <c r="P407" s="313"/>
      <c r="Q407" s="313"/>
      <c r="R407" s="313"/>
      <c r="S407" s="313"/>
      <c r="T407" s="313"/>
      <c r="U407" s="313"/>
      <c r="V407" s="313"/>
      <c r="W407" s="313"/>
      <c r="X407" s="313"/>
      <c r="Y407" s="313"/>
      <c r="Z407" s="313"/>
      <c r="AA407" s="313"/>
      <c r="AB407" s="313"/>
      <c r="AC407" s="313"/>
      <c r="AD407" s="313"/>
      <c r="AE407" s="313"/>
      <c r="AF407" s="313"/>
      <c r="AG407" s="313"/>
    </row>
    <row r="408" spans="1:33">
      <c r="A408" s="313"/>
      <c r="B408" s="313"/>
      <c r="C408" s="313"/>
      <c r="D408" s="313"/>
      <c r="E408" s="313"/>
      <c r="F408" s="313"/>
      <c r="G408" s="323"/>
      <c r="H408" s="323"/>
      <c r="I408" s="323"/>
      <c r="J408" s="323"/>
      <c r="K408" s="323"/>
      <c r="L408" s="313"/>
      <c r="M408" s="313"/>
      <c r="N408" s="313"/>
      <c r="O408" s="313"/>
      <c r="P408" s="313"/>
      <c r="Q408" s="313"/>
      <c r="R408" s="313"/>
      <c r="S408" s="313"/>
      <c r="T408" s="313"/>
      <c r="U408" s="313"/>
      <c r="V408" s="313"/>
      <c r="W408" s="313"/>
      <c r="X408" s="313"/>
      <c r="Y408" s="313"/>
      <c r="Z408" s="313"/>
      <c r="AA408" s="313"/>
      <c r="AB408" s="313"/>
      <c r="AC408" s="313"/>
      <c r="AD408" s="313"/>
      <c r="AE408" s="313"/>
      <c r="AF408" s="313"/>
      <c r="AG408" s="313"/>
    </row>
    <row r="409" spans="1:33">
      <c r="A409" s="313"/>
      <c r="B409" s="313"/>
      <c r="C409" s="313"/>
      <c r="D409" s="313"/>
      <c r="E409" s="313"/>
      <c r="F409" s="313"/>
      <c r="G409" s="323"/>
      <c r="H409" s="323"/>
      <c r="I409" s="323"/>
      <c r="J409" s="323"/>
      <c r="K409" s="323"/>
      <c r="L409" s="313"/>
      <c r="M409" s="313"/>
      <c r="N409" s="313"/>
      <c r="O409" s="313"/>
      <c r="P409" s="313"/>
      <c r="Q409" s="313"/>
      <c r="R409" s="313"/>
      <c r="S409" s="313"/>
      <c r="T409" s="313"/>
      <c r="U409" s="313"/>
      <c r="V409" s="313"/>
      <c r="W409" s="313"/>
      <c r="X409" s="313"/>
      <c r="Y409" s="313"/>
      <c r="Z409" s="313"/>
      <c r="AA409" s="313"/>
      <c r="AB409" s="313"/>
      <c r="AC409" s="313"/>
      <c r="AD409" s="313"/>
      <c r="AE409" s="313"/>
      <c r="AF409" s="313"/>
      <c r="AG409" s="313"/>
    </row>
    <row r="410" spans="1:33">
      <c r="A410" s="313"/>
      <c r="B410" s="313"/>
      <c r="C410" s="313"/>
      <c r="D410" s="313"/>
      <c r="E410" s="313"/>
      <c r="F410" s="313"/>
      <c r="G410" s="323"/>
      <c r="H410" s="323"/>
      <c r="I410" s="323"/>
      <c r="J410" s="323"/>
      <c r="K410" s="323"/>
      <c r="L410" s="313"/>
      <c r="M410" s="313"/>
      <c r="N410" s="313"/>
      <c r="O410" s="313"/>
      <c r="P410" s="313"/>
      <c r="Q410" s="313"/>
      <c r="R410" s="313"/>
      <c r="S410" s="313"/>
      <c r="T410" s="313"/>
      <c r="U410" s="313"/>
      <c r="V410" s="313"/>
      <c r="W410" s="313"/>
      <c r="X410" s="313"/>
      <c r="Y410" s="313"/>
      <c r="Z410" s="313"/>
      <c r="AA410" s="313"/>
      <c r="AB410" s="313"/>
      <c r="AC410" s="313"/>
      <c r="AD410" s="313"/>
      <c r="AE410" s="313"/>
      <c r="AF410" s="313"/>
      <c r="AG410" s="313"/>
    </row>
    <row r="411" spans="1:33">
      <c r="A411" s="313"/>
      <c r="B411" s="313"/>
      <c r="C411" s="313"/>
      <c r="D411" s="313"/>
      <c r="E411" s="313"/>
      <c r="F411" s="313"/>
      <c r="G411" s="323"/>
      <c r="H411" s="323"/>
      <c r="I411" s="323"/>
      <c r="J411" s="323"/>
      <c r="K411" s="323"/>
      <c r="L411" s="313"/>
      <c r="M411" s="313"/>
      <c r="N411" s="313"/>
      <c r="O411" s="313"/>
      <c r="P411" s="313"/>
      <c r="Q411" s="313"/>
      <c r="R411" s="313"/>
      <c r="S411" s="313"/>
      <c r="T411" s="313"/>
      <c r="U411" s="313"/>
      <c r="V411" s="313"/>
      <c r="W411" s="313"/>
      <c r="X411" s="313"/>
      <c r="Y411" s="313"/>
      <c r="Z411" s="313"/>
      <c r="AA411" s="313"/>
      <c r="AB411" s="313"/>
      <c r="AC411" s="313"/>
      <c r="AD411" s="313"/>
      <c r="AE411" s="313"/>
      <c r="AF411" s="313"/>
      <c r="AG411" s="313"/>
    </row>
    <row r="412" spans="1:33">
      <c r="A412" s="313"/>
      <c r="B412" s="313"/>
      <c r="C412" s="313"/>
      <c r="D412" s="313"/>
      <c r="E412" s="313"/>
      <c r="F412" s="313"/>
      <c r="G412" s="323"/>
      <c r="H412" s="323"/>
      <c r="I412" s="323"/>
      <c r="J412" s="323"/>
      <c r="K412" s="323"/>
      <c r="L412" s="313"/>
      <c r="M412" s="313"/>
      <c r="N412" s="313"/>
      <c r="O412" s="313"/>
      <c r="P412" s="313"/>
      <c r="Q412" s="313"/>
      <c r="R412" s="313"/>
      <c r="S412" s="313"/>
      <c r="T412" s="313"/>
      <c r="U412" s="313"/>
      <c r="V412" s="313"/>
      <c r="W412" s="313"/>
      <c r="X412" s="313"/>
      <c r="Y412" s="313"/>
      <c r="Z412" s="313"/>
      <c r="AA412" s="313"/>
      <c r="AB412" s="313"/>
      <c r="AC412" s="313"/>
      <c r="AD412" s="313"/>
      <c r="AE412" s="313"/>
      <c r="AF412" s="313"/>
      <c r="AG412" s="313"/>
    </row>
    <row r="413" spans="1:33">
      <c r="A413" s="313"/>
      <c r="B413" s="313"/>
      <c r="C413" s="313"/>
      <c r="D413" s="313"/>
      <c r="E413" s="313"/>
      <c r="F413" s="313"/>
      <c r="G413" s="323"/>
      <c r="H413" s="323"/>
      <c r="I413" s="323"/>
      <c r="J413" s="323"/>
      <c r="K413" s="323"/>
      <c r="L413" s="313"/>
      <c r="M413" s="313"/>
      <c r="N413" s="313"/>
      <c r="O413" s="313"/>
      <c r="P413" s="313"/>
      <c r="Q413" s="313"/>
      <c r="R413" s="313"/>
      <c r="S413" s="313"/>
      <c r="T413" s="313"/>
      <c r="U413" s="313"/>
      <c r="V413" s="313"/>
      <c r="W413" s="313"/>
      <c r="X413" s="313"/>
      <c r="Y413" s="313"/>
      <c r="Z413" s="313"/>
      <c r="AA413" s="313"/>
      <c r="AB413" s="313"/>
      <c r="AC413" s="313"/>
      <c r="AD413" s="313"/>
      <c r="AE413" s="313"/>
      <c r="AF413" s="313"/>
      <c r="AG413" s="313"/>
    </row>
    <row r="414" spans="1:33">
      <c r="A414" s="313"/>
      <c r="B414" s="313"/>
      <c r="C414" s="313"/>
      <c r="D414" s="313"/>
      <c r="E414" s="313"/>
      <c r="F414" s="313"/>
      <c r="G414" s="323"/>
      <c r="H414" s="323"/>
      <c r="I414" s="323"/>
      <c r="J414" s="323"/>
      <c r="K414" s="323"/>
      <c r="L414" s="313"/>
      <c r="M414" s="313"/>
      <c r="N414" s="313"/>
      <c r="O414" s="313"/>
      <c r="P414" s="313"/>
      <c r="Q414" s="313"/>
      <c r="R414" s="313"/>
      <c r="S414" s="313"/>
      <c r="T414" s="313"/>
      <c r="U414" s="313"/>
      <c r="V414" s="313"/>
      <c r="W414" s="313"/>
      <c r="X414" s="313"/>
      <c r="Y414" s="313"/>
      <c r="Z414" s="313"/>
      <c r="AA414" s="313"/>
      <c r="AB414" s="313"/>
      <c r="AC414" s="313"/>
      <c r="AD414" s="313"/>
      <c r="AE414" s="313"/>
      <c r="AF414" s="313"/>
      <c r="AG414" s="313"/>
    </row>
    <row r="415" spans="1:33">
      <c r="A415" s="313"/>
      <c r="B415" s="313"/>
      <c r="C415" s="313"/>
      <c r="D415" s="313"/>
      <c r="E415" s="313"/>
      <c r="F415" s="313"/>
      <c r="G415" s="323"/>
      <c r="H415" s="323"/>
      <c r="I415" s="323"/>
      <c r="J415" s="323"/>
      <c r="K415" s="323"/>
      <c r="L415" s="313"/>
      <c r="M415" s="313"/>
      <c r="N415" s="313"/>
      <c r="O415" s="313"/>
      <c r="P415" s="313"/>
      <c r="Q415" s="313"/>
      <c r="R415" s="313"/>
      <c r="S415" s="313"/>
      <c r="T415" s="313"/>
      <c r="U415" s="313"/>
      <c r="V415" s="313"/>
      <c r="W415" s="313"/>
      <c r="X415" s="313"/>
      <c r="Y415" s="313"/>
      <c r="Z415" s="313"/>
      <c r="AA415" s="313"/>
      <c r="AB415" s="313"/>
      <c r="AC415" s="313"/>
      <c r="AD415" s="313"/>
      <c r="AE415" s="313"/>
      <c r="AF415" s="313"/>
      <c r="AG415" s="313"/>
    </row>
    <row r="416" spans="1:33">
      <c r="A416" s="313"/>
      <c r="B416" s="313"/>
      <c r="C416" s="313"/>
      <c r="D416" s="313"/>
      <c r="E416" s="313"/>
      <c r="F416" s="313"/>
      <c r="G416" s="323"/>
      <c r="H416" s="323"/>
      <c r="I416" s="323"/>
      <c r="J416" s="323"/>
      <c r="K416" s="323"/>
      <c r="L416" s="313"/>
      <c r="M416" s="313"/>
      <c r="N416" s="313"/>
      <c r="O416" s="313"/>
      <c r="P416" s="313"/>
      <c r="Q416" s="313"/>
      <c r="R416" s="313"/>
      <c r="S416" s="313"/>
      <c r="T416" s="313"/>
      <c r="U416" s="313"/>
      <c r="V416" s="313"/>
      <c r="W416" s="313"/>
      <c r="X416" s="313"/>
      <c r="Y416" s="313"/>
      <c r="Z416" s="313"/>
      <c r="AA416" s="313"/>
      <c r="AB416" s="313"/>
      <c r="AC416" s="313"/>
      <c r="AD416" s="313"/>
      <c r="AE416" s="313"/>
      <c r="AF416" s="313"/>
      <c r="AG416" s="313"/>
    </row>
    <row r="417" spans="1:33">
      <c r="A417" s="313"/>
      <c r="B417" s="313"/>
      <c r="C417" s="313"/>
      <c r="D417" s="313"/>
      <c r="E417" s="313"/>
      <c r="F417" s="313"/>
      <c r="G417" s="323"/>
      <c r="H417" s="323"/>
      <c r="I417" s="323"/>
      <c r="J417" s="323"/>
      <c r="K417" s="323"/>
      <c r="L417" s="313"/>
      <c r="M417" s="313"/>
      <c r="N417" s="313"/>
      <c r="O417" s="313"/>
      <c r="P417" s="313"/>
      <c r="Q417" s="313"/>
      <c r="R417" s="313"/>
      <c r="S417" s="313"/>
      <c r="T417" s="313"/>
      <c r="U417" s="313"/>
      <c r="V417" s="313"/>
      <c r="W417" s="313"/>
      <c r="X417" s="313"/>
      <c r="Y417" s="313"/>
      <c r="Z417" s="313"/>
      <c r="AA417" s="313"/>
      <c r="AB417" s="313"/>
      <c r="AC417" s="313"/>
      <c r="AD417" s="313"/>
      <c r="AE417" s="313"/>
      <c r="AF417" s="313"/>
      <c r="AG417" s="313"/>
    </row>
    <row r="418" spans="1:33">
      <c r="A418" s="313"/>
      <c r="B418" s="313"/>
      <c r="C418" s="313"/>
      <c r="D418" s="313"/>
      <c r="E418" s="313"/>
      <c r="F418" s="313"/>
      <c r="G418" s="323"/>
      <c r="H418" s="323"/>
      <c r="I418" s="323"/>
      <c r="J418" s="323"/>
      <c r="K418" s="323"/>
      <c r="L418" s="313"/>
      <c r="M418" s="313"/>
      <c r="N418" s="313"/>
      <c r="O418" s="313"/>
      <c r="P418" s="313"/>
      <c r="Q418" s="313"/>
      <c r="R418" s="313"/>
      <c r="S418" s="313"/>
      <c r="T418" s="313"/>
      <c r="U418" s="313"/>
      <c r="V418" s="313"/>
      <c r="W418" s="313"/>
      <c r="X418" s="313"/>
      <c r="Y418" s="313"/>
      <c r="Z418" s="313"/>
      <c r="AA418" s="313"/>
      <c r="AB418" s="313"/>
      <c r="AC418" s="313"/>
      <c r="AD418" s="313"/>
      <c r="AE418" s="313"/>
      <c r="AF418" s="313"/>
      <c r="AG418" s="313"/>
    </row>
    <row r="419" spans="1:33">
      <c r="A419" s="313"/>
      <c r="B419" s="313"/>
      <c r="C419" s="313"/>
      <c r="D419" s="313"/>
      <c r="E419" s="313"/>
      <c r="F419" s="313"/>
      <c r="G419" s="323"/>
      <c r="H419" s="323"/>
      <c r="I419" s="323"/>
      <c r="J419" s="323"/>
      <c r="K419" s="323"/>
      <c r="L419" s="313"/>
      <c r="M419" s="313"/>
      <c r="N419" s="313"/>
      <c r="O419" s="313"/>
      <c r="P419" s="313"/>
      <c r="Q419" s="313"/>
      <c r="R419" s="313"/>
      <c r="S419" s="313"/>
      <c r="T419" s="313"/>
      <c r="U419" s="313"/>
      <c r="V419" s="313"/>
      <c r="W419" s="313"/>
      <c r="X419" s="313"/>
      <c r="Y419" s="313"/>
      <c r="Z419" s="313"/>
      <c r="AA419" s="313"/>
      <c r="AB419" s="313"/>
      <c r="AC419" s="313"/>
      <c r="AD419" s="313"/>
      <c r="AE419" s="313"/>
      <c r="AF419" s="313"/>
      <c r="AG419" s="313"/>
    </row>
    <row r="420" spans="1:33">
      <c r="A420" s="313"/>
      <c r="B420" s="313"/>
      <c r="C420" s="313"/>
      <c r="D420" s="313"/>
      <c r="E420" s="313"/>
      <c r="F420" s="313"/>
      <c r="G420" s="323"/>
      <c r="H420" s="323"/>
      <c r="I420" s="323"/>
      <c r="J420" s="323"/>
      <c r="K420" s="323"/>
      <c r="L420" s="313"/>
      <c r="M420" s="313"/>
      <c r="N420" s="313"/>
      <c r="O420" s="313"/>
      <c r="P420" s="313"/>
      <c r="Q420" s="313"/>
      <c r="R420" s="313"/>
      <c r="S420" s="313"/>
      <c r="T420" s="313"/>
      <c r="U420" s="313"/>
      <c r="V420" s="313"/>
      <c r="W420" s="313"/>
      <c r="X420" s="313"/>
      <c r="Y420" s="313"/>
      <c r="Z420" s="313"/>
      <c r="AA420" s="313"/>
      <c r="AB420" s="313"/>
      <c r="AC420" s="313"/>
      <c r="AD420" s="313"/>
      <c r="AE420" s="313"/>
      <c r="AF420" s="313"/>
      <c r="AG420" s="313"/>
    </row>
    <row r="421" spans="1:33">
      <c r="A421" s="313"/>
      <c r="B421" s="313"/>
      <c r="C421" s="313"/>
      <c r="D421" s="313"/>
      <c r="E421" s="313"/>
      <c r="F421" s="313"/>
      <c r="G421" s="323"/>
      <c r="H421" s="323"/>
      <c r="I421" s="323"/>
      <c r="J421" s="323"/>
      <c r="K421" s="323"/>
      <c r="L421" s="313"/>
      <c r="M421" s="313"/>
      <c r="N421" s="313"/>
      <c r="O421" s="313"/>
      <c r="P421" s="313"/>
      <c r="Q421" s="313"/>
      <c r="R421" s="313"/>
      <c r="S421" s="313"/>
      <c r="T421" s="313"/>
      <c r="U421" s="313"/>
      <c r="V421" s="313"/>
      <c r="W421" s="313"/>
      <c r="X421" s="313"/>
      <c r="Y421" s="313"/>
      <c r="Z421" s="313"/>
      <c r="AA421" s="313"/>
      <c r="AB421" s="313"/>
      <c r="AC421" s="313"/>
      <c r="AD421" s="313"/>
      <c r="AE421" s="313"/>
      <c r="AF421" s="313"/>
      <c r="AG421" s="313"/>
    </row>
    <row r="422" spans="1:33">
      <c r="A422" s="313"/>
      <c r="B422" s="313"/>
      <c r="C422" s="313"/>
      <c r="D422" s="313"/>
      <c r="E422" s="313"/>
      <c r="F422" s="313"/>
      <c r="G422" s="323"/>
      <c r="H422" s="323"/>
      <c r="I422" s="323"/>
      <c r="J422" s="323"/>
      <c r="K422" s="323"/>
      <c r="L422" s="313"/>
      <c r="M422" s="313"/>
      <c r="N422" s="313"/>
      <c r="O422" s="313"/>
      <c r="P422" s="313"/>
      <c r="Q422" s="313"/>
      <c r="R422" s="313"/>
      <c r="S422" s="313"/>
      <c r="T422" s="313"/>
      <c r="U422" s="313"/>
      <c r="V422" s="313"/>
      <c r="W422" s="313"/>
      <c r="X422" s="313"/>
      <c r="Y422" s="313"/>
      <c r="Z422" s="313"/>
      <c r="AA422" s="313"/>
      <c r="AB422" s="313"/>
      <c r="AC422" s="313"/>
      <c r="AD422" s="313"/>
      <c r="AE422" s="313"/>
      <c r="AF422" s="313"/>
      <c r="AG422" s="313"/>
    </row>
    <row r="423" spans="1:33">
      <c r="A423" s="313"/>
      <c r="B423" s="313"/>
      <c r="C423" s="313"/>
      <c r="D423" s="313"/>
      <c r="E423" s="313"/>
      <c r="F423" s="313"/>
      <c r="G423" s="323"/>
      <c r="H423" s="323"/>
      <c r="I423" s="323"/>
      <c r="J423" s="323"/>
      <c r="K423" s="323"/>
      <c r="L423" s="313"/>
      <c r="M423" s="313"/>
      <c r="N423" s="313"/>
      <c r="O423" s="313"/>
      <c r="P423" s="313"/>
      <c r="Q423" s="313"/>
      <c r="R423" s="313"/>
      <c r="S423" s="313"/>
      <c r="T423" s="313"/>
      <c r="U423" s="313"/>
      <c r="V423" s="313"/>
      <c r="W423" s="313"/>
      <c r="X423" s="313"/>
      <c r="Y423" s="313"/>
      <c r="Z423" s="313"/>
      <c r="AA423" s="313"/>
      <c r="AB423" s="313"/>
      <c r="AC423" s="313"/>
      <c r="AD423" s="313"/>
      <c r="AE423" s="313"/>
      <c r="AF423" s="313"/>
      <c r="AG423" s="313"/>
    </row>
    <row r="424" spans="1:33">
      <c r="A424" s="313"/>
      <c r="B424" s="313"/>
      <c r="C424" s="313"/>
      <c r="D424" s="313"/>
      <c r="E424" s="313"/>
      <c r="F424" s="313"/>
      <c r="G424" s="323"/>
      <c r="H424" s="323"/>
      <c r="I424" s="323"/>
      <c r="J424" s="323"/>
      <c r="K424" s="323"/>
      <c r="L424" s="313"/>
      <c r="M424" s="313"/>
      <c r="N424" s="313"/>
      <c r="O424" s="313"/>
      <c r="P424" s="313"/>
      <c r="Q424" s="313"/>
      <c r="R424" s="313"/>
      <c r="S424" s="313"/>
      <c r="T424" s="313"/>
      <c r="U424" s="313"/>
      <c r="V424" s="313"/>
      <c r="W424" s="313"/>
      <c r="X424" s="313"/>
      <c r="Y424" s="313"/>
      <c r="Z424" s="313"/>
      <c r="AA424" s="313"/>
      <c r="AB424" s="313"/>
      <c r="AC424" s="313"/>
      <c r="AD424" s="313"/>
      <c r="AE424" s="313"/>
      <c r="AF424" s="313"/>
      <c r="AG424" s="313"/>
    </row>
    <row r="425" spans="1:33">
      <c r="A425" s="313"/>
      <c r="B425" s="313"/>
      <c r="C425" s="313"/>
      <c r="D425" s="313"/>
      <c r="E425" s="313"/>
      <c r="F425" s="313"/>
      <c r="G425" s="323"/>
      <c r="H425" s="323"/>
      <c r="I425" s="323"/>
      <c r="J425" s="323"/>
      <c r="K425" s="323"/>
      <c r="L425" s="313"/>
      <c r="M425" s="313"/>
      <c r="N425" s="313"/>
      <c r="O425" s="313"/>
      <c r="P425" s="313"/>
      <c r="Q425" s="313"/>
      <c r="R425" s="313"/>
      <c r="S425" s="313"/>
      <c r="T425" s="313"/>
      <c r="U425" s="313"/>
      <c r="V425" s="313"/>
      <c r="W425" s="313"/>
      <c r="X425" s="313"/>
      <c r="Y425" s="313"/>
      <c r="Z425" s="313"/>
      <c r="AA425" s="313"/>
      <c r="AB425" s="313"/>
      <c r="AC425" s="313"/>
      <c r="AD425" s="313"/>
      <c r="AE425" s="313"/>
      <c r="AF425" s="313"/>
      <c r="AG425" s="313"/>
    </row>
    <row r="426" spans="1:33">
      <c r="A426" s="313"/>
      <c r="B426" s="313"/>
      <c r="C426" s="313"/>
      <c r="D426" s="313"/>
      <c r="E426" s="313"/>
      <c r="F426" s="313"/>
      <c r="G426" s="323"/>
      <c r="H426" s="323"/>
      <c r="I426" s="323"/>
      <c r="J426" s="323"/>
      <c r="K426" s="323"/>
      <c r="L426" s="313"/>
      <c r="M426" s="313"/>
      <c r="N426" s="313"/>
      <c r="O426" s="313"/>
      <c r="P426" s="313"/>
      <c r="Q426" s="313"/>
      <c r="R426" s="313"/>
      <c r="S426" s="313"/>
      <c r="T426" s="313"/>
      <c r="U426" s="313"/>
      <c r="V426" s="313"/>
      <c r="W426" s="313"/>
      <c r="X426" s="313"/>
      <c r="Y426" s="313"/>
      <c r="Z426" s="313"/>
      <c r="AA426" s="313"/>
      <c r="AB426" s="313"/>
      <c r="AC426" s="313"/>
      <c r="AD426" s="313"/>
      <c r="AE426" s="313"/>
      <c r="AF426" s="313"/>
      <c r="AG426" s="313"/>
    </row>
    <row r="427" spans="1:33">
      <c r="A427" s="313"/>
      <c r="B427" s="313"/>
      <c r="C427" s="313"/>
      <c r="D427" s="313"/>
      <c r="E427" s="313"/>
      <c r="F427" s="313"/>
      <c r="G427" s="323"/>
      <c r="H427" s="323"/>
      <c r="I427" s="323"/>
      <c r="J427" s="323"/>
      <c r="K427" s="323"/>
      <c r="L427" s="313"/>
      <c r="M427" s="313"/>
      <c r="N427" s="313"/>
      <c r="O427" s="313"/>
      <c r="P427" s="313"/>
      <c r="Q427" s="313"/>
      <c r="R427" s="313"/>
      <c r="S427" s="313"/>
      <c r="T427" s="313"/>
      <c r="U427" s="313"/>
      <c r="V427" s="313"/>
      <c r="W427" s="313"/>
      <c r="X427" s="313"/>
      <c r="Y427" s="313"/>
      <c r="Z427" s="313"/>
      <c r="AA427" s="313"/>
      <c r="AB427" s="313"/>
      <c r="AC427" s="313"/>
      <c r="AD427" s="313"/>
      <c r="AE427" s="313"/>
      <c r="AF427" s="313"/>
      <c r="AG427" s="313"/>
    </row>
    <row r="428" spans="1:33">
      <c r="A428" s="313"/>
      <c r="B428" s="313"/>
      <c r="C428" s="313"/>
      <c r="D428" s="313"/>
      <c r="E428" s="313"/>
      <c r="F428" s="313"/>
      <c r="G428" s="323"/>
      <c r="H428" s="323"/>
      <c r="I428" s="323"/>
      <c r="J428" s="323"/>
      <c r="K428" s="323"/>
      <c r="L428" s="313"/>
      <c r="M428" s="313"/>
      <c r="N428" s="313"/>
      <c r="O428" s="313"/>
      <c r="P428" s="313"/>
      <c r="Q428" s="313"/>
      <c r="R428" s="313"/>
      <c r="S428" s="313"/>
      <c r="T428" s="313"/>
      <c r="U428" s="313"/>
      <c r="V428" s="313"/>
      <c r="W428" s="313"/>
      <c r="X428" s="313"/>
      <c r="Y428" s="313"/>
      <c r="Z428" s="313"/>
      <c r="AA428" s="313"/>
      <c r="AB428" s="313"/>
      <c r="AC428" s="313"/>
      <c r="AD428" s="313"/>
      <c r="AE428" s="313"/>
      <c r="AF428" s="313"/>
      <c r="AG428" s="313"/>
    </row>
    <row r="429" spans="1:33">
      <c r="A429" s="313"/>
      <c r="B429" s="313"/>
      <c r="C429" s="313"/>
      <c r="D429" s="313"/>
      <c r="E429" s="313"/>
      <c r="F429" s="313"/>
      <c r="G429" s="323"/>
      <c r="H429" s="323"/>
      <c r="I429" s="323"/>
      <c r="J429" s="323"/>
      <c r="K429" s="323"/>
      <c r="L429" s="313"/>
      <c r="M429" s="313"/>
      <c r="N429" s="313"/>
      <c r="O429" s="313"/>
      <c r="P429" s="313"/>
      <c r="Q429" s="313"/>
      <c r="R429" s="313"/>
      <c r="S429" s="313"/>
      <c r="T429" s="313"/>
      <c r="U429" s="313"/>
      <c r="V429" s="313"/>
      <c r="W429" s="313"/>
      <c r="X429" s="313"/>
      <c r="Y429" s="313"/>
      <c r="Z429" s="313"/>
      <c r="AA429" s="313"/>
      <c r="AB429" s="313"/>
      <c r="AC429" s="313"/>
      <c r="AD429" s="313"/>
      <c r="AE429" s="313"/>
      <c r="AF429" s="313"/>
      <c r="AG429" s="313"/>
    </row>
    <row r="430" spans="1:33">
      <c r="A430" s="313"/>
      <c r="B430" s="313"/>
      <c r="C430" s="313"/>
      <c r="D430" s="313"/>
      <c r="E430" s="313"/>
      <c r="F430" s="313"/>
      <c r="G430" s="323"/>
      <c r="H430" s="323"/>
      <c r="I430" s="323"/>
      <c r="J430" s="323"/>
      <c r="K430" s="323"/>
      <c r="L430" s="313"/>
      <c r="M430" s="313"/>
      <c r="N430" s="313"/>
      <c r="O430" s="313"/>
      <c r="P430" s="313"/>
      <c r="Q430" s="313"/>
      <c r="R430" s="313"/>
      <c r="S430" s="313"/>
      <c r="T430" s="313"/>
      <c r="U430" s="313"/>
      <c r="V430" s="313"/>
      <c r="W430" s="313"/>
      <c r="X430" s="313"/>
      <c r="Y430" s="313"/>
      <c r="Z430" s="313"/>
      <c r="AA430" s="313"/>
      <c r="AB430" s="313"/>
      <c r="AC430" s="313"/>
      <c r="AD430" s="313"/>
      <c r="AE430" s="313"/>
      <c r="AF430" s="313"/>
      <c r="AG430" s="313"/>
    </row>
    <row r="431" spans="1:33">
      <c r="A431" s="313"/>
      <c r="B431" s="313"/>
      <c r="C431" s="313"/>
      <c r="D431" s="313"/>
      <c r="E431" s="313"/>
      <c r="F431" s="313"/>
      <c r="G431" s="323"/>
      <c r="H431" s="323"/>
      <c r="I431" s="323"/>
      <c r="J431" s="323"/>
      <c r="K431" s="323"/>
      <c r="L431" s="313"/>
      <c r="M431" s="313"/>
      <c r="N431" s="313"/>
      <c r="O431" s="313"/>
      <c r="P431" s="313"/>
      <c r="Q431" s="313"/>
      <c r="R431" s="313"/>
      <c r="S431" s="313"/>
      <c r="T431" s="313"/>
      <c r="U431" s="313"/>
      <c r="V431" s="313"/>
      <c r="W431" s="313"/>
      <c r="X431" s="313"/>
      <c r="Y431" s="313"/>
      <c r="Z431" s="313"/>
      <c r="AA431" s="313"/>
      <c r="AB431" s="313"/>
      <c r="AC431" s="313"/>
      <c r="AD431" s="313"/>
      <c r="AE431" s="313"/>
      <c r="AF431" s="313"/>
      <c r="AG431" s="313"/>
    </row>
    <row r="432" spans="1:33">
      <c r="A432" s="313"/>
      <c r="B432" s="313"/>
      <c r="C432" s="313"/>
      <c r="D432" s="313"/>
      <c r="E432" s="313"/>
      <c r="F432" s="313"/>
      <c r="G432" s="323"/>
      <c r="H432" s="323"/>
      <c r="I432" s="323"/>
      <c r="J432" s="323"/>
      <c r="K432" s="323"/>
      <c r="L432" s="313"/>
      <c r="M432" s="313"/>
      <c r="N432" s="313"/>
      <c r="O432" s="313"/>
      <c r="P432" s="313"/>
      <c r="Q432" s="313"/>
      <c r="R432" s="313"/>
      <c r="S432" s="313"/>
      <c r="T432" s="313"/>
      <c r="U432" s="313"/>
      <c r="V432" s="313"/>
      <c r="W432" s="313"/>
      <c r="X432" s="313"/>
      <c r="Y432" s="313"/>
      <c r="Z432" s="313"/>
      <c r="AA432" s="313"/>
      <c r="AB432" s="313"/>
      <c r="AC432" s="313"/>
      <c r="AD432" s="313"/>
      <c r="AE432" s="313"/>
      <c r="AF432" s="313"/>
      <c r="AG432" s="313"/>
    </row>
    <row r="433" spans="1:33">
      <c r="A433" s="313"/>
      <c r="B433" s="313"/>
      <c r="C433" s="313"/>
      <c r="D433" s="313"/>
      <c r="E433" s="313"/>
      <c r="F433" s="313"/>
      <c r="G433" s="323"/>
      <c r="H433" s="323"/>
      <c r="I433" s="323"/>
      <c r="J433" s="323"/>
      <c r="K433" s="323"/>
      <c r="L433" s="313"/>
      <c r="M433" s="313"/>
      <c r="N433" s="313"/>
      <c r="O433" s="313"/>
      <c r="P433" s="313"/>
      <c r="Q433" s="313"/>
      <c r="R433" s="313"/>
      <c r="S433" s="313"/>
      <c r="T433" s="313"/>
      <c r="U433" s="313"/>
      <c r="V433" s="313"/>
      <c r="W433" s="313"/>
      <c r="X433" s="313"/>
      <c r="Y433" s="313"/>
      <c r="Z433" s="313"/>
      <c r="AA433" s="313"/>
      <c r="AB433" s="313"/>
      <c r="AC433" s="313"/>
      <c r="AD433" s="313"/>
      <c r="AE433" s="313"/>
      <c r="AF433" s="313"/>
      <c r="AG433" s="313"/>
    </row>
    <row r="434" spans="1:33">
      <c r="A434" s="313"/>
      <c r="B434" s="313"/>
      <c r="C434" s="313"/>
      <c r="D434" s="313"/>
      <c r="E434" s="313"/>
      <c r="F434" s="313"/>
      <c r="G434" s="323"/>
      <c r="H434" s="323"/>
      <c r="I434" s="323"/>
      <c r="J434" s="323"/>
      <c r="K434" s="323"/>
      <c r="L434" s="313"/>
      <c r="M434" s="313"/>
      <c r="N434" s="313"/>
      <c r="O434" s="313"/>
      <c r="P434" s="313"/>
      <c r="Q434" s="313"/>
      <c r="R434" s="313"/>
      <c r="S434" s="313"/>
      <c r="T434" s="313"/>
      <c r="U434" s="313"/>
      <c r="V434" s="313"/>
      <c r="W434" s="313"/>
      <c r="X434" s="313"/>
      <c r="Y434" s="313"/>
      <c r="Z434" s="313"/>
      <c r="AA434" s="313"/>
      <c r="AB434" s="313"/>
      <c r="AC434" s="313"/>
      <c r="AD434" s="313"/>
      <c r="AE434" s="313"/>
      <c r="AF434" s="313"/>
      <c r="AG434" s="313"/>
    </row>
    <row r="435" spans="1:33">
      <c r="A435" s="313"/>
      <c r="B435" s="313"/>
      <c r="C435" s="313"/>
      <c r="D435" s="313"/>
      <c r="E435" s="313"/>
      <c r="F435" s="313"/>
      <c r="G435" s="323"/>
      <c r="H435" s="323"/>
      <c r="I435" s="323"/>
      <c r="J435" s="323"/>
      <c r="K435" s="323"/>
      <c r="L435" s="313"/>
      <c r="M435" s="313"/>
      <c r="N435" s="313"/>
      <c r="O435" s="313"/>
      <c r="P435" s="313"/>
      <c r="Q435" s="313"/>
      <c r="R435" s="313"/>
      <c r="S435" s="313"/>
      <c r="T435" s="313"/>
      <c r="U435" s="313"/>
      <c r="V435" s="313"/>
      <c r="W435" s="313"/>
      <c r="X435" s="313"/>
      <c r="Y435" s="313"/>
      <c r="Z435" s="313"/>
      <c r="AA435" s="313"/>
      <c r="AB435" s="313"/>
      <c r="AC435" s="313"/>
      <c r="AD435" s="313"/>
      <c r="AE435" s="313"/>
      <c r="AF435" s="313"/>
      <c r="AG435" s="313"/>
    </row>
    <row r="436" spans="1:33">
      <c r="A436" s="313"/>
      <c r="B436" s="313"/>
      <c r="C436" s="313"/>
      <c r="D436" s="313"/>
      <c r="E436" s="313"/>
      <c r="F436" s="313"/>
      <c r="G436" s="323"/>
      <c r="H436" s="323"/>
      <c r="I436" s="323"/>
      <c r="J436" s="323"/>
      <c r="K436" s="323"/>
      <c r="L436" s="313"/>
      <c r="M436" s="313"/>
      <c r="N436" s="313"/>
      <c r="O436" s="313"/>
      <c r="P436" s="313"/>
      <c r="Q436" s="313"/>
      <c r="R436" s="313"/>
      <c r="S436" s="313"/>
      <c r="T436" s="313"/>
      <c r="U436" s="313"/>
      <c r="V436" s="313"/>
      <c r="W436" s="313"/>
      <c r="X436" s="313"/>
      <c r="Y436" s="313"/>
      <c r="Z436" s="313"/>
      <c r="AA436" s="313"/>
      <c r="AB436" s="313"/>
      <c r="AC436" s="313"/>
      <c r="AD436" s="313"/>
      <c r="AE436" s="313"/>
      <c r="AF436" s="313"/>
      <c r="AG436" s="313"/>
    </row>
    <row r="437" spans="1:33">
      <c r="A437" s="313"/>
      <c r="B437" s="313"/>
      <c r="C437" s="313"/>
      <c r="D437" s="313"/>
      <c r="E437" s="313"/>
      <c r="F437" s="313"/>
      <c r="G437" s="323"/>
      <c r="H437" s="323"/>
      <c r="I437" s="323"/>
      <c r="J437" s="323"/>
      <c r="K437" s="323"/>
      <c r="L437" s="313"/>
      <c r="M437" s="313"/>
      <c r="N437" s="313"/>
      <c r="O437" s="313"/>
      <c r="P437" s="313"/>
      <c r="Q437" s="313"/>
      <c r="R437" s="313"/>
      <c r="S437" s="313"/>
      <c r="T437" s="313"/>
      <c r="U437" s="313"/>
      <c r="V437" s="313"/>
      <c r="W437" s="313"/>
      <c r="X437" s="313"/>
      <c r="Y437" s="313"/>
      <c r="Z437" s="313"/>
      <c r="AA437" s="313"/>
      <c r="AB437" s="313"/>
      <c r="AC437" s="313"/>
      <c r="AD437" s="313"/>
      <c r="AE437" s="313"/>
      <c r="AF437" s="313"/>
      <c r="AG437" s="313"/>
    </row>
    <row r="438" spans="1:33">
      <c r="A438" s="313"/>
      <c r="B438" s="313"/>
      <c r="C438" s="313"/>
      <c r="D438" s="313"/>
      <c r="E438" s="313"/>
      <c r="F438" s="313"/>
      <c r="G438" s="323"/>
      <c r="H438" s="323"/>
      <c r="I438" s="323"/>
      <c r="J438" s="323"/>
      <c r="K438" s="323"/>
      <c r="L438" s="313"/>
      <c r="M438" s="313"/>
      <c r="N438" s="313"/>
      <c r="O438" s="313"/>
      <c r="P438" s="313"/>
      <c r="Q438" s="313"/>
      <c r="R438" s="313"/>
      <c r="S438" s="313"/>
      <c r="T438" s="313"/>
      <c r="U438" s="313"/>
      <c r="V438" s="313"/>
      <c r="W438" s="313"/>
      <c r="X438" s="313"/>
      <c r="Y438" s="313"/>
      <c r="Z438" s="313"/>
      <c r="AA438" s="313"/>
      <c r="AB438" s="313"/>
      <c r="AC438" s="313"/>
      <c r="AD438" s="313"/>
      <c r="AE438" s="313"/>
      <c r="AF438" s="313"/>
      <c r="AG438" s="313"/>
    </row>
    <row r="439" spans="1:33">
      <c r="A439" s="313"/>
      <c r="B439" s="313"/>
      <c r="C439" s="313"/>
      <c r="D439" s="313"/>
      <c r="E439" s="313"/>
      <c r="F439" s="313"/>
      <c r="G439" s="323"/>
      <c r="H439" s="323"/>
      <c r="I439" s="323"/>
      <c r="J439" s="323"/>
      <c r="K439" s="323"/>
      <c r="L439" s="313"/>
      <c r="M439" s="313"/>
      <c r="N439" s="313"/>
      <c r="O439" s="313"/>
      <c r="P439" s="313"/>
      <c r="Q439" s="313"/>
      <c r="R439" s="313"/>
      <c r="S439" s="313"/>
      <c r="T439" s="313"/>
      <c r="U439" s="313"/>
      <c r="V439" s="313"/>
      <c r="W439" s="313"/>
      <c r="X439" s="313"/>
      <c r="Y439" s="313"/>
      <c r="Z439" s="313"/>
      <c r="AA439" s="313"/>
      <c r="AB439" s="313"/>
      <c r="AC439" s="313"/>
      <c r="AD439" s="313"/>
      <c r="AE439" s="313"/>
      <c r="AF439" s="313"/>
      <c r="AG439" s="313"/>
    </row>
    <row r="440" spans="1:33">
      <c r="A440" s="313"/>
      <c r="B440" s="313"/>
      <c r="C440" s="313"/>
      <c r="D440" s="313"/>
      <c r="E440" s="313"/>
      <c r="F440" s="313"/>
      <c r="G440" s="323"/>
      <c r="H440" s="323"/>
      <c r="I440" s="323"/>
      <c r="J440" s="323"/>
      <c r="K440" s="323"/>
      <c r="L440" s="313"/>
      <c r="M440" s="313"/>
      <c r="N440" s="313"/>
      <c r="O440" s="313"/>
      <c r="P440" s="313"/>
      <c r="Q440" s="313"/>
      <c r="R440" s="313"/>
      <c r="S440" s="313"/>
      <c r="T440" s="313"/>
      <c r="U440" s="313"/>
      <c r="V440" s="313"/>
      <c r="W440" s="313"/>
      <c r="X440" s="313"/>
      <c r="Y440" s="313"/>
      <c r="Z440" s="313"/>
      <c r="AA440" s="313"/>
      <c r="AB440" s="313"/>
      <c r="AC440" s="313"/>
      <c r="AD440" s="313"/>
      <c r="AE440" s="313"/>
      <c r="AF440" s="313"/>
      <c r="AG440" s="313"/>
    </row>
    <row r="441" spans="1:33">
      <c r="A441" s="313"/>
      <c r="B441" s="313"/>
      <c r="C441" s="313"/>
      <c r="D441" s="313"/>
      <c r="E441" s="313"/>
      <c r="F441" s="313"/>
      <c r="G441" s="323"/>
      <c r="H441" s="323"/>
      <c r="I441" s="323"/>
      <c r="J441" s="323"/>
      <c r="K441" s="323"/>
      <c r="L441" s="313"/>
      <c r="M441" s="313"/>
      <c r="N441" s="313"/>
      <c r="O441" s="313"/>
      <c r="P441" s="313"/>
      <c r="Q441" s="313"/>
      <c r="R441" s="313"/>
      <c r="S441" s="313"/>
      <c r="T441" s="313"/>
      <c r="U441" s="313"/>
      <c r="V441" s="313"/>
      <c r="W441" s="313"/>
      <c r="X441" s="313"/>
      <c r="Y441" s="313"/>
      <c r="Z441" s="313"/>
      <c r="AA441" s="313"/>
      <c r="AB441" s="313"/>
      <c r="AC441" s="313"/>
      <c r="AD441" s="313"/>
      <c r="AE441" s="313"/>
      <c r="AF441" s="313"/>
      <c r="AG441" s="313"/>
    </row>
    <row r="442" spans="1:33">
      <c r="A442" s="313"/>
      <c r="B442" s="313"/>
      <c r="C442" s="313"/>
      <c r="D442" s="313"/>
      <c r="E442" s="313"/>
      <c r="F442" s="313"/>
      <c r="G442" s="323"/>
      <c r="H442" s="323"/>
      <c r="I442" s="323"/>
      <c r="J442" s="323"/>
      <c r="K442" s="323"/>
      <c r="L442" s="313"/>
      <c r="M442" s="313"/>
      <c r="N442" s="313"/>
      <c r="O442" s="313"/>
      <c r="P442" s="313"/>
      <c r="Q442" s="313"/>
      <c r="R442" s="313"/>
      <c r="S442" s="313"/>
      <c r="T442" s="313"/>
      <c r="U442" s="313"/>
      <c r="V442" s="313"/>
      <c r="W442" s="313"/>
      <c r="X442" s="313"/>
      <c r="Y442" s="313"/>
      <c r="Z442" s="313"/>
      <c r="AA442" s="313"/>
      <c r="AB442" s="313"/>
      <c r="AC442" s="313"/>
      <c r="AD442" s="313"/>
      <c r="AE442" s="313"/>
      <c r="AF442" s="313"/>
      <c r="AG442" s="313"/>
    </row>
    <row r="443" spans="1:33">
      <c r="A443" s="313"/>
      <c r="B443" s="313"/>
      <c r="C443" s="313"/>
      <c r="D443" s="313"/>
      <c r="E443" s="313"/>
      <c r="F443" s="313"/>
      <c r="G443" s="323"/>
      <c r="H443" s="323"/>
      <c r="I443" s="323"/>
      <c r="J443" s="323"/>
      <c r="K443" s="323"/>
      <c r="L443" s="313"/>
      <c r="M443" s="313"/>
      <c r="N443" s="313"/>
      <c r="O443" s="313"/>
      <c r="P443" s="313"/>
      <c r="Q443" s="313"/>
      <c r="R443" s="313"/>
      <c r="S443" s="313"/>
      <c r="T443" s="313"/>
      <c r="U443" s="313"/>
      <c r="V443" s="313"/>
      <c r="W443" s="313"/>
      <c r="X443" s="313"/>
      <c r="Y443" s="313"/>
      <c r="Z443" s="313"/>
      <c r="AA443" s="313"/>
      <c r="AB443" s="313"/>
      <c r="AC443" s="313"/>
      <c r="AD443" s="313"/>
      <c r="AE443" s="313"/>
      <c r="AF443" s="313"/>
      <c r="AG443" s="313"/>
    </row>
    <row r="444" spans="1:33">
      <c r="A444" s="313"/>
      <c r="B444" s="313"/>
      <c r="C444" s="313"/>
      <c r="D444" s="313"/>
      <c r="E444" s="313"/>
      <c r="F444" s="313"/>
      <c r="G444" s="323"/>
      <c r="H444" s="323"/>
      <c r="I444" s="323"/>
      <c r="J444" s="323"/>
      <c r="K444" s="323"/>
      <c r="L444" s="313"/>
      <c r="M444" s="313"/>
      <c r="N444" s="313"/>
      <c r="O444" s="313"/>
      <c r="P444" s="313"/>
      <c r="Q444" s="313"/>
      <c r="R444" s="313"/>
      <c r="S444" s="313"/>
      <c r="T444" s="313"/>
      <c r="U444" s="313"/>
      <c r="V444" s="313"/>
      <c r="W444" s="313"/>
      <c r="X444" s="313"/>
      <c r="Y444" s="313"/>
      <c r="Z444" s="313"/>
      <c r="AA444" s="313"/>
      <c r="AB444" s="313"/>
      <c r="AC444" s="313"/>
      <c r="AD444" s="313"/>
      <c r="AE444" s="313"/>
      <c r="AF444" s="313"/>
      <c r="AG444" s="313"/>
    </row>
    <row r="445" spans="1:33">
      <c r="A445" s="313"/>
      <c r="B445" s="313"/>
      <c r="C445" s="313"/>
      <c r="D445" s="313"/>
      <c r="E445" s="313"/>
      <c r="F445" s="313"/>
      <c r="G445" s="323"/>
      <c r="H445" s="323"/>
      <c r="I445" s="323"/>
      <c r="J445" s="323"/>
      <c r="K445" s="323"/>
      <c r="L445" s="313"/>
      <c r="M445" s="313"/>
      <c r="N445" s="313"/>
      <c r="O445" s="313"/>
      <c r="P445" s="313"/>
      <c r="Q445" s="313"/>
      <c r="R445" s="313"/>
      <c r="S445" s="313"/>
      <c r="T445" s="313"/>
      <c r="U445" s="313"/>
      <c r="V445" s="313"/>
      <c r="W445" s="313"/>
      <c r="X445" s="313"/>
      <c r="Y445" s="313"/>
      <c r="Z445" s="313"/>
      <c r="AA445" s="313"/>
      <c r="AB445" s="313"/>
      <c r="AC445" s="313"/>
      <c r="AD445" s="313"/>
      <c r="AE445" s="313"/>
      <c r="AF445" s="313"/>
      <c r="AG445" s="313"/>
    </row>
    <row r="446" spans="1:33">
      <c r="A446" s="313"/>
      <c r="B446" s="313"/>
      <c r="C446" s="313"/>
      <c r="D446" s="313"/>
      <c r="E446" s="313"/>
      <c r="F446" s="313"/>
      <c r="G446" s="323"/>
      <c r="H446" s="323"/>
      <c r="I446" s="323"/>
      <c r="J446" s="323"/>
      <c r="K446" s="323"/>
      <c r="L446" s="313"/>
      <c r="M446" s="313"/>
      <c r="N446" s="313"/>
      <c r="O446" s="313"/>
      <c r="P446" s="313"/>
      <c r="Q446" s="313"/>
      <c r="R446" s="313"/>
      <c r="S446" s="313"/>
      <c r="T446" s="313"/>
      <c r="U446" s="313"/>
      <c r="V446" s="313"/>
      <c r="W446" s="313"/>
      <c r="X446" s="313"/>
      <c r="Y446" s="313"/>
      <c r="Z446" s="313"/>
      <c r="AA446" s="313"/>
      <c r="AB446" s="313"/>
      <c r="AC446" s="313"/>
      <c r="AD446" s="313"/>
      <c r="AE446" s="313"/>
      <c r="AF446" s="313"/>
      <c r="AG446" s="313"/>
    </row>
    <row r="447" spans="1:33">
      <c r="A447" s="313"/>
      <c r="B447" s="313"/>
      <c r="C447" s="313"/>
      <c r="D447" s="313"/>
      <c r="E447" s="313"/>
      <c r="F447" s="313"/>
      <c r="G447" s="323"/>
      <c r="H447" s="323"/>
      <c r="I447" s="323"/>
      <c r="J447" s="323"/>
      <c r="K447" s="323"/>
      <c r="L447" s="313"/>
      <c r="M447" s="313"/>
      <c r="N447" s="313"/>
      <c r="O447" s="313"/>
      <c r="P447" s="313"/>
      <c r="Q447" s="313"/>
      <c r="R447" s="313"/>
      <c r="S447" s="313"/>
      <c r="T447" s="313"/>
      <c r="U447" s="313"/>
      <c r="V447" s="313"/>
      <c r="W447" s="313"/>
      <c r="X447" s="313"/>
      <c r="Y447" s="313"/>
      <c r="Z447" s="313"/>
      <c r="AA447" s="313"/>
      <c r="AB447" s="313"/>
      <c r="AC447" s="313"/>
      <c r="AD447" s="313"/>
      <c r="AE447" s="313"/>
      <c r="AF447" s="313"/>
      <c r="AG447" s="313"/>
    </row>
    <row r="448" spans="1:33">
      <c r="A448" s="313"/>
      <c r="B448" s="313"/>
      <c r="C448" s="313"/>
      <c r="D448" s="313"/>
      <c r="E448" s="313"/>
      <c r="F448" s="313"/>
      <c r="G448" s="323"/>
      <c r="H448" s="323"/>
      <c r="I448" s="323"/>
      <c r="J448" s="323"/>
      <c r="K448" s="323"/>
      <c r="L448" s="313"/>
      <c r="M448" s="313"/>
      <c r="N448" s="313"/>
      <c r="O448" s="313"/>
      <c r="P448" s="313"/>
      <c r="Q448" s="313"/>
      <c r="R448" s="313"/>
      <c r="S448" s="313"/>
      <c r="T448" s="313"/>
      <c r="U448" s="313"/>
      <c r="V448" s="313"/>
      <c r="W448" s="313"/>
      <c r="X448" s="313"/>
      <c r="Y448" s="313"/>
      <c r="Z448" s="313"/>
      <c r="AA448" s="313"/>
      <c r="AB448" s="313"/>
      <c r="AC448" s="313"/>
      <c r="AD448" s="313"/>
      <c r="AE448" s="313"/>
      <c r="AF448" s="313"/>
      <c r="AG448" s="313"/>
    </row>
    <row r="449" spans="1:33">
      <c r="A449" s="313"/>
      <c r="B449" s="313"/>
      <c r="C449" s="313"/>
      <c r="D449" s="313"/>
      <c r="E449" s="313"/>
      <c r="F449" s="313"/>
      <c r="G449" s="323"/>
      <c r="H449" s="323"/>
      <c r="I449" s="323"/>
      <c r="J449" s="323"/>
      <c r="K449" s="323"/>
      <c r="L449" s="313"/>
      <c r="M449" s="313"/>
      <c r="N449" s="313"/>
      <c r="O449" s="313"/>
      <c r="P449" s="313"/>
      <c r="Q449" s="313"/>
      <c r="R449" s="313"/>
      <c r="S449" s="313"/>
      <c r="T449" s="313"/>
      <c r="U449" s="313"/>
      <c r="V449" s="313"/>
      <c r="W449" s="313"/>
      <c r="X449" s="313"/>
      <c r="Y449" s="313"/>
      <c r="Z449" s="313"/>
      <c r="AA449" s="313"/>
      <c r="AB449" s="313"/>
      <c r="AC449" s="313"/>
      <c r="AD449" s="313"/>
      <c r="AE449" s="313"/>
      <c r="AF449" s="313"/>
      <c r="AG449" s="313"/>
    </row>
    <row r="450" spans="1:33">
      <c r="A450" s="313"/>
      <c r="B450" s="313"/>
      <c r="C450" s="313"/>
      <c r="D450" s="313"/>
      <c r="E450" s="313"/>
      <c r="F450" s="313"/>
      <c r="G450" s="323"/>
      <c r="H450" s="323"/>
      <c r="I450" s="323"/>
      <c r="J450" s="323"/>
      <c r="K450" s="323"/>
      <c r="L450" s="313"/>
      <c r="M450" s="313"/>
      <c r="N450" s="313"/>
      <c r="O450" s="313"/>
      <c r="P450" s="313"/>
      <c r="Q450" s="313"/>
      <c r="R450" s="313"/>
      <c r="S450" s="313"/>
      <c r="T450" s="313"/>
      <c r="U450" s="313"/>
      <c r="V450" s="313"/>
      <c r="W450" s="313"/>
      <c r="X450" s="313"/>
      <c r="Y450" s="313"/>
      <c r="Z450" s="313"/>
      <c r="AA450" s="313"/>
      <c r="AB450" s="313"/>
      <c r="AC450" s="313"/>
      <c r="AD450" s="313"/>
      <c r="AE450" s="313"/>
      <c r="AF450" s="313"/>
      <c r="AG450" s="313"/>
    </row>
    <row r="451" spans="1:33">
      <c r="A451" s="313"/>
      <c r="B451" s="313"/>
      <c r="C451" s="313"/>
      <c r="D451" s="313"/>
      <c r="E451" s="313"/>
      <c r="F451" s="313"/>
      <c r="G451" s="323"/>
      <c r="H451" s="323"/>
      <c r="I451" s="323"/>
      <c r="J451" s="323"/>
      <c r="K451" s="323"/>
      <c r="L451" s="313"/>
      <c r="M451" s="313"/>
      <c r="N451" s="313"/>
      <c r="O451" s="313"/>
      <c r="P451" s="313"/>
      <c r="Q451" s="313"/>
      <c r="R451" s="313"/>
      <c r="S451" s="313"/>
      <c r="T451" s="313"/>
      <c r="U451" s="313"/>
      <c r="V451" s="313"/>
      <c r="W451" s="313"/>
      <c r="X451" s="313"/>
      <c r="Y451" s="313"/>
      <c r="Z451" s="313"/>
      <c r="AA451" s="313"/>
      <c r="AB451" s="313"/>
      <c r="AC451" s="313"/>
      <c r="AD451" s="313"/>
      <c r="AE451" s="313"/>
      <c r="AF451" s="313"/>
      <c r="AG451" s="313"/>
    </row>
    <row r="452" spans="1:33">
      <c r="A452" s="313"/>
      <c r="B452" s="313"/>
      <c r="C452" s="313"/>
      <c r="D452" s="313"/>
      <c r="E452" s="313"/>
      <c r="F452" s="313"/>
      <c r="G452" s="323"/>
      <c r="H452" s="323"/>
      <c r="I452" s="323"/>
      <c r="J452" s="323"/>
      <c r="K452" s="323"/>
      <c r="L452" s="313"/>
      <c r="M452" s="313"/>
      <c r="N452" s="313"/>
      <c r="O452" s="313"/>
      <c r="P452" s="313"/>
      <c r="Q452" s="313"/>
      <c r="R452" s="313"/>
      <c r="S452" s="313"/>
      <c r="T452" s="313"/>
      <c r="U452" s="313"/>
      <c r="V452" s="313"/>
      <c r="W452" s="313"/>
      <c r="X452" s="313"/>
      <c r="Y452" s="313"/>
      <c r="Z452" s="313"/>
      <c r="AA452" s="313"/>
      <c r="AB452" s="313"/>
      <c r="AC452" s="313"/>
      <c r="AD452" s="313"/>
      <c r="AE452" s="313"/>
      <c r="AF452" s="313"/>
      <c r="AG452" s="313"/>
    </row>
    <row r="453" spans="1:33">
      <c r="A453" s="313"/>
      <c r="B453" s="313"/>
      <c r="C453" s="313"/>
      <c r="D453" s="313"/>
      <c r="E453" s="313"/>
      <c r="F453" s="313"/>
      <c r="G453" s="323"/>
      <c r="H453" s="323"/>
      <c r="I453" s="323"/>
      <c r="J453" s="323"/>
      <c r="K453" s="323"/>
      <c r="L453" s="313"/>
      <c r="M453" s="313"/>
      <c r="N453" s="313"/>
      <c r="O453" s="313"/>
      <c r="P453" s="313"/>
      <c r="Q453" s="313"/>
      <c r="R453" s="313"/>
      <c r="S453" s="313"/>
      <c r="T453" s="313"/>
      <c r="U453" s="313"/>
      <c r="V453" s="313"/>
      <c r="W453" s="313"/>
      <c r="X453" s="313"/>
      <c r="Y453" s="313"/>
      <c r="Z453" s="313"/>
      <c r="AA453" s="313"/>
      <c r="AB453" s="313"/>
      <c r="AC453" s="313"/>
      <c r="AD453" s="313"/>
      <c r="AE453" s="313"/>
      <c r="AF453" s="313"/>
      <c r="AG453" s="313"/>
    </row>
    <row r="454" spans="1:33">
      <c r="A454" s="313"/>
      <c r="B454" s="313"/>
      <c r="C454" s="313"/>
      <c r="D454" s="313"/>
      <c r="E454" s="313"/>
      <c r="F454" s="313"/>
      <c r="G454" s="323"/>
      <c r="H454" s="323"/>
      <c r="I454" s="323"/>
      <c r="J454" s="323"/>
      <c r="K454" s="323"/>
      <c r="L454" s="313"/>
      <c r="M454" s="313"/>
      <c r="N454" s="313"/>
      <c r="O454" s="313"/>
      <c r="P454" s="313"/>
      <c r="Q454" s="313"/>
      <c r="R454" s="313"/>
      <c r="S454" s="313"/>
      <c r="T454" s="313"/>
      <c r="U454" s="313"/>
      <c r="V454" s="313"/>
      <c r="W454" s="313"/>
      <c r="X454" s="313"/>
      <c r="Y454" s="313"/>
      <c r="Z454" s="313"/>
      <c r="AA454" s="313"/>
      <c r="AB454" s="313"/>
      <c r="AC454" s="313"/>
      <c r="AD454" s="313"/>
      <c r="AE454" s="313"/>
      <c r="AF454" s="313"/>
      <c r="AG454" s="313"/>
    </row>
    <row r="455" spans="1:33">
      <c r="A455" s="313"/>
      <c r="B455" s="313"/>
      <c r="C455" s="313"/>
      <c r="D455" s="313"/>
      <c r="E455" s="313"/>
      <c r="F455" s="313"/>
      <c r="G455" s="323"/>
      <c r="H455" s="323"/>
      <c r="I455" s="323"/>
      <c r="J455" s="323"/>
      <c r="K455" s="323"/>
      <c r="L455" s="313"/>
      <c r="M455" s="313"/>
      <c r="N455" s="313"/>
      <c r="O455" s="313"/>
      <c r="P455" s="313"/>
      <c r="Q455" s="313"/>
      <c r="R455" s="313"/>
      <c r="S455" s="313"/>
      <c r="T455" s="313"/>
      <c r="U455" s="313"/>
      <c r="V455" s="313"/>
      <c r="W455" s="313"/>
      <c r="X455" s="313"/>
      <c r="Y455" s="313"/>
      <c r="Z455" s="313"/>
      <c r="AA455" s="313"/>
      <c r="AB455" s="313"/>
      <c r="AC455" s="313"/>
      <c r="AD455" s="313"/>
      <c r="AE455" s="313"/>
      <c r="AF455" s="313"/>
      <c r="AG455" s="313"/>
    </row>
    <row r="456" spans="1:33">
      <c r="A456" s="313"/>
      <c r="B456" s="313"/>
      <c r="C456" s="313"/>
      <c r="D456" s="313"/>
      <c r="E456" s="313"/>
      <c r="F456" s="313"/>
      <c r="G456" s="323"/>
      <c r="H456" s="323"/>
      <c r="I456" s="323"/>
      <c r="J456" s="323"/>
      <c r="K456" s="323"/>
      <c r="L456" s="313"/>
      <c r="M456" s="313"/>
      <c r="N456" s="313"/>
      <c r="O456" s="313"/>
      <c r="P456" s="313"/>
      <c r="Q456" s="313"/>
      <c r="R456" s="313"/>
      <c r="S456" s="313"/>
      <c r="T456" s="313"/>
      <c r="U456" s="313"/>
      <c r="V456" s="313"/>
      <c r="W456" s="313"/>
      <c r="X456" s="313"/>
      <c r="Y456" s="313"/>
      <c r="Z456" s="313"/>
      <c r="AA456" s="313"/>
      <c r="AB456" s="313"/>
      <c r="AC456" s="313"/>
      <c r="AD456" s="313"/>
      <c r="AE456" s="313"/>
      <c r="AF456" s="313"/>
      <c r="AG456" s="313"/>
    </row>
    <row r="457" spans="1:33">
      <c r="A457" s="313"/>
      <c r="B457" s="313"/>
      <c r="C457" s="313"/>
      <c r="D457" s="313"/>
      <c r="E457" s="313"/>
      <c r="F457" s="313"/>
      <c r="G457" s="323"/>
      <c r="H457" s="323"/>
      <c r="I457" s="323"/>
      <c r="J457" s="323"/>
      <c r="K457" s="323"/>
      <c r="L457" s="313"/>
      <c r="M457" s="313"/>
      <c r="N457" s="313"/>
      <c r="O457" s="313"/>
      <c r="P457" s="313"/>
      <c r="Q457" s="313"/>
      <c r="R457" s="313"/>
      <c r="S457" s="313"/>
      <c r="T457" s="313"/>
      <c r="U457" s="313"/>
      <c r="V457" s="313"/>
      <c r="W457" s="313"/>
      <c r="X457" s="313"/>
      <c r="Y457" s="313"/>
      <c r="Z457" s="313"/>
      <c r="AA457" s="313"/>
      <c r="AB457" s="313"/>
      <c r="AC457" s="313"/>
      <c r="AD457" s="313"/>
      <c r="AE457" s="313"/>
      <c r="AF457" s="313"/>
      <c r="AG457" s="313"/>
    </row>
    <row r="458" spans="1:33">
      <c r="A458" s="313"/>
      <c r="B458" s="313"/>
      <c r="C458" s="313"/>
      <c r="D458" s="313"/>
      <c r="E458" s="313"/>
      <c r="F458" s="313"/>
      <c r="G458" s="323"/>
      <c r="H458" s="323"/>
      <c r="I458" s="323"/>
      <c r="J458" s="323"/>
      <c r="K458" s="323"/>
      <c r="L458" s="313"/>
      <c r="M458" s="313"/>
      <c r="N458" s="313"/>
      <c r="O458" s="313"/>
      <c r="P458" s="313"/>
      <c r="Q458" s="313"/>
      <c r="R458" s="313"/>
      <c r="S458" s="313"/>
      <c r="T458" s="313"/>
      <c r="U458" s="313"/>
      <c r="V458" s="313"/>
      <c r="W458" s="313"/>
      <c r="X458" s="313"/>
      <c r="Y458" s="313"/>
      <c r="Z458" s="313"/>
      <c r="AA458" s="313"/>
      <c r="AB458" s="313"/>
      <c r="AC458" s="313"/>
      <c r="AD458" s="313"/>
      <c r="AE458" s="313"/>
      <c r="AF458" s="313"/>
      <c r="AG458" s="313"/>
    </row>
    <row r="459" spans="1:33">
      <c r="A459" s="313"/>
      <c r="B459" s="313"/>
      <c r="C459" s="313"/>
      <c r="D459" s="313"/>
      <c r="E459" s="313"/>
      <c r="F459" s="313"/>
      <c r="G459" s="323"/>
      <c r="H459" s="323"/>
      <c r="I459" s="323"/>
      <c r="J459" s="323"/>
      <c r="K459" s="323"/>
      <c r="L459" s="313"/>
      <c r="M459" s="313"/>
      <c r="N459" s="313"/>
      <c r="O459" s="313"/>
      <c r="P459" s="313"/>
      <c r="Q459" s="313"/>
      <c r="R459" s="313"/>
      <c r="S459" s="313"/>
      <c r="T459" s="313"/>
      <c r="U459" s="313"/>
      <c r="V459" s="313"/>
      <c r="W459" s="313"/>
      <c r="X459" s="313"/>
      <c r="Y459" s="313"/>
      <c r="Z459" s="313"/>
      <c r="AA459" s="313"/>
      <c r="AB459" s="313"/>
      <c r="AC459" s="313"/>
      <c r="AD459" s="313"/>
      <c r="AE459" s="313"/>
      <c r="AF459" s="313"/>
      <c r="AG459" s="313"/>
    </row>
    <row r="460" spans="1:33">
      <c r="A460" s="313"/>
      <c r="B460" s="313"/>
      <c r="C460" s="313"/>
      <c r="D460" s="313"/>
      <c r="E460" s="313"/>
      <c r="F460" s="313"/>
      <c r="G460" s="323"/>
      <c r="H460" s="323"/>
      <c r="I460" s="323"/>
      <c r="J460" s="323"/>
      <c r="K460" s="323"/>
      <c r="L460" s="313"/>
      <c r="M460" s="313"/>
      <c r="N460" s="313"/>
      <c r="O460" s="313"/>
      <c r="P460" s="313"/>
      <c r="Q460" s="313"/>
      <c r="R460" s="313"/>
      <c r="S460" s="313"/>
      <c r="T460" s="313"/>
      <c r="U460" s="313"/>
      <c r="V460" s="313"/>
      <c r="W460" s="313"/>
      <c r="X460" s="313"/>
      <c r="Y460" s="313"/>
      <c r="Z460" s="313"/>
      <c r="AA460" s="313"/>
      <c r="AB460" s="313"/>
      <c r="AC460" s="313"/>
      <c r="AD460" s="313"/>
      <c r="AE460" s="313"/>
      <c r="AF460" s="313"/>
      <c r="AG460" s="313"/>
    </row>
    <row r="461" spans="1:33">
      <c r="A461" s="313"/>
      <c r="B461" s="313"/>
      <c r="C461" s="313"/>
      <c r="D461" s="313"/>
      <c r="E461" s="313"/>
      <c r="F461" s="313"/>
      <c r="G461" s="323"/>
      <c r="H461" s="323"/>
      <c r="I461" s="323"/>
      <c r="J461" s="323"/>
      <c r="K461" s="323"/>
      <c r="L461" s="313"/>
      <c r="M461" s="313"/>
      <c r="N461" s="313"/>
      <c r="O461" s="313"/>
      <c r="P461" s="313"/>
      <c r="Q461" s="313"/>
      <c r="R461" s="313"/>
      <c r="S461" s="313"/>
      <c r="T461" s="313"/>
      <c r="U461" s="313"/>
      <c r="V461" s="313"/>
      <c r="W461" s="313"/>
      <c r="X461" s="313"/>
      <c r="Y461" s="313"/>
      <c r="Z461" s="313"/>
      <c r="AA461" s="313"/>
      <c r="AB461" s="313"/>
      <c r="AC461" s="313"/>
      <c r="AD461" s="313"/>
      <c r="AE461" s="313"/>
      <c r="AF461" s="313"/>
      <c r="AG461" s="313"/>
    </row>
    <row r="462" spans="1:33">
      <c r="A462" s="313"/>
      <c r="B462" s="313"/>
      <c r="C462" s="313"/>
      <c r="D462" s="313"/>
      <c r="E462" s="313"/>
      <c r="F462" s="313"/>
      <c r="G462" s="323"/>
      <c r="H462" s="323"/>
      <c r="I462" s="323"/>
      <c r="J462" s="323"/>
      <c r="K462" s="323"/>
      <c r="L462" s="313"/>
      <c r="M462" s="313"/>
      <c r="N462" s="313"/>
      <c r="O462" s="313"/>
      <c r="P462" s="313"/>
      <c r="Q462" s="313"/>
      <c r="R462" s="313"/>
      <c r="S462" s="313"/>
      <c r="T462" s="313"/>
      <c r="U462" s="313"/>
      <c r="V462" s="313"/>
      <c r="W462" s="313"/>
      <c r="X462" s="313"/>
      <c r="Y462" s="313"/>
      <c r="Z462" s="313"/>
      <c r="AA462" s="313"/>
      <c r="AB462" s="313"/>
      <c r="AC462" s="313"/>
      <c r="AD462" s="313"/>
      <c r="AE462" s="313"/>
      <c r="AF462" s="313"/>
      <c r="AG462" s="313"/>
    </row>
    <row r="463" spans="1:33">
      <c r="A463" s="313"/>
      <c r="B463" s="313"/>
      <c r="C463" s="313"/>
      <c r="D463" s="313"/>
      <c r="E463" s="313"/>
      <c r="F463" s="313"/>
      <c r="G463" s="323"/>
      <c r="H463" s="323"/>
      <c r="I463" s="323"/>
      <c r="J463" s="323"/>
      <c r="K463" s="323"/>
      <c r="L463" s="313"/>
      <c r="M463" s="313"/>
      <c r="N463" s="313"/>
      <c r="O463" s="313"/>
      <c r="P463" s="313"/>
      <c r="Q463" s="313"/>
      <c r="R463" s="313"/>
      <c r="S463" s="313"/>
      <c r="T463" s="313"/>
      <c r="U463" s="313"/>
      <c r="V463" s="313"/>
      <c r="W463" s="313"/>
      <c r="X463" s="313"/>
      <c r="Y463" s="313"/>
      <c r="Z463" s="313"/>
      <c r="AA463" s="313"/>
      <c r="AB463" s="313"/>
      <c r="AC463" s="313"/>
      <c r="AD463" s="313"/>
      <c r="AE463" s="313"/>
      <c r="AF463" s="313"/>
      <c r="AG463" s="313"/>
    </row>
    <row r="464" spans="1:33">
      <c r="A464" s="313"/>
      <c r="B464" s="313"/>
      <c r="C464" s="313"/>
      <c r="D464" s="313"/>
      <c r="E464" s="313"/>
      <c r="F464" s="313"/>
      <c r="G464" s="323"/>
      <c r="H464" s="323"/>
      <c r="I464" s="323"/>
      <c r="J464" s="323"/>
      <c r="K464" s="323"/>
      <c r="L464" s="313"/>
      <c r="M464" s="313"/>
      <c r="N464" s="313"/>
      <c r="O464" s="313"/>
      <c r="P464" s="313"/>
      <c r="Q464" s="313"/>
      <c r="R464" s="313"/>
      <c r="S464" s="313"/>
      <c r="T464" s="313"/>
      <c r="U464" s="313"/>
      <c r="V464" s="313"/>
      <c r="W464" s="313"/>
      <c r="X464" s="313"/>
      <c r="Y464" s="313"/>
      <c r="Z464" s="313"/>
      <c r="AA464" s="313"/>
      <c r="AB464" s="313"/>
      <c r="AC464" s="313"/>
      <c r="AD464" s="313"/>
      <c r="AE464" s="313"/>
      <c r="AF464" s="313"/>
      <c r="AG464" s="313"/>
    </row>
    <row r="465" spans="1:33">
      <c r="A465" s="313"/>
      <c r="B465" s="313"/>
      <c r="C465" s="313"/>
      <c r="D465" s="313"/>
      <c r="E465" s="313"/>
      <c r="F465" s="313"/>
      <c r="G465" s="323"/>
      <c r="H465" s="323"/>
      <c r="I465" s="323"/>
      <c r="J465" s="323"/>
      <c r="K465" s="323"/>
      <c r="L465" s="313"/>
      <c r="M465" s="313"/>
      <c r="N465" s="313"/>
      <c r="O465" s="313"/>
      <c r="P465" s="313"/>
      <c r="Q465" s="313"/>
      <c r="R465" s="313"/>
      <c r="S465" s="313"/>
      <c r="T465" s="313"/>
      <c r="U465" s="313"/>
      <c r="V465" s="313"/>
      <c r="W465" s="313"/>
      <c r="X465" s="313"/>
      <c r="Y465" s="313"/>
      <c r="Z465" s="313"/>
      <c r="AA465" s="313"/>
      <c r="AB465" s="313"/>
      <c r="AC465" s="313"/>
      <c r="AD465" s="313"/>
      <c r="AE465" s="313"/>
      <c r="AF465" s="313"/>
      <c r="AG465" s="313"/>
    </row>
    <row r="466" spans="1:33">
      <c r="A466" s="313"/>
      <c r="B466" s="313"/>
      <c r="C466" s="313"/>
      <c r="D466" s="313"/>
      <c r="E466" s="313"/>
      <c r="F466" s="313"/>
      <c r="G466" s="323"/>
      <c r="H466" s="323"/>
      <c r="I466" s="323"/>
      <c r="J466" s="323"/>
      <c r="K466" s="323"/>
      <c r="L466" s="313"/>
      <c r="M466" s="313"/>
      <c r="N466" s="313"/>
      <c r="O466" s="313"/>
      <c r="P466" s="313"/>
      <c r="Q466" s="313"/>
      <c r="R466" s="313"/>
      <c r="S466" s="313"/>
      <c r="T466" s="313"/>
      <c r="U466" s="313"/>
      <c r="V466" s="313"/>
      <c r="W466" s="313"/>
      <c r="X466" s="313"/>
      <c r="Y466" s="313"/>
      <c r="Z466" s="313"/>
      <c r="AA466" s="313"/>
      <c r="AB466" s="313"/>
      <c r="AC466" s="313"/>
      <c r="AD466" s="313"/>
      <c r="AE466" s="313"/>
      <c r="AF466" s="313"/>
      <c r="AG466" s="313"/>
    </row>
    <row r="467" spans="1:33">
      <c r="A467" s="313"/>
      <c r="B467" s="313"/>
      <c r="C467" s="313"/>
      <c r="D467" s="313"/>
      <c r="E467" s="313"/>
      <c r="F467" s="313"/>
      <c r="G467" s="323"/>
      <c r="H467" s="323"/>
      <c r="I467" s="323"/>
      <c r="J467" s="323"/>
      <c r="K467" s="323"/>
      <c r="L467" s="313"/>
      <c r="M467" s="313"/>
      <c r="N467" s="313"/>
      <c r="O467" s="313"/>
      <c r="P467" s="313"/>
      <c r="Q467" s="313"/>
      <c r="R467" s="313"/>
      <c r="S467" s="313"/>
      <c r="T467" s="313"/>
      <c r="U467" s="313"/>
      <c r="V467" s="313"/>
      <c r="W467" s="313"/>
      <c r="X467" s="313"/>
      <c r="Y467" s="313"/>
      <c r="Z467" s="313"/>
      <c r="AA467" s="313"/>
      <c r="AB467" s="313"/>
      <c r="AC467" s="313"/>
      <c r="AD467" s="313"/>
      <c r="AE467" s="313"/>
      <c r="AF467" s="313"/>
      <c r="AG467" s="313"/>
    </row>
    <row r="468" spans="1:33">
      <c r="A468" s="313"/>
      <c r="B468" s="313"/>
      <c r="C468" s="313"/>
      <c r="D468" s="313"/>
      <c r="E468" s="313"/>
      <c r="F468" s="313"/>
      <c r="G468" s="323"/>
      <c r="H468" s="323"/>
      <c r="I468" s="323"/>
      <c r="J468" s="323"/>
      <c r="K468" s="323"/>
      <c r="L468" s="313"/>
      <c r="M468" s="313"/>
      <c r="N468" s="313"/>
      <c r="O468" s="313"/>
      <c r="P468" s="313"/>
      <c r="Q468" s="313"/>
      <c r="R468" s="313"/>
      <c r="S468" s="313"/>
      <c r="T468" s="313"/>
      <c r="U468" s="313"/>
      <c r="V468" s="313"/>
      <c r="W468" s="313"/>
      <c r="X468" s="313"/>
      <c r="Y468" s="313"/>
      <c r="Z468" s="313"/>
      <c r="AA468" s="313"/>
      <c r="AB468" s="313"/>
      <c r="AC468" s="313"/>
      <c r="AD468" s="313"/>
      <c r="AE468" s="313"/>
      <c r="AF468" s="313"/>
      <c r="AG468" s="313"/>
    </row>
    <row r="469" spans="1:33">
      <c r="A469" s="313"/>
      <c r="B469" s="313"/>
      <c r="C469" s="313"/>
      <c r="D469" s="313"/>
      <c r="E469" s="313"/>
      <c r="F469" s="313"/>
      <c r="G469" s="323"/>
      <c r="H469" s="323"/>
      <c r="I469" s="323"/>
      <c r="J469" s="323"/>
      <c r="K469" s="323"/>
      <c r="L469" s="313"/>
      <c r="M469" s="313"/>
      <c r="N469" s="313"/>
      <c r="O469" s="313"/>
      <c r="P469" s="313"/>
      <c r="Q469" s="313"/>
      <c r="R469" s="313"/>
      <c r="S469" s="313"/>
      <c r="T469" s="313"/>
      <c r="U469" s="313"/>
      <c r="V469" s="313"/>
      <c r="W469" s="313"/>
      <c r="X469" s="313"/>
      <c r="Y469" s="313"/>
      <c r="Z469" s="313"/>
      <c r="AA469" s="313"/>
      <c r="AB469" s="313"/>
      <c r="AC469" s="313"/>
      <c r="AD469" s="313"/>
      <c r="AE469" s="313"/>
      <c r="AF469" s="313"/>
      <c r="AG469" s="313"/>
    </row>
    <row r="470" spans="1:33">
      <c r="A470" s="313"/>
      <c r="B470" s="313"/>
      <c r="C470" s="313"/>
      <c r="D470" s="313"/>
      <c r="E470" s="313"/>
      <c r="F470" s="313"/>
      <c r="G470" s="323"/>
      <c r="H470" s="323"/>
      <c r="I470" s="323"/>
      <c r="J470" s="323"/>
      <c r="K470" s="323"/>
      <c r="L470" s="313"/>
      <c r="M470" s="313"/>
      <c r="N470" s="313"/>
      <c r="O470" s="313"/>
      <c r="P470" s="313"/>
      <c r="Q470" s="313"/>
      <c r="R470" s="313"/>
      <c r="S470" s="313"/>
      <c r="T470" s="313"/>
      <c r="U470" s="313"/>
      <c r="V470" s="313"/>
      <c r="W470" s="313"/>
      <c r="X470" s="313"/>
      <c r="Y470" s="313"/>
      <c r="Z470" s="313"/>
      <c r="AA470" s="313"/>
      <c r="AB470" s="313"/>
      <c r="AC470" s="313"/>
      <c r="AD470" s="313"/>
      <c r="AE470" s="313"/>
      <c r="AF470" s="313"/>
      <c r="AG470" s="313"/>
    </row>
    <row r="471" spans="1:33">
      <c r="A471" s="313"/>
      <c r="B471" s="313"/>
      <c r="C471" s="313"/>
      <c r="D471" s="313"/>
      <c r="E471" s="313"/>
      <c r="F471" s="313"/>
      <c r="G471" s="323"/>
      <c r="H471" s="323"/>
      <c r="I471" s="323"/>
      <c r="J471" s="323"/>
      <c r="K471" s="323"/>
      <c r="L471" s="313"/>
      <c r="M471" s="313"/>
      <c r="N471" s="313"/>
      <c r="O471" s="313"/>
      <c r="P471" s="313"/>
      <c r="Q471" s="313"/>
      <c r="R471" s="313"/>
      <c r="S471" s="313"/>
      <c r="T471" s="313"/>
      <c r="U471" s="313"/>
      <c r="V471" s="313"/>
      <c r="W471" s="313"/>
      <c r="X471" s="313"/>
      <c r="Y471" s="313"/>
      <c r="Z471" s="313"/>
      <c r="AA471" s="313"/>
      <c r="AB471" s="313"/>
      <c r="AC471" s="313"/>
      <c r="AD471" s="313"/>
      <c r="AE471" s="313"/>
      <c r="AF471" s="313"/>
      <c r="AG471" s="313"/>
    </row>
    <row r="472" spans="1:33">
      <c r="A472" s="313"/>
      <c r="B472" s="313"/>
      <c r="C472" s="313"/>
      <c r="D472" s="313"/>
      <c r="E472" s="313"/>
      <c r="F472" s="313"/>
      <c r="G472" s="323"/>
      <c r="H472" s="323"/>
      <c r="I472" s="323"/>
      <c r="J472" s="323"/>
      <c r="K472" s="323"/>
      <c r="L472" s="313"/>
      <c r="M472" s="313"/>
      <c r="N472" s="313"/>
      <c r="O472" s="313"/>
      <c r="P472" s="313"/>
      <c r="Q472" s="313"/>
      <c r="R472" s="313"/>
      <c r="S472" s="313"/>
      <c r="T472" s="313"/>
      <c r="U472" s="313"/>
      <c r="V472" s="313"/>
      <c r="W472" s="313"/>
      <c r="X472" s="313"/>
      <c r="Y472" s="313"/>
      <c r="Z472" s="313"/>
      <c r="AA472" s="313"/>
      <c r="AB472" s="313"/>
      <c r="AC472" s="313"/>
      <c r="AD472" s="313"/>
      <c r="AE472" s="313"/>
      <c r="AF472" s="313"/>
      <c r="AG472" s="313"/>
    </row>
  </sheetData>
  <mergeCells count="2">
    <mergeCell ref="A1:G1"/>
    <mergeCell ref="A2:G2"/>
  </mergeCells>
  <pageMargins left="0.25" right="0.25" top="0.25" bottom="0.25" header="0.25" footer="0.25"/>
  <pageSetup scale="59" fitToHeight="0" orientation="portrait" r:id="rId1"/>
  <headerFooter alignWithMargins="0">
    <oddHeader>&amp;R&amp;A</oddHeader>
    <oddFooter>&amp;Rpage &amp;P of &amp;N</oddFooter>
  </headerFooter>
  <rowBreaks count="1" manualBreakCount="1">
    <brk id="7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EcmsOwner xmlns="2d309f40-9147-42c9-945b-bf0de5e50880" xsi:nil="true"/>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/_layouts/MISO/ECM/Download.aspx?ID=242325</DownloadURL>
    <CSClassNames_5 xmlns="dcd6a659-3023-4248-96c5-d463e9234dde" xsi:nil="true"/>
    <PermalinkID xmlns="a646eb38-62f8-42b4-b7d8-4e325c7d82c9">242325</PermalinkID>
    <CSClassID_1 xmlns="dcd6a659-3023-4248-96c5-d463e9234dde" xsi:nil="true"/>
    <PermalinkURL xmlns="a646eb38-62f8-42b4-b7d8-4e325c7d82c9">/_layouts/MISO/ECM/Redirect.aspx?ID=242325</PermalinkURL>
    <CSClassNames_6 xmlns="dcd6a659-3023-4248-96c5-d463e9234dde">;#FERC;#</CSClassNames_6>
    <CSClassNames_1 xmlns="dcd6a659-3023-4248-96c5-d463e9234dde" xsi:nil="true"/>
    <CSClassID_3 xmlns="dcd6a659-3023-4248-96c5-d463e9234dde">;#552;#544;#549;#494;#490;#</CSClassID_3>
    <CSClassID_2 xmlns="dcd6a659-3023-4248-96c5-d463e9234dde">;#313;#</CSClassID_2>
    <EcmsAuthor xmlns="2d309f40-9147-42c9-945b-bf0de5e50880" xsi:nil="true"/>
    <CSClassID_5 xmlns="dcd6a659-3023-4248-96c5-d463e9234dde" xsi:nil="true"/>
    <CSClassID_10 xmlns="dcd6a659-3023-4248-96c5-d463e9234dde">;#661;#654;#652;#660;#658;#</CSClassID_10>
    <CSClassID_4 xmlns="dcd6a659-3023-4248-96c5-d463e9234dde" xsi:nil="true"/>
    <CSClassNames_7 xmlns="dcd6a659-3023-4248-96c5-d463e9234dde" xsi:nil="true"/>
    <CSClassID_7 xmlns="dcd6a659-3023-4248-96c5-d463e9234dde" xsi:nil="true"/>
    <CSClassNames_2 xmlns="dcd6a659-3023-4248-96c5-d463e9234dde">;#Pages;#</CSClassNames_2>
    <CSClassNames_8 xmlns="dcd6a659-3023-4248-96c5-d463e9234dde">;#Reports;#Regulatory;#</CSClassNames_8>
    <CSClassID_6 xmlns="dcd6a659-3023-4248-96c5-d463e9234dde">;#434;#</CSClassID_6>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;#666;#</CSClassID_11>
    <MISO_x0020_Description_x0020_Enhanced xmlns="dcd6a659-3023-4248-96c5-d463e9234dde" xsi:nil="true"/>
    <CSClassID_8 xmlns="dcd6a659-3023-4248-96c5-d463e9234dde">;#448;#445;#</CSClassID_8>
    <CSClassificationMetaXML xmlns="http://schemas.microsoft.com/sharepoint/v3">8331dd7f-4b93-4cbf-8a86-46f8e4c871ec;2017-02-07 21:35:54;AUTOCLASSIFIED;7:2017-02-07 21:35:54|False||AUTOCLASSIFIED|2017-02-07 21:35:54;5:2017-02-07 21:35:54|False||AUTOCLASSIFIED|2017-02-07 21:35:54;6:2017-02-07 21:35:54|False||AUTOCLASSIFIED|2017-02-07 21:35:54;10:2017-02-07 21:35:54|False||AUTOCLASSIFIED|2017-02-07 21:35:54;12:2017-02-07 21:35:54|False||AUTOCLASSIFIED|2017-02-07 21:35:54;9:2017-02-07 21:35:54|False||AUTOCLASSIFIED|2017-02-07 21:35:54;1:2017-02-07 21:35:54|False||AUTOCLASSIFIED|2017-02-07 21:35:54;3:2017-02-07 21:35:54|False||AUTOCLASSIFIED|2017-02-07 21:35:54;4:2017-02-07 21:35:54|False||AUTOCLASSIFIED|2017-02-07 21:35:54;2:2017-02-07 21:35:54|False||AUTOCLASSIFIED|2017-02-07 21:35:54;11:2017-02-07 21:35:54|False||AUTOCLASSIFIED|2017-02-07 21:35:54;8:2017-02-07 21:35:54|False||AUTOCLASSIFIED|2017-02-07 21:35:54;</CSClassificationMetaXML>
    <EcmsContentID xmlns="2d309f40-9147-42c9-945b-bf0de5e50880" xsi:nil="true"/>
    <CSClassNames_10 xmlns="dcd6a659-3023-4248-96c5-d463e9234dde">;#Rates &amp; Pricing;#Reports;#Agreements;#Orders;#Studies;#</CSClassNames_10>
    <CSClassNames_9 xmlns="dcd6a659-3023-4248-96c5-d463e9234dde" xsi:nil="true"/>
    <CSClassNames_3 xmlns="dcd6a659-3023-4248-96c5-d463e9234dde">;#Historical;#Credit;#Tariff;#Forms;#Tariff;#</CSClassNames_3>
    <CSClassNames_11 xmlns="dcd6a659-3023-4248-96c5-d463e9234dde">;#Excel Document (xls);#</CSClassNames_11>
    <TransOwner xmlns="dcd6a659-3023-4248-96c5-d463e9234dde">City of Rochester, A Minnesota Municipal Corp.</TransOwner>
    <PostedDate xmlns="dcd6a659-3023-4248-96c5-d463e9234dde">2017-01-19T19:00:00+00:00</PostedDate>
    <RateYear xmlns="dcd6a659-3023-4248-96c5-d463e9234dde">2017</RateYear>
  </documentManagement>
</p:properties>
</file>

<file path=customXml/item2.xml><?xml version="1.0" encoding="utf-8"?>
<ct:contentTypeSchema xmlns:ct="http://schemas.microsoft.com/office/2006/metadata/contentType" xmlns:ma="http://schemas.microsoft.com/office/2006/metadata/properties/metaAttributes" ct:_="" ma:_="" ma:contentTypeName="Attachment O Material" ma:contentTypeID="0x0101005BA905F16C0C2D48BF07586946E81D1C1100D2AB7E340F48FF48B2EC11BD89C18B0C" ma:contentTypeVersion="7" ma:contentTypeDescription="" ma:contentTypeScope="" ma:versionID="685b2346fd9ded5372ad08f3d0c2988c">
  <xsd:schema xmlns:xsd="http://www.w3.org/2001/XMLSchema" xmlns:p="http://schemas.microsoft.com/office/2006/metadata/properties" xmlns:ns1="http://schemas.microsoft.com/sharepoint/v3" xmlns:ns2="dcd6a659-3023-4248-96c5-d463e9234dde" xmlns:ns3="a646eb38-62f8-42b4-b7d8-4e325c7d82c9" xmlns:ns4="2d309f40-9147-42c9-945b-bf0de5e50880" targetNamespace="http://schemas.microsoft.com/office/2006/metadata/properties" ma:root="true" ma:fieldsID="224cb004f27941aa76da582a7bd88dcb" ns1:_="" ns2:_="" ns3:_="" ns4:_="">
    <xsd:import namespace="http://schemas.microsoft.com/sharepoint/v3"/>
    <xsd:import namespace="dcd6a659-3023-4248-96c5-d463e9234dde"/>
    <xsd:import namespace="a646eb38-62f8-42b4-b7d8-4e325c7d82c9"/>
    <xsd:import namespace="2d309f40-9147-42c9-945b-bf0de5e50880"/>
    <xsd:element name="properties">
      <xsd:complexType>
        <xsd:sequence>
          <xsd:element name="documentManagement">
            <xsd:complexType>
              <xsd:all>
                <xsd:element ref="ns2:TransOwner"/>
                <xsd:element ref="ns2:PostedDate"/>
                <xsd:element ref="ns2:RateYear" minOccurs="0"/>
                <xsd:element ref="ns3:PermalinkURL" minOccurs="0"/>
                <xsd:element ref="ns3:DownloadURL" minOccurs="0"/>
                <xsd:element ref="ns3:PermalinkID" minOccurs="0"/>
                <xsd:element ref="ns4:ReferenceLocations" minOccurs="0"/>
                <xsd:element ref="ns4:EcmsContentID" minOccurs="0"/>
                <xsd:element ref="ns4:EcmsDocType" minOccurs="0"/>
                <xsd:element ref="ns4:EcmsDocSubType" minOccurs="0"/>
                <xsd:element ref="ns4:EcmsAuthor" minOccurs="0"/>
                <xsd:element ref="ns4:EcmsCreateDate" minOccurs="0"/>
                <xsd:element ref="ns4:EcmsOwner" minOccurs="0"/>
                <xsd:element ref="ns4:EcmsReleaseDate" minOccurs="0"/>
                <xsd:element ref="ns2:CSClassNames_7" minOccurs="0"/>
                <xsd:element ref="ns2:CSClassID_7" minOccurs="0"/>
                <xsd:element ref="ns2:CSClassNames_5" minOccurs="0"/>
                <xsd:element ref="ns2:CSClassID_5" minOccurs="0"/>
                <xsd:element ref="ns2:CSClassNames_6" minOccurs="0"/>
                <xsd:element ref="ns2:CSClassID_6" minOccurs="0"/>
                <xsd:element ref="ns2:CSClassNames_10" minOccurs="0"/>
                <xsd:element ref="ns2:CSClassID_10" minOccurs="0"/>
                <xsd:element ref="ns2:CSClassNames_12" minOccurs="0"/>
                <xsd:element ref="ns2:CSClassID_12" minOccurs="0"/>
                <xsd:element ref="ns2:CSClassNames_9" minOccurs="0"/>
                <xsd:element ref="ns2:CSClassID_9" minOccurs="0"/>
                <xsd:element ref="ns2:CSClassNames_1" minOccurs="0"/>
                <xsd:element ref="ns2:CSClassID_1" minOccurs="0"/>
                <xsd:element ref="ns2:CSClassNames_3" minOccurs="0"/>
                <xsd:element ref="ns2:CSClassID_3" minOccurs="0"/>
                <xsd:element ref="ns2:CSClassNames_4" minOccurs="0"/>
                <xsd:element ref="ns2:CSClassID_4" minOccurs="0"/>
                <xsd:element ref="ns2:CSClassNames_2" minOccurs="0"/>
                <xsd:element ref="ns2:CSClassID_2" minOccurs="0"/>
                <xsd:element ref="ns2:CSClassNames_11" minOccurs="0"/>
                <xsd:element ref="ns2:CSClassID_11" minOccurs="0"/>
                <xsd:element ref="ns2:CSClassNames_8" minOccurs="0"/>
                <xsd:element ref="ns2:CSClassID_8" minOccurs="0"/>
                <xsd:element ref="ns1:CSClassificationMetaXML" minOccurs="0"/>
                <xsd:element ref="ns2:MISO_x0020_Description" minOccurs="0"/>
                <xsd:element ref="ns2: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0" nillable="true" ma:displayName="Classification Date" ma:internalName="CSClassificationMetaXML" ma:readOnly="false">
      <xsd:simpleType>
        <xsd:restriction base="dms:Unknown"/>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TransOwner" ma:index="2" ma:displayName="Transmission_Owner" ma:format="Dropdown" ma:internalName="TransOwner" ma:readOnly="false">
      <xsd:simpleType>
        <xsd:restriction base="dms:Choice">
          <xsd:enumeration value="Allete, Inc. dba Minnesota Power (MP) (and its subsidiary Superior Water, L&amp;P)"/>
          <xsd:enumeration value="ALP Utilities"/>
          <xsd:enumeration value="Ameren Illinois Company (AIC)"/>
          <xsd:enumeration value="Ameren Missouri (AMMO)"/>
          <xsd:enumeration value="Ameren Transmission Company of Illinois (ATXI)"/>
          <xsd:enumeration value="American Transmission Company LLC (ATC)"/>
          <xsd:enumeration value="Arkansas Electric Cooperative Corporation (AECC)"/>
          <xsd:enumeration value="Atlantic Municipal Utilities (AMU)"/>
          <xsd:enumeration value="Benson Municipal Utilities (BMU)"/>
          <xsd:enumeration value="Big Rivers Electric Corporation (BREC)"/>
          <xsd:enumeration value="Blue Earth Board of Public Works (Blue Earth)"/>
          <xsd:enumeration value="Cedar Falls Utilities (CFU)"/>
          <xsd:enumeration value="Central Iowa Power Cooperative (CIPCO)"/>
          <xsd:enumeration value="Central Minnesota Municipal Power Agency (CMMPA)"/>
          <xsd:enumeration value="City of Alexandria, Louisiana"/>
          <xsd:enumeration value="City of Ames (AMES)"/>
          <xsd:enumeration value="City of Columbia, MO (CWLD)"/>
          <xsd:enumeration value="City of Eldridge (Eldridge)"/>
          <xsd:enumeration value="City of Mountain Lake (Mountain Lake)"/>
          <xsd:enumeration value="City of Rochester, A Minnesota Municipal Corp."/>
          <xsd:enumeration value="City of Pella Electric Department (Pella)"/>
          <xsd:enumeration value="City of Windom (Windom)"/>
          <xsd:enumeration value="City Water, Light &amp; Power  - Springfield, IL (CWLP)"/>
          <xsd:enumeration value="Cleco Power LLC (CLEC)"/>
          <xsd:enumeration value="Consumers Energy Company (CONS)"/>
          <xsd:enumeration value="Cooperative Energy"/>
          <xsd:enumeration value="Dairyland Power Cooperative (DPC)"/>
          <xsd:enumeration value="Delano Water, Light and Power Commission (Delano)"/>
          <xsd:enumeration value="Detroit Lakes Public Utilities (DLPU)"/>
          <xsd:enumeration value="Dixie Electric Membership Corporation (DEMCO)"/>
          <xsd:enumeration value="Duke Energy Business Services, LLC for Duke Energy Indiana, Inc. (DEI)"/>
          <xsd:enumeration value="Elk River Municipal Utilities (Elk River)"/>
          <xsd:enumeration value="Entergy Arkansas, Inc. (EATO)"/>
          <xsd:enumeration value="Entergy Gulf States Louisiana, LLC (EGSL)"/>
          <xsd:enumeration value="Entergy Louisiana, LLC (ELTO)"/>
          <xsd:enumeration value="Entergy Mississippi, Inc. (EMTO)"/>
          <xsd:enumeration value="Entergy New Orleans, Inc. (ENO)"/>
          <xsd:enumeration value="Entergy Texas, Inc. (ETTO)"/>
          <xsd:enumeration value="ETEC – East Texas Electric Cooperative"/>
          <xsd:enumeration value="ETEC – Deep East Texas Electric Cooperative, Inc."/>
          <xsd:enumeration value="ETEC – Jasper – Newton Electric Cooperative"/>
          <xsd:enumeration value="ETEC – Sam Houston Electric Cooperative"/>
          <xsd:enumeration value="ETEC – Tex-La Electric Cooperative of Texas, Inc."/>
          <xsd:enumeration value="Glencoe Light &amp; Power Commission (Glencoe)"/>
          <xsd:enumeration value="Grand Haven Board of Light &amp; Power (Grand Haven)"/>
          <xsd:enumeration value="Great River Energy (GRE)"/>
          <xsd:enumeration value="Harvest Wind Farm LLC"/>
          <xsd:enumeration value="Hoosier Energy Rural Electric Cooperative, Inc. (HE)"/>
          <xsd:enumeration value="Hutchinson Utilities Commission (HUC)"/>
          <xsd:enumeration value="Indiana Municipal Power Agency (IMPA)"/>
          <xsd:enumeration value="Indianapolis Power &amp; Light Company (IPL)"/>
          <xsd:enumeration value="Indianola Municipal Utilities (IMU)"/>
          <xsd:enumeration value="International Transmission Company d/b/a ITCTransmission (ITC)"/>
          <xsd:enumeration value="Iowa Public Power Agency (IPPA)"/>
          <xsd:enumeration value="ITC Midwest LLC (ITCM)"/>
          <xsd:enumeration value="Lafayette City-Parish Consolidated Government (LAFA)"/>
          <xsd:enumeration value="Marshall Municipal Utilities (Marshall)"/>
          <xsd:enumeration value="Michigan Electric Transmission Company, LLC (METC)"/>
          <xsd:enumeration value="Michigan Public Power Agency (MPPA)"/>
          <xsd:enumeration value="MidAmerican Energy Company (MEC)"/>
          <xsd:enumeration value="Minnesota Municipal Power Agency (MMPA)"/>
          <xsd:enumeration value="Missouri Rivers Energy Services (MRES)"/>
          <xsd:enumeration value="Montana-Dakota Utilities Co. (MDU)"/>
          <xsd:enumeration value="Montezuma Municipal  Light &amp; Power (Montezuma)"/>
          <xsd:enumeration value="Municipal Electric Utility of Cedar Falls, Iowa"/>
          <xsd:enumeration value="Municipal Energy Agency of Nebraska (MEAN)"/>
          <xsd:enumeration value="Muscatine Power and Water (MPW)"/>
          <xsd:enumeration value="Northern Indiana Public Service Company (NIPS)"/>
          <xsd:enumeration value="Northwestern Wisconsin Electric Company (NWEC)"/>
          <xsd:enumeration value="NSP Companies (NSP)"/>
          <xsd:enumeration value="Otter Tail Power Company (OTP)"/>
          <xsd:enumeration value="Prairie Power, Inc. (PPI)"/>
          <xsd:enumeration value="Southern Illinois Power Cooperative (SIPC)"/>
          <xsd:enumeration value="Southern Minnesota Municipal Power Agency (SMMPA)"/>
          <xsd:enumeration value="Tipton Municipal Utilities (Tipton)"/>
          <xsd:enumeration value="Traverse City Light &amp; Power (Traverse City)"/>
          <xsd:enumeration value="Vectren Energy (SIGE)"/>
          <xsd:enumeration value="Wabash Valley Power Association (WVPA)"/>
          <xsd:enumeration value="Waverly Light and Power (WLP)"/>
          <xsd:enumeration value="Willmar Municipal Utilities (WMU)"/>
          <xsd:enumeration value="Wolverine Power Supply Cooperative Inc.  (WOLV)"/>
          <xsd:enumeration value="Worthington Public Utilities (WPU)"/>
          <xsd:enumeration value="WPPI Energy (WPPI)"/>
          <xsd:enumeration value="Zeeland Board of Public Works (Zeeland)"/>
        </xsd:restriction>
      </xsd:simpleType>
    </xsd:element>
    <xsd:element name="PostedDate" ma:index="3" ma:displayName="Posted Date" ma:default="[today]" ma:format="DateTime" ma:internalName="PostedDate">
      <xsd:simpleType>
        <xsd:restriction base="dms:DateTime"/>
      </xsd:simpleType>
    </xsd:element>
    <xsd:element name="RateYear" ma:index="4" nillable="true" ma:displayName="Rate Year" ma:format="Dropdown" ma:internalName="RateYear" ma:readOnly="false">
      <xsd:simpleType>
        <xsd:restriction base="dms:Choice">
          <xsd:enumeration value="2018"/>
          <xsd:enumeration value="2017"/>
          <xsd:enumeration value="2016"/>
          <xsd:enumeration value="2015"/>
          <xsd:enumeration value="2014"/>
        </xsd:restriction>
      </xsd:simpleType>
    </xsd:element>
    <xsd:element name="CSClassNames_7" ma:index="16" nillable="true" ma:displayName="RTOs" ma:internalName="CSClassNames_7" ma:readOnly="false">
      <xsd:simpleType>
        <xsd:restriction base="dms:Unknown"/>
      </xsd:simpleType>
    </xsd:element>
    <xsd:element name="CSClassID_7" ma:index="17" nillable="true" ma:displayName="CSClassID_7" ma:internalName="CSClassID_7" ma:readOnly="false">
      <xsd:simpleType>
        <xsd:restriction base="dms:Unknown"/>
      </xsd:simpleType>
    </xsd:element>
    <xsd:element name="CSClassNames_5" ma:index="18" nillable="true" ma:displayName="Operations" ma:internalName="CSClassNames_5" ma:readOnly="false">
      <xsd:simpleType>
        <xsd:restriction base="dms:Unknown"/>
      </xsd:simpleType>
    </xsd:element>
    <xsd:element name="CSClassID_5" ma:index="19" nillable="true" ma:displayName="CSClassID_5" ma:internalName="CSClassID_5" ma:readOnly="false">
      <xsd:simpleType>
        <xsd:restriction base="dms:Unknown"/>
      </xsd:simpleType>
    </xsd:element>
    <xsd:element name="CSClassNames_6" ma:index="20" nillable="true" ma:displayName="Organization" ma:internalName="CSClassNames_6" ma:readOnly="false">
      <xsd:simpleType>
        <xsd:restriction base="dms:Unknown"/>
      </xsd:simpleType>
    </xsd:element>
    <xsd:element name="CSClassID_6" ma:index="21" nillable="true" ma:displayName="CSClassID_6" ma:internalName="CSClassID_6" ma:readOnly="false">
      <xsd:simpleType>
        <xsd:restriction base="dms:Unknown"/>
      </xsd:simpleType>
    </xsd:element>
    <xsd:element name="CSClassNames_10" ma:index="22" nillable="true" ma:displayName="Content Type" ma:internalName="CSClassNames_10" ma:readOnly="false">
      <xsd:simpleType>
        <xsd:restriction base="dms:Unknown"/>
      </xsd:simpleType>
    </xsd:element>
    <xsd:element name="CSClassID_10" ma:index="23" nillable="true" ma:displayName="CSClassID_10" ma:internalName="CSClassID_10" ma:readOnly="false">
      <xsd:simpleType>
        <xsd:restriction base="dms:Unknown"/>
      </xsd:simpleType>
    </xsd:element>
    <xsd:element name="CSClassNames_12" ma:index="24" nillable="true" ma:displayName="Committee" ma:internalName="CSClassNames_12" ma:readOnly="false">
      <xsd:simpleType>
        <xsd:restriction base="dms:Unknown"/>
      </xsd:simpleType>
    </xsd:element>
    <xsd:element name="CSClassID_12" ma:index="25" nillable="true" ma:displayName="CSClassID_12" ma:internalName="CSClassID_12" ma:readOnly="false">
      <xsd:simpleType>
        <xsd:restriction base="dms:Unknown"/>
      </xsd:simpleType>
    </xsd:element>
    <xsd:element name="CSClassNames_9" ma:index="26" nillable="true" ma:displayName="Energy and Financial Trading" ma:internalName="CSClassNames_9" ma:readOnly="false">
      <xsd:simpleType>
        <xsd:restriction base="dms:Unknown"/>
      </xsd:simpleType>
    </xsd:element>
    <xsd:element name="CSClassID_9" ma:index="27" nillable="true" ma:displayName="CSClassID_9" ma:internalName="CSClassID_9" ma:readOnly="false">
      <xsd:simpleType>
        <xsd:restriction base="dms:Unknown"/>
      </xsd:simpleType>
    </xsd:element>
    <xsd:element name="CSClassNames_1" ma:index="28" nillable="true" ma:displayName="IPSV v2" ma:internalName="CSClassNames_1" ma:readOnly="false">
      <xsd:simpleType>
        <xsd:restriction base="dms:Unknown"/>
      </xsd:simpleType>
    </xsd:element>
    <xsd:element name="CSClassID_1" ma:index="29" nillable="true" ma:displayName="CSClassID_1" ma:internalName="CSClassID_1" ma:readOnly="false">
      <xsd:simpleType>
        <xsd:restriction base="dms:Unknown"/>
      </xsd:simpleType>
    </xsd:element>
    <xsd:element name="CSClassNames_3" ma:index="30" nillable="true" ma:displayName="MidwestISO" ma:internalName="CSClassNames_3" ma:readOnly="false">
      <xsd:simpleType>
        <xsd:restriction base="dms:Unknown"/>
      </xsd:simpleType>
    </xsd:element>
    <xsd:element name="CSClassID_3" ma:index="31" nillable="true" ma:displayName="CSClassID_3" ma:internalName="CSClassID_3" ma:readOnly="false">
      <xsd:simpleType>
        <xsd:restriction base="dms:Unknown"/>
      </xsd:simpleType>
    </xsd:element>
    <xsd:element name="CSClassNames_4" ma:index="32" nillable="true" ma:displayName="Geographic Region" ma:internalName="CSClassNames_4" ma:readOnly="false">
      <xsd:simpleType>
        <xsd:restriction base="dms:Unknown"/>
      </xsd:simpleType>
    </xsd:element>
    <xsd:element name="CSClassID_4" ma:index="33" nillable="true" ma:displayName="CSClassID_4" ma:internalName="CSClassID_4" ma:readOnly="false">
      <xsd:simpleType>
        <xsd:restriction base="dms:Unknown"/>
      </xsd:simpleType>
    </xsd:element>
    <xsd:element name="CSClassNames_2" ma:index="34" nillable="true" ma:displayName="MISO-Web" ma:internalName="CSClassNames_2" ma:readOnly="false">
      <xsd:simpleType>
        <xsd:restriction base="dms:Unknown"/>
      </xsd:simpleType>
    </xsd:element>
    <xsd:element name="CSClassID_2" ma:index="35" nillable="true" ma:displayName="CSClassID_2" ma:internalName="CSClassID_2" ma:readOnly="false">
      <xsd:simpleType>
        <xsd:restriction base="dms:Unknown"/>
      </xsd:simpleType>
    </xsd:element>
    <xsd:element name="CSClassNames_11" ma:index="36" nillable="true" ma:displayName="File Type" ma:internalName="CSClassNames_11" ma:readOnly="false">
      <xsd:simpleType>
        <xsd:restriction base="dms:Unknown"/>
      </xsd:simpleType>
    </xsd:element>
    <xsd:element name="CSClassID_11" ma:index="37" nillable="true" ma:displayName="CSClassID_11" ma:internalName="CSClassID_11" ma:readOnly="false">
      <xsd:simpleType>
        <xsd:restriction base="dms:Unknown"/>
      </xsd:simpleType>
    </xsd:element>
    <xsd:element name="CSClassNames_8" ma:index="38" nillable="true" ma:displayName="Data Type" ma:internalName="CSClassNames_8" ma:readOnly="false">
      <xsd:simpleType>
        <xsd:restriction base="dms:Unknown"/>
      </xsd:simpleType>
    </xsd:element>
    <xsd:element name="CSClassID_8" ma:index="39" nillable="true" ma:displayName="CSClassID_8" ma:internalName="CSClassID_8" ma:readOnly="false">
      <xsd:simpleType>
        <xsd:restriction base="dms:Unknown"/>
      </xsd:simpleType>
    </xsd:element>
    <xsd:element name="MISO_x0020_Description" ma:index="41" nillable="true" ma:displayName="MISO Description" ma:hidden="true" ma:internalName="MISO_x0020_Description" ma:readOnly="false">
      <xsd:simpleType>
        <xsd:restriction base="dms:Note"/>
      </xsd:simpleType>
    </xsd:element>
    <xsd:element name="MISO_x0020_Description_x0020_Enhanced" ma:index="42" nillable="true" ma:displayName="MISO Description Enhanced" ma:hidden="true" ma:internalName="MISO_x0020_Description_x0020_Enhanced"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5" nillable="true" ma:displayName="PermalinkURL" ma:description="PermalinkURL" ma:internalName="PermalinkURL">
      <xsd:simpleType>
        <xsd:restriction base="dms:Note"/>
      </xsd:simpleType>
    </xsd:element>
    <xsd:element name="DownloadURL" ma:index="6" nillable="true" ma:displayName="DownloadURL" ma:description="DownloadURL" ma:internalName="DownloadURL" ma:readOnly="false">
      <xsd:simpleType>
        <xsd:restriction base="dms:Note"/>
      </xsd:simpleType>
    </xsd:element>
    <xsd:element name="PermalinkID" ma:index="7"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8" nillable="true" ma:displayName="ReferenceLocations" ma:description="ReferenceLocations" ma:internalName="ReferenceLocations" ma:readOnly="false">
      <xsd:simpleType>
        <xsd:restriction base="dms:Note"/>
      </xsd:simpleType>
    </xsd:element>
    <xsd:element name="EcmsContentID" ma:index="9" nillable="true" ma:displayName="EcmsContentID" ma:description="EcmsContentID" ma:internalName="EcmsContentID">
      <xsd:simpleType>
        <xsd:restriction base="dms:Text">
          <xsd:maxLength value="255"/>
        </xsd:restriction>
      </xsd:simpleType>
    </xsd:element>
    <xsd:element name="EcmsDocType" ma:index="10" nillable="true" ma:displayName="EcmsDocType" ma:description="EcmsDocType" ma:internalName="EcmsDocType">
      <xsd:simpleType>
        <xsd:restriction base="dms:Text">
          <xsd:maxLength value="255"/>
        </xsd:restriction>
      </xsd:simpleType>
    </xsd:element>
    <xsd:element name="EcmsDocSubType" ma:index="11" nillable="true" ma:displayName="EcmsDocSubType" ma:description="EcmsDocSubType" ma:internalName="EcmsDocSubType">
      <xsd:simpleType>
        <xsd:restriction base="dms:Text">
          <xsd:maxLength value="255"/>
        </xsd:restriction>
      </xsd:simpleType>
    </xsd:element>
    <xsd:element name="EcmsAuthor" ma:index="12" nillable="true" ma:displayName="EcmsAuthor" ma:description="EcmsAuthor" ma:internalName="EcmsAuthor">
      <xsd:simpleType>
        <xsd:restriction base="dms:Text">
          <xsd:maxLength value="255"/>
        </xsd:restriction>
      </xsd:simpleType>
    </xsd:element>
    <xsd:element name="EcmsCreateDate" ma:index="13" nillable="true" ma:displayName="EcmsCreateDate" ma:description="EcmsCreateDate" ma:format="DateTime" ma:internalName="EcmsCreateDate">
      <xsd:simpleType>
        <xsd:restriction base="dms:DateTime"/>
      </xsd:simpleType>
    </xsd:element>
    <xsd:element name="EcmsOwner" ma:index="14" nillable="true" ma:displayName="EcmsOwner" ma:description="EcmsOwner" ma:internalName="EcmsOwner">
      <xsd:simpleType>
        <xsd:restriction base="dms:Text">
          <xsd:maxLength value="255"/>
        </xsd:restriction>
      </xsd:simpleType>
    </xsd:element>
    <xsd:element name="EcmsReleaseDate" ma:index="15" nillable="true" ma:displayName="EcmsReleaseDate" ma:description="EcmsReleaseDate" ma:format="DateTime" ma:internalName="Ecms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6"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10003</Type>
    <SequenceNumber>10000</SequenceNumber>
    <Assembly>MISO.IR.SubscriptionAlerts, Version=1.0.0.0, Culture=neutral, PublicKeyToken=d833d45c4ac1e7b1</Assembly>
    <Class>MISO.IR.SubscriptionAlerts.ItemUpdatedSubscriptionHandler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D7162-CA06-4E6F-8198-7D62221218ED}">
  <ds:schemaRefs>
    <ds:schemaRef ds:uri="http://www.w3.org/XML/1998/namespace"/>
    <ds:schemaRef ds:uri="http://schemas.microsoft.com/office/2006/metadata/properties"/>
    <ds:schemaRef ds:uri="http://purl.org/dc/elements/1.1/"/>
    <ds:schemaRef ds:uri="http://purl.org/dc/terms/"/>
    <ds:schemaRef ds:uri="2d309f40-9147-42c9-945b-bf0de5e50880"/>
    <ds:schemaRef ds:uri="http://schemas.microsoft.com/office/2006/documentManagement/types"/>
    <ds:schemaRef ds:uri="http://purl.org/dc/dcmitype/"/>
    <ds:schemaRef ds:uri="http://schemas.openxmlformats.org/package/2006/metadata/core-properties"/>
    <ds:schemaRef ds:uri="a646eb38-62f8-42b4-b7d8-4e325c7d82c9"/>
    <ds:schemaRef ds:uri="dcd6a659-3023-4248-96c5-d463e9234dde"/>
    <ds:schemaRef ds:uri="http://schemas.microsoft.com/sharepoint/v3"/>
  </ds:schemaRefs>
</ds:datastoreItem>
</file>

<file path=customXml/itemProps2.xml><?xml version="1.0" encoding="utf-8"?>
<ds:datastoreItem xmlns:ds="http://schemas.openxmlformats.org/officeDocument/2006/customXml" ds:itemID="{6604DB8D-CA34-4C04-BF45-9C878276F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6a659-3023-4248-96c5-d463e9234dde"/>
    <ds:schemaRef ds:uri="a646eb38-62f8-42b4-b7d8-4e325c7d82c9"/>
    <ds:schemaRef ds:uri="2d309f40-9147-42c9-945b-bf0de5e5088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84F097-6147-46F6-8B5D-205BFF5B5B1F}">
  <ds:schemaRefs>
    <ds:schemaRef ds:uri="http://schemas.microsoft.com/sharepoint/events"/>
  </ds:schemaRefs>
</ds:datastoreItem>
</file>

<file path=customXml/itemProps4.xml><?xml version="1.0" encoding="utf-8"?>
<ds:datastoreItem xmlns:ds="http://schemas.openxmlformats.org/officeDocument/2006/customXml" ds:itemID="{2EC3EB27-CE4E-4E60-B4CB-FDE228AEF9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9</vt:i4>
      </vt:variant>
    </vt:vector>
  </HeadingPairs>
  <TitlesOfParts>
    <vt:vector size="30" baseType="lpstr">
      <vt:lpstr>Nonlevelized-EIA 412</vt:lpstr>
      <vt:lpstr>True-up</vt:lpstr>
      <vt:lpstr>Balance sheet</vt:lpstr>
      <vt:lpstr>Income Statement</vt:lpstr>
      <vt:lpstr>Electric Plant</vt:lpstr>
      <vt:lpstr>Taxes</vt:lpstr>
      <vt:lpstr>Op &amp; Maint</vt:lpstr>
      <vt:lpstr>Attachment O, page 1</vt:lpstr>
      <vt:lpstr>Plant and Depre</vt:lpstr>
      <vt:lpstr>Land for future use</vt:lpstr>
      <vt:lpstr>Mat &amp; Supplies</vt:lpstr>
      <vt:lpstr>Pre Payments</vt:lpstr>
      <vt:lpstr>Transmission O&amp;M</vt:lpstr>
      <vt:lpstr>Admin &amp; General</vt:lpstr>
      <vt:lpstr>FERC Fees</vt:lpstr>
      <vt:lpstr>Taxes other than inc tax</vt:lpstr>
      <vt:lpstr>EPRI Reg Comm Non Safety</vt:lpstr>
      <vt:lpstr>Wages &amp; Salaries</vt:lpstr>
      <vt:lpstr>Debt Detail</vt:lpstr>
      <vt:lpstr>Account 454</vt:lpstr>
      <vt:lpstr>Account 456.1</vt:lpstr>
      <vt:lpstr>'Attachment O, page 1'!Print_Area</vt:lpstr>
      <vt:lpstr>'EPRI Reg Comm Non Safety'!Print_Area</vt:lpstr>
      <vt:lpstr>'FERC Fees'!Print_Area</vt:lpstr>
      <vt:lpstr>'Income Statement'!Print_Area</vt:lpstr>
      <vt:lpstr>'Land for future use'!Print_Area</vt:lpstr>
      <vt:lpstr>'Nonlevelized-EIA 412'!Print_Area</vt:lpstr>
      <vt:lpstr>'Pre Payments'!Print_Area</vt:lpstr>
      <vt:lpstr>'Taxes other than inc tax'!Print_Area</vt:lpstr>
      <vt:lpstr>'Plant and Depre'!Print_Titles</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RPU Attachment O - Historical 2013 Settlement Version 11142016</dc:title>
  <dc:creator>Andrea Horstmanshof</dc:creator>
  <cp:lastModifiedBy>Spangler, Jennifer</cp:lastModifiedBy>
  <cp:lastPrinted>2016-04-12T15:09:14Z</cp:lastPrinted>
  <dcterms:created xsi:type="dcterms:W3CDTF">2005-04-15T13:36:01Z</dcterms:created>
  <dcterms:modified xsi:type="dcterms:W3CDTF">2017-03-15T19:27:42Z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Attachment O - Historical 2013 Settlement Version 11102016.xlsx</vt:lpwstr>
  </property>
  <property fmtid="{D5CDD505-2E9C-101B-9397-08002B2CF9AE}" pid="3" name="ContentTypeId">
    <vt:lpwstr>0x0101005BA905F16C0C2D48BF07586946E81D1C1100D2AB7E340F48FF48B2EC11BD89C18B0C</vt:lpwstr>
  </property>
  <property fmtid="{D5CDD505-2E9C-101B-9397-08002B2CF9AE}" pid="4" name="FTR Date">
    <vt:filetime>2017-01-19T18:30:39Z</vt:filetime>
  </property>
  <property fmtid="{D5CDD505-2E9C-101B-9397-08002B2CF9AE}" pid="5" name="Exclude">
    <vt:lpwstr>No</vt:lpwstr>
  </property>
</Properties>
</file>