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600" windowHeight="12270" tabRatio="773" activeTab="1"/>
  </bookViews>
  <sheets>
    <sheet name="Coversheet" sheetId="12" r:id="rId1"/>
    <sheet name="Att O_RPU" sheetId="1" r:id="rId2"/>
    <sheet name="Att GG_RPU" sheetId="35" r:id="rId3"/>
    <sheet name="Sched 1_RPU" sheetId="41" r:id="rId4"/>
    <sheet name="Appx A RPU Trans Depr Rate" sheetId="38" r:id="rId5"/>
    <sheet name="True-up Interest" sheetId="40" r:id="rId6"/>
    <sheet name="Interzonal Alloc" sheetId="37" r:id="rId7"/>
    <sheet name="Balance sheet Sched 2" sheetId="2" r:id="rId8"/>
    <sheet name="Income Sched 3" sheetId="3" r:id="rId9"/>
    <sheet name="Plant Sched 4" sheetId="4" r:id="rId10"/>
    <sheet name="Taxes Sched 5" sheetId="34" r:id="rId11"/>
    <sheet name="Op &amp; Maint Sched 7" sheetId="5" r:id="rId12"/>
    <sheet name="Divisor" sheetId="13" r:id="rId13"/>
    <sheet name="Plant" sheetId="14" r:id="rId14"/>
    <sheet name="Adj to Rate Base" sheetId="16" r:id="rId15"/>
    <sheet name="Land Held for Future Use" sheetId="18" r:id="rId16"/>
    <sheet name="Materials and Prepayments" sheetId="19" r:id="rId17"/>
    <sheet name="Capital Structure" sheetId="20" r:id="rId18"/>
    <sheet name="Transmission O&amp;M" sheetId="24" r:id="rId19"/>
    <sheet name="Admin &amp; General" sheetId="25" r:id="rId20"/>
    <sheet name="Wages &amp; Salaries" sheetId="33" r:id="rId21"/>
    <sheet name="FERC Fees" sheetId="26" r:id="rId22"/>
    <sheet name="EPRI Reg Comm Non Safety" sheetId="27" r:id="rId23"/>
    <sheet name="Taxes other than inc tax" sheetId="28" r:id="rId24"/>
    <sheet name="Account 454" sheetId="31" r:id="rId25"/>
    <sheet name="Account 456.1" sheetId="32" r:id="rId26"/>
  </sheets>
  <externalReferences>
    <externalReference r:id="rId27"/>
    <externalReference r:id="rId28"/>
    <externalReference r:id="rId29"/>
    <externalReference r:id="rId30"/>
    <externalReference r:id="rId31"/>
    <externalReference r:id="rId32"/>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4">'Account 454'!$A$1:$D$22</definedName>
    <definedName name="_xlnm.Print_Area" localSheetId="25">'Account 456.1'!$B$1:$D$31</definedName>
    <definedName name="_xlnm.Print_Area" localSheetId="14">'Adj to Rate Base'!$A$1:$E$18</definedName>
    <definedName name="_xlnm.Print_Area" localSheetId="19">'Admin &amp; General'!$A$1:$C$46</definedName>
    <definedName name="_xlnm.Print_Area" localSheetId="4">'Appx A RPU Trans Depr Rate'!$A$1:$D$40</definedName>
    <definedName name="_xlnm.Print_Area" localSheetId="2">'Att GG_RPU'!$A$1:$O$107</definedName>
    <definedName name="_xlnm.Print_Area" localSheetId="1">'Att O_RPU'!$A$1:$K$296</definedName>
    <definedName name="_xlnm.Print_Area" localSheetId="7">'Balance sheet Sched 2'!$A$1:$F$60</definedName>
    <definedName name="_xlnm.Print_Area" localSheetId="17">'Capital Structure'!$D$1:$K$24</definedName>
    <definedName name="_xlnm.Print_Area" localSheetId="0">Coversheet!$B$2:$D$7</definedName>
    <definedName name="_xlnm.Print_Area" localSheetId="12">Divisor!$B$1:$M$30</definedName>
    <definedName name="_xlnm.Print_Area" localSheetId="22">'EPRI Reg Comm Non Safety'!$A$1:$C$28</definedName>
    <definedName name="_xlnm.Print_Area" localSheetId="21">'FERC Fees'!$A$1:$C$14</definedName>
    <definedName name="_xlnm.Print_Area" localSheetId="8">'Income Sched 3'!$A$1:$D$34</definedName>
    <definedName name="_xlnm.Print_Area" localSheetId="6">'Interzonal Alloc'!$A$1:$R$57</definedName>
    <definedName name="_xlnm.Print_Area" localSheetId="15">'Land Held for Future Use'!$A$2:$F$23</definedName>
    <definedName name="_xlnm.Print_Area" localSheetId="16">'Materials and Prepayments'!$A$1:$H$22</definedName>
    <definedName name="_xlnm.Print_Area" localSheetId="11">'Op &amp; Maint Sched 7'!$A$1:$F$42</definedName>
    <definedName name="_xlnm.Print_Area" localSheetId="13">Plant!$C$1:$O$64</definedName>
    <definedName name="_xlnm.Print_Area" localSheetId="9">'Plant Sched 4'!$A$1:$K$28</definedName>
    <definedName name="_xlnm.Print_Area" localSheetId="23">'Taxes other than inc tax'!$A$1:$D$13</definedName>
    <definedName name="_xlnm.Print_Area" localSheetId="10">'Taxes Sched 5'!$A$1:$D$21</definedName>
    <definedName name="_xlnm.Print_Area" localSheetId="18">'Transmission O&amp;M'!$A$1:$C$39</definedName>
    <definedName name="_xlnm.Print_Area" localSheetId="5">'True-up Interest'!$A$1:$V$93</definedName>
    <definedName name="_xlnm.Print_Area" localSheetId="20">'Wages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D178" i="1" l="1"/>
  <c r="L95" i="35" l="1"/>
  <c r="M73" i="35" l="1"/>
  <c r="E20" i="19" l="1"/>
  <c r="F20" i="19" s="1"/>
  <c r="F10" i="19"/>
  <c r="F9" i="19"/>
  <c r="F8" i="19"/>
  <c r="K33" i="4"/>
  <c r="K32" i="4"/>
  <c r="F11" i="19" l="1"/>
  <c r="F12" i="19" l="1"/>
  <c r="F13" i="19" l="1"/>
  <c r="F14" i="19" l="1"/>
  <c r="F15" i="19" l="1"/>
  <c r="F16" i="19" l="1"/>
  <c r="F17" i="19" l="1"/>
  <c r="F19" i="19" l="1"/>
  <c r="F18" i="19"/>
  <c r="E28" i="41" l="1"/>
  <c r="I234" i="1" l="1"/>
  <c r="G231" i="1"/>
  <c r="E29" i="5"/>
  <c r="K84" i="40"/>
  <c r="I84" i="40"/>
  <c r="G84" i="40"/>
  <c r="A84" i="40"/>
  <c r="S21" i="40"/>
  <c r="S14" i="40"/>
  <c r="S13" i="40"/>
  <c r="V13" i="40" s="1"/>
  <c r="S12" i="40"/>
  <c r="V1" i="40"/>
  <c r="T25" i="40"/>
  <c r="V30" i="40" s="1"/>
  <c r="V21" i="40"/>
  <c r="T19" i="40"/>
  <c r="T23" i="40" s="1"/>
  <c r="T27" i="40" s="1"/>
  <c r="V33" i="40" s="1"/>
  <c r="V17" i="40"/>
  <c r="T15" i="40"/>
  <c r="N15" i="40"/>
  <c r="N17" i="40" s="1"/>
  <c r="N19" i="40" s="1"/>
  <c r="N21" i="40" s="1"/>
  <c r="N23" i="40" s="1"/>
  <c r="N25" i="40" s="1"/>
  <c r="N27" i="40" s="1"/>
  <c r="N29" i="40" s="1"/>
  <c r="N30" i="40" s="1"/>
  <c r="N31" i="40" s="1"/>
  <c r="N33" i="40" s="1"/>
  <c r="V14" i="40"/>
  <c r="N14" i="40"/>
  <c r="N13" i="40"/>
  <c r="F1" i="41"/>
  <c r="E26" i="41"/>
  <c r="E16" i="41"/>
  <c r="E17" i="41" s="1"/>
  <c r="E21" i="41" s="1"/>
  <c r="E15" i="41"/>
  <c r="E14" i="41"/>
  <c r="A14" i="41"/>
  <c r="A15" i="41" s="1"/>
  <c r="A16" i="41" s="1"/>
  <c r="A17" i="41" s="1"/>
  <c r="A19" i="41" s="1"/>
  <c r="A21" i="41" s="1"/>
  <c r="A23" i="41" s="1"/>
  <c r="A26" i="41" s="1"/>
  <c r="A28" i="41" s="1"/>
  <c r="A32" i="41" s="1"/>
  <c r="S15" i="40" l="1"/>
  <c r="S19" i="40" s="1"/>
  <c r="V19" i="40" s="1"/>
  <c r="N35" i="40"/>
  <c r="N37" i="40" s="1"/>
  <c r="N38" i="40" s="1"/>
  <c r="N39" i="40" s="1"/>
  <c r="N41" i="40" s="1"/>
  <c r="N43" i="40" s="1"/>
  <c r="Q23" i="40"/>
  <c r="S23" i="40"/>
  <c r="V12" i="40"/>
  <c r="V15" i="40" s="1"/>
  <c r="V23" i="40" l="1"/>
  <c r="N5" i="35" l="1"/>
  <c r="L6" i="14" l="1"/>
  <c r="L7" i="14" s="1"/>
  <c r="L8" i="14" s="1"/>
  <c r="L9" i="14" s="1"/>
  <c r="L10" i="14" s="1"/>
  <c r="L11" i="14" s="1"/>
  <c r="L12" i="14" s="1"/>
  <c r="L13" i="14" s="1"/>
  <c r="L14" i="14" s="1"/>
  <c r="L15" i="14" s="1"/>
  <c r="L16" i="14" s="1"/>
  <c r="L17" i="14" s="1"/>
  <c r="K6" i="14"/>
  <c r="K7" i="14" s="1"/>
  <c r="K8" i="14" s="1"/>
  <c r="K9" i="14" s="1"/>
  <c r="K10" i="14" s="1"/>
  <c r="K11" i="14" s="1"/>
  <c r="K12" i="14" s="1"/>
  <c r="K13" i="14" s="1"/>
  <c r="K14" i="14" s="1"/>
  <c r="K15" i="14" s="1"/>
  <c r="K16" i="14" s="1"/>
  <c r="K17" i="14" s="1"/>
  <c r="I19" i="4"/>
  <c r="I18" i="4"/>
  <c r="H7" i="14"/>
  <c r="H8" i="14" s="1"/>
  <c r="H9" i="14" s="1"/>
  <c r="H10" i="14" s="1"/>
  <c r="H11" i="14" s="1"/>
  <c r="H12" i="14" s="1"/>
  <c r="H13" i="14" s="1"/>
  <c r="H14" i="14" s="1"/>
  <c r="H15" i="14" s="1"/>
  <c r="H16" i="14" s="1"/>
  <c r="H17" i="14" s="1"/>
  <c r="H18" i="14" s="1"/>
  <c r="G20" i="19"/>
  <c r="J22" i="20" l="1"/>
  <c r="I22" i="20"/>
  <c r="H22" i="20"/>
  <c r="H20" i="19"/>
  <c r="A5" i="16" l="1"/>
  <c r="D29" i="5" l="1"/>
  <c r="D24" i="32" l="1"/>
  <c r="I250" i="1" l="1"/>
  <c r="J19" i="40" l="1"/>
  <c r="I50" i="37" l="1"/>
  <c r="I49" i="37"/>
  <c r="I48" i="37"/>
  <c r="I47" i="37"/>
  <c r="I46" i="37"/>
  <c r="I45" i="37"/>
  <c r="I44" i="37"/>
  <c r="I43" i="37"/>
  <c r="I42" i="37"/>
  <c r="I41" i="37"/>
  <c r="I40" i="37"/>
  <c r="I39" i="37"/>
  <c r="D23" i="32"/>
  <c r="E84"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4" i="13" l="1"/>
  <c r="I24" i="13" l="1"/>
  <c r="K24" i="13"/>
  <c r="M22" i="13"/>
  <c r="M21" i="13"/>
  <c r="M20" i="13"/>
  <c r="M19" i="13"/>
  <c r="M18" i="13"/>
  <c r="M17" i="13"/>
  <c r="M16" i="13"/>
  <c r="M15" i="13"/>
  <c r="M14" i="13"/>
  <c r="M13" i="13"/>
  <c r="M12" i="13"/>
  <c r="M11" i="13"/>
  <c r="M24" i="13" l="1"/>
  <c r="J16" i="40" s="1"/>
  <c r="J18" i="40" l="1"/>
  <c r="J20" i="40" s="1"/>
  <c r="S25" i="40"/>
  <c r="B10" i="32"/>
  <c r="B11" i="32" s="1"/>
  <c r="B12" i="32" s="1"/>
  <c r="B13" i="32" s="1"/>
  <c r="B14" i="32" s="1"/>
  <c r="B16" i="32" s="1"/>
  <c r="B17" i="32" s="1"/>
  <c r="B18" i="32" s="1"/>
  <c r="B22" i="32" s="1"/>
  <c r="B23" i="32" s="1"/>
  <c r="B24" i="32" s="1"/>
  <c r="B25" i="32" s="1"/>
  <c r="B26" i="32" s="1"/>
  <c r="R26" i="37"/>
  <c r="R1" i="37"/>
  <c r="A13" i="31"/>
  <c r="A14" i="31" s="1"/>
  <c r="A15" i="31" s="1"/>
  <c r="A16" i="31" s="1"/>
  <c r="C16" i="31"/>
  <c r="V29" i="40" l="1"/>
  <c r="V31" i="40" s="1"/>
  <c r="V35" i="40" s="1"/>
  <c r="V37" i="40" s="1"/>
  <c r="S27" i="40"/>
  <c r="C21" i="31"/>
  <c r="I245" i="1"/>
  <c r="I83" i="40"/>
  <c r="I82" i="40"/>
  <c r="I81" i="40"/>
  <c r="I80" i="40"/>
  <c r="I79" i="40"/>
  <c r="I78" i="40"/>
  <c r="I77" i="40"/>
  <c r="I76" i="40"/>
  <c r="I75" i="40"/>
  <c r="I74" i="40"/>
  <c r="I73" i="40"/>
  <c r="I72" i="40"/>
  <c r="I71" i="40"/>
  <c r="I70" i="40"/>
  <c r="I69" i="40"/>
  <c r="I68" i="40"/>
  <c r="I67" i="40"/>
  <c r="I66" i="40"/>
  <c r="I65" i="40"/>
  <c r="A65" i="40"/>
  <c r="A66" i="40" s="1"/>
  <c r="A67" i="40" s="1"/>
  <c r="A68" i="40" s="1"/>
  <c r="A69" i="40" s="1"/>
  <c r="A70" i="40" s="1"/>
  <c r="A71" i="40" s="1"/>
  <c r="A72" i="40" s="1"/>
  <c r="A73" i="40" s="1"/>
  <c r="A74" i="40" s="1"/>
  <c r="A75" i="40" s="1"/>
  <c r="A76" i="40" s="1"/>
  <c r="A77" i="40" s="1"/>
  <c r="A78" i="40" s="1"/>
  <c r="A79" i="40" s="1"/>
  <c r="A80" i="40" s="1"/>
  <c r="A81" i="40" s="1"/>
  <c r="A82" i="40" s="1"/>
  <c r="A83" i="40" s="1"/>
  <c r="I64" i="40"/>
  <c r="CO63" i="40"/>
  <c r="CL63" i="40"/>
  <c r="CI63" i="40"/>
  <c r="CF63" i="40"/>
  <c r="CC63" i="40"/>
  <c r="G83" i="40" s="1"/>
  <c r="K83" i="40" s="1"/>
  <c r="BZ63" i="40"/>
  <c r="G82" i="40" s="1"/>
  <c r="K82" i="40" s="1"/>
  <c r="BW63" i="40"/>
  <c r="G81" i="40" s="1"/>
  <c r="K81" i="40" s="1"/>
  <c r="BT63" i="40"/>
  <c r="G80" i="40" s="1"/>
  <c r="K80" i="40" s="1"/>
  <c r="BQ63" i="40"/>
  <c r="G79" i="40" s="1"/>
  <c r="K79" i="40" s="1"/>
  <c r="BN63" i="40"/>
  <c r="G78" i="40" s="1"/>
  <c r="K78" i="40" s="1"/>
  <c r="BK63" i="40"/>
  <c r="G77" i="40" s="1"/>
  <c r="K77" i="40" s="1"/>
  <c r="BH63" i="40"/>
  <c r="G76" i="40" s="1"/>
  <c r="K76" i="40" s="1"/>
  <c r="BE63" i="40"/>
  <c r="G75" i="40" s="1"/>
  <c r="K75" i="40" s="1"/>
  <c r="BB63" i="40"/>
  <c r="G74" i="40" s="1"/>
  <c r="K74" i="40" s="1"/>
  <c r="AY63" i="40"/>
  <c r="G73" i="40" s="1"/>
  <c r="K73" i="40" s="1"/>
  <c r="AV63" i="40"/>
  <c r="G72" i="40" s="1"/>
  <c r="K72" i="40" s="1"/>
  <c r="AS63" i="40"/>
  <c r="G71" i="40" s="1"/>
  <c r="K71" i="40" s="1"/>
  <c r="AP63" i="40"/>
  <c r="G70" i="40" s="1"/>
  <c r="K70" i="40" s="1"/>
  <c r="AM63" i="40"/>
  <c r="G69" i="40" s="1"/>
  <c r="K69" i="40" s="1"/>
  <c r="AJ63" i="40"/>
  <c r="G68" i="40" s="1"/>
  <c r="K68" i="40" s="1"/>
  <c r="AG63" i="40"/>
  <c r="G67" i="40" s="1"/>
  <c r="K67" i="40" s="1"/>
  <c r="AD63" i="40"/>
  <c r="G66" i="40" s="1"/>
  <c r="K66" i="40" s="1"/>
  <c r="AA63" i="40"/>
  <c r="G65" i="40" s="1"/>
  <c r="K65" i="40" s="1"/>
  <c r="X63" i="40"/>
  <c r="G64" i="40" s="1"/>
  <c r="V38" i="40" l="1"/>
  <c r="V41" i="40"/>
  <c r="V43" i="40" s="1"/>
  <c r="K64" i="40"/>
  <c r="B3" i="13" l="1"/>
  <c r="B3" i="18"/>
  <c r="K42" i="37" l="1"/>
  <c r="K44" i="37" l="1"/>
  <c r="K43" i="37"/>
  <c r="K15" i="4"/>
  <c r="C50" i="24"/>
  <c r="H14" i="37"/>
  <c r="H56" i="37"/>
  <c r="H55" i="37"/>
  <c r="K39" i="37"/>
  <c r="K38" i="37"/>
  <c r="E41" i="14"/>
  <c r="H64" i="14"/>
  <c r="I6" i="14" s="1"/>
  <c r="M53" i="14"/>
  <c r="M52" i="14"/>
  <c r="L52" i="14"/>
  <c r="K52" i="14"/>
  <c r="M51" i="14"/>
  <c r="L51" i="14"/>
  <c r="K51" i="14"/>
  <c r="M50" i="14"/>
  <c r="L50" i="14"/>
  <c r="K50" i="14"/>
  <c r="M49" i="14"/>
  <c r="L49" i="14"/>
  <c r="K49" i="14"/>
  <c r="M48" i="14"/>
  <c r="L48" i="14"/>
  <c r="K48" i="14"/>
  <c r="M47" i="14"/>
  <c r="L47" i="14"/>
  <c r="K47" i="14"/>
  <c r="M46" i="14"/>
  <c r="L46" i="14"/>
  <c r="K46" i="14"/>
  <c r="M45" i="14"/>
  <c r="L45" i="14"/>
  <c r="K45" i="14"/>
  <c r="M44" i="14"/>
  <c r="L44" i="14"/>
  <c r="K44" i="14"/>
  <c r="M43" i="14"/>
  <c r="L43" i="14"/>
  <c r="K43" i="14"/>
  <c r="M42" i="14"/>
  <c r="L42" i="14"/>
  <c r="K42" i="14"/>
  <c r="N41" i="14"/>
  <c r="M41" i="14"/>
  <c r="L41" i="14"/>
  <c r="K41" i="14"/>
  <c r="N38" i="14"/>
  <c r="D77" i="1" s="1"/>
  <c r="M38" i="14"/>
  <c r="L38" i="14"/>
  <c r="K38" i="14"/>
  <c r="D75" i="1" s="1"/>
  <c r="F38" i="14"/>
  <c r="D73" i="1" s="1"/>
  <c r="M20" i="14"/>
  <c r="N7" i="14"/>
  <c r="N8" i="14" s="1"/>
  <c r="K41" i="37"/>
  <c r="K40" i="37"/>
  <c r="I7" i="14" l="1"/>
  <c r="P38" i="37"/>
  <c r="D76" i="1"/>
  <c r="M55" i="14"/>
  <c r="K45" i="37"/>
  <c r="H57" i="37"/>
  <c r="N9" i="14"/>
  <c r="N43" i="14"/>
  <c r="N42" i="14"/>
  <c r="I8" i="14" l="1"/>
  <c r="P39" i="37"/>
  <c r="K46" i="37"/>
  <c r="N10" i="14"/>
  <c r="N44" i="14"/>
  <c r="I9" i="14" l="1"/>
  <c r="P40" i="37"/>
  <c r="K47" i="37"/>
  <c r="N45" i="14"/>
  <c r="N11" i="14"/>
  <c r="I10" i="14" l="1"/>
  <c r="P41" i="37"/>
  <c r="K48" i="37"/>
  <c r="N12" i="14"/>
  <c r="N46" i="14"/>
  <c r="I11" i="14" l="1"/>
  <c r="P42" i="37"/>
  <c r="K49" i="37"/>
  <c r="N47" i="14"/>
  <c r="N13" i="14"/>
  <c r="I12" i="14" l="1"/>
  <c r="P43" i="37"/>
  <c r="K50" i="37"/>
  <c r="H20" i="14"/>
  <c r="E73" i="35" s="1"/>
  <c r="N48" i="14"/>
  <c r="N14" i="14"/>
  <c r="I13" i="14" l="1"/>
  <c r="P44" i="37"/>
  <c r="N15" i="14"/>
  <c r="N49" i="14"/>
  <c r="I14" i="14" l="1"/>
  <c r="P45" i="37"/>
  <c r="N50" i="14"/>
  <c r="N16" i="14"/>
  <c r="I15" i="14" l="1"/>
  <c r="P46" i="37"/>
  <c r="N51" i="14"/>
  <c r="N17" i="14"/>
  <c r="I16" i="14" l="1"/>
  <c r="P47" i="37"/>
  <c r="N18" i="14"/>
  <c r="N52" i="14"/>
  <c r="I17" i="14" l="1"/>
  <c r="P48" i="37"/>
  <c r="N53" i="14"/>
  <c r="N55" i="14" s="1"/>
  <c r="N20" i="14"/>
  <c r="D69" i="1" s="1"/>
  <c r="I18" i="14" l="1"/>
  <c r="P49" i="37"/>
  <c r="P50" i="37" l="1"/>
  <c r="I20" i="14"/>
  <c r="K51" i="37"/>
  <c r="J13" i="37" s="1"/>
  <c r="J15" i="37" s="1"/>
  <c r="H15" i="37"/>
  <c r="D1" i="38" l="1"/>
  <c r="B319" i="1" l="1"/>
  <c r="C319" i="1" s="1"/>
  <c r="E319" i="1"/>
  <c r="A7" i="41" l="1"/>
  <c r="B64" i="40"/>
  <c r="K7" i="4"/>
  <c r="D59" i="14"/>
  <c r="A7" i="16"/>
  <c r="A4" i="2"/>
  <c r="B48" i="40"/>
  <c r="B49" i="40"/>
  <c r="I25" i="1"/>
  <c r="I27" i="1" s="1"/>
  <c r="B5" i="12"/>
  <c r="A7" i="37"/>
  <c r="E7" i="20"/>
  <c r="B3" i="31"/>
  <c r="B3" i="32"/>
  <c r="B5" i="13"/>
  <c r="A3" i="33"/>
  <c r="C3" i="14"/>
  <c r="B5" i="18"/>
  <c r="B5" i="19"/>
  <c r="B39" i="40"/>
  <c r="B38" i="40"/>
  <c r="L29" i="1"/>
  <c r="B42" i="40"/>
  <c r="B40" i="40"/>
  <c r="B41" i="40"/>
  <c r="D9" i="19"/>
  <c r="D10" i="19" s="1"/>
  <c r="D11" i="19" s="1"/>
  <c r="D12" i="19" s="1"/>
  <c r="D13" i="19" s="1"/>
  <c r="D14" i="19" s="1"/>
  <c r="D15" i="19" s="1"/>
  <c r="D16" i="19" s="1"/>
  <c r="D17" i="19" s="1"/>
  <c r="D18" i="19" s="1"/>
  <c r="D19" i="19" s="1"/>
  <c r="D20" i="19" s="1"/>
  <c r="F11"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E318" i="1"/>
  <c r="E320" i="1"/>
  <c r="B76" i="40" s="1"/>
  <c r="B318" i="1"/>
  <c r="C318" i="1" s="1"/>
  <c r="A9" i="41" l="1"/>
  <c r="D23" i="41"/>
  <c r="B47" i="40"/>
  <c r="L26" i="1"/>
  <c r="A4" i="3"/>
  <c r="A4" i="4" s="1"/>
  <c r="A4" i="5" s="1"/>
  <c r="A4" i="34"/>
  <c r="L23" i="1"/>
  <c r="L19" i="1"/>
  <c r="L20" i="1"/>
  <c r="L24" i="1"/>
  <c r="B320" i="1"/>
  <c r="C320" i="1" s="1"/>
  <c r="D8" i="19"/>
  <c r="G10" i="20"/>
  <c r="D8" i="18"/>
  <c r="E25" i="14"/>
  <c r="E43" i="14" s="1"/>
  <c r="E8" i="14"/>
  <c r="E6" i="14"/>
  <c r="E24" i="14" s="1"/>
  <c r="E42" i="14" s="1"/>
  <c r="C38" i="37"/>
  <c r="E26" i="14" l="1"/>
  <c r="E44" i="14" s="1"/>
  <c r="E9" i="14"/>
  <c r="C1" i="14"/>
  <c r="D259" i="1"/>
  <c r="D258" i="1"/>
  <c r="K257" i="1"/>
  <c r="C257" i="1"/>
  <c r="B257" i="1"/>
  <c r="I243"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E10" i="14" l="1"/>
  <c r="E27" i="14"/>
  <c r="E45" i="14" s="1"/>
  <c r="L214" i="1"/>
  <c r="D94" i="1"/>
  <c r="E11" i="14" l="1"/>
  <c r="E28" i="14"/>
  <c r="E46" i="14" s="1"/>
  <c r="E12" i="14" l="1"/>
  <c r="E29" i="14"/>
  <c r="E47" i="14" s="1"/>
  <c r="E13" i="14" l="1"/>
  <c r="E30" i="14"/>
  <c r="E48" i="14" s="1"/>
  <c r="E14" i="14" l="1"/>
  <c r="E31" i="14"/>
  <c r="E49" i="14" s="1"/>
  <c r="E15" i="14" l="1"/>
  <c r="E32" i="14"/>
  <c r="E50" i="14" s="1"/>
  <c r="E93" i="35"/>
  <c r="M93" i="35"/>
  <c r="G65" i="35"/>
  <c r="G63" i="35"/>
  <c r="N62" i="35"/>
  <c r="G62" i="35"/>
  <c r="C62" i="35"/>
  <c r="E16" i="14" l="1"/>
  <c r="E33" i="14"/>
  <c r="E51" i="14" s="1"/>
  <c r="E17" i="14" l="1"/>
  <c r="E34" i="14"/>
  <c r="E52" i="14" s="1"/>
  <c r="C45" i="25"/>
  <c r="E18" i="14" l="1"/>
  <c r="E36" i="14" s="1"/>
  <c r="E35" i="14"/>
  <c r="E53" i="14" s="1"/>
  <c r="J24" i="20"/>
  <c r="I24" i="20"/>
  <c r="E5" i="20"/>
  <c r="D85" i="1" l="1"/>
  <c r="C8" i="34"/>
  <c r="D156" i="1" s="1"/>
  <c r="D157" i="1" s="1"/>
  <c r="C28" i="25"/>
  <c r="D28" i="5" s="1"/>
  <c r="C21" i="25" l="1"/>
  <c r="D27" i="5" s="1"/>
  <c r="G12" i="4" l="1"/>
  <c r="I15" i="4" l="1"/>
  <c r="G14" i="4" l="1"/>
  <c r="G9" i="4" l="1"/>
  <c r="G13" i="4"/>
  <c r="G18" i="4" l="1"/>
  <c r="K18" i="14" s="1"/>
  <c r="G19" i="4"/>
  <c r="L18" i="14" s="1"/>
  <c r="L20" i="14" l="1"/>
  <c r="D68" i="1" s="1"/>
  <c r="D84" i="1" s="1"/>
  <c r="L53" i="14"/>
  <c r="L55" i="14" s="1"/>
  <c r="K53" i="14"/>
  <c r="K55" i="14" s="1"/>
  <c r="K20" i="14"/>
  <c r="D67" i="1" s="1"/>
  <c r="D83" i="1" s="1"/>
  <c r="C15" i="4"/>
  <c r="F6" i="14" s="1"/>
  <c r="G11" i="4"/>
  <c r="F7" i="14" l="1"/>
  <c r="F41" i="14"/>
  <c r="F8" i="14" l="1"/>
  <c r="F42" i="14"/>
  <c r="C51" i="24"/>
  <c r="F9" i="14" l="1"/>
  <c r="F43" i="14"/>
  <c r="D144" i="1"/>
  <c r="F10" i="14" l="1"/>
  <c r="F44" i="14"/>
  <c r="C19" i="5"/>
  <c r="F11" i="14" l="1"/>
  <c r="F45" i="14"/>
  <c r="C46" i="2"/>
  <c r="C30" i="2"/>
  <c r="F12" i="14" l="1"/>
  <c r="F46" i="14"/>
  <c r="E19" i="5"/>
  <c r="F13" i="5"/>
  <c r="F38" i="5"/>
  <c r="D19" i="5"/>
  <c r="F13" i="14" l="1"/>
  <c r="F47" i="14"/>
  <c r="D26" i="33"/>
  <c r="B26" i="33" s="1"/>
  <c r="F14" i="14" l="1"/>
  <c r="F48" i="14"/>
  <c r="B1" i="32"/>
  <c r="B1" i="31"/>
  <c r="A1" i="28"/>
  <c r="A1" i="27"/>
  <c r="A1" i="26"/>
  <c r="A1" i="33"/>
  <c r="A1" i="25"/>
  <c r="A1" i="24"/>
  <c r="B3" i="19"/>
  <c r="A1" i="5"/>
  <c r="A1" i="34"/>
  <c r="A1" i="4"/>
  <c r="F15" i="14" l="1"/>
  <c r="F49" i="14"/>
  <c r="C35" i="24"/>
  <c r="E21" i="5" s="1"/>
  <c r="C23" i="24"/>
  <c r="D21" i="5" s="1"/>
  <c r="F16" i="14" l="1"/>
  <c r="F50" i="14"/>
  <c r="C38" i="24"/>
  <c r="D25" i="32"/>
  <c r="I251" i="1" s="1"/>
  <c r="I249" i="1"/>
  <c r="A3" i="24"/>
  <c r="A3" i="25" s="1"/>
  <c r="A3" i="26" s="1"/>
  <c r="A3" i="27" s="1"/>
  <c r="A3" i="28" s="1"/>
  <c r="D13" i="28"/>
  <c r="B22" i="27"/>
  <c r="B16" i="27"/>
  <c r="C14" i="26"/>
  <c r="D135" i="1" s="1"/>
  <c r="B14" i="26"/>
  <c r="F17" i="14" l="1"/>
  <c r="F51" i="14"/>
  <c r="D13" i="1"/>
  <c r="D137" i="1"/>
  <c r="D136" i="1"/>
  <c r="A1" i="3"/>
  <c r="A1" i="2"/>
  <c r="E22" i="18"/>
  <c r="D96" i="1" s="1"/>
  <c r="C17" i="16"/>
  <c r="I34" i="1"/>
  <c r="I41" i="1" s="1"/>
  <c r="E30" i="41" s="1"/>
  <c r="E32" i="41" s="1"/>
  <c r="F12" i="13"/>
  <c r="F13" i="13" s="1"/>
  <c r="F14" i="13" s="1"/>
  <c r="F15" i="13" s="1"/>
  <c r="F16" i="13" s="1"/>
  <c r="F17" i="13" s="1"/>
  <c r="F18" i="13" s="1"/>
  <c r="F19" i="13" s="1"/>
  <c r="F20" i="13" s="1"/>
  <c r="F21" i="13" s="1"/>
  <c r="F22" i="13" s="1"/>
  <c r="F52" i="14" l="1"/>
  <c r="G22" i="19"/>
  <c r="D100" i="1" s="1"/>
  <c r="H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F18" i="14" s="1"/>
  <c r="E20" i="4"/>
  <c r="E25" i="4" s="1"/>
  <c r="E28" i="4" s="1"/>
  <c r="D37" i="33"/>
  <c r="B37" i="33" s="1"/>
  <c r="D36" i="33"/>
  <c r="B36" i="33" s="1"/>
  <c r="D31" i="33"/>
  <c r="B31" i="33" s="1"/>
  <c r="D27" i="33"/>
  <c r="B27" i="33" s="1"/>
  <c r="D28" i="33"/>
  <c r="B28" i="33" s="1"/>
  <c r="D25" i="33"/>
  <c r="B25" i="33" s="1"/>
  <c r="C31" i="5"/>
  <c r="F19" i="5"/>
  <c r="F53" i="14" l="1"/>
  <c r="F55" i="14" s="1"/>
  <c r="F20" i="14"/>
  <c r="D65" i="1" s="1"/>
  <c r="D99" i="1"/>
  <c r="D102" i="1" s="1"/>
  <c r="I207" i="1"/>
  <c r="I209" i="1" s="1"/>
  <c r="C9" i="33"/>
  <c r="D215" i="1" s="1"/>
  <c r="C29" i="33"/>
  <c r="C8" i="33" s="1"/>
  <c r="D214" i="1" s="1"/>
  <c r="D29" i="33"/>
  <c r="D81" i="1" l="1"/>
  <c r="G214" i="1"/>
  <c r="B29" i="33"/>
  <c r="F23" i="5" l="1"/>
  <c r="D33" i="33" l="1"/>
  <c r="B33" i="33" s="1"/>
  <c r="C10" i="33"/>
  <c r="D216" i="1" s="1"/>
  <c r="C14" i="25"/>
  <c r="D25" i="5" l="1"/>
  <c r="D31" i="5" s="1"/>
  <c r="D42" i="5" s="1"/>
  <c r="G216" i="1"/>
  <c r="F25" i="5" l="1"/>
  <c r="D35" i="33" s="1"/>
  <c r="B35" i="33" s="1"/>
  <c r="F31" i="5"/>
  <c r="F42" i="5" s="1"/>
  <c r="C10" i="3"/>
  <c r="D38" i="33"/>
  <c r="D44" i="5" l="1"/>
  <c r="B38" i="33"/>
  <c r="C38" i="33"/>
  <c r="C11" i="33" s="1"/>
  <c r="D217" i="1" s="1"/>
  <c r="G217" i="1" l="1"/>
  <c r="D218" i="1"/>
  <c r="C12" i="33"/>
  <c r="G27" i="4" l="1"/>
  <c r="C12" i="2" s="1"/>
  <c r="D20" i="4" l="1"/>
  <c r="F20" i="4"/>
  <c r="F25" i="4" s="1"/>
  <c r="F28" i="4" s="1"/>
  <c r="D25" i="4" l="1"/>
  <c r="D28" i="4" l="1"/>
  <c r="D19" i="32" l="1"/>
  <c r="D22" i="32" l="1"/>
  <c r="D26" i="32" l="1"/>
  <c r="I248" i="1"/>
  <c r="H24" i="20"/>
  <c r="D230" i="1" s="1"/>
  <c r="F28" i="2"/>
  <c r="G230" i="1" l="1"/>
  <c r="I252" i="1" l="1"/>
  <c r="D14" i="1" s="1"/>
  <c r="F38" i="37"/>
  <c r="D39" i="37" l="1"/>
  <c r="D40" i="37" l="1"/>
  <c r="F39" i="37"/>
  <c r="D41" i="37" l="1"/>
  <c r="F40" i="37"/>
  <c r="F41" i="37" l="1"/>
  <c r="D42" i="37"/>
  <c r="F42" i="37" l="1"/>
  <c r="D43" i="37"/>
  <c r="D44" i="37" l="1"/>
  <c r="F43" i="37"/>
  <c r="F44" i="37" l="1"/>
  <c r="D45" i="37"/>
  <c r="F45" i="37" l="1"/>
  <c r="D46" i="37"/>
  <c r="F46" i="37" l="1"/>
  <c r="D47" i="37"/>
  <c r="D48" i="37" l="1"/>
  <c r="F47" i="37"/>
  <c r="F48" i="37" l="1"/>
  <c r="D49" i="37"/>
  <c r="F49" i="37" l="1"/>
  <c r="D50" i="37"/>
  <c r="J12" i="40" l="1"/>
  <c r="J14" i="40" s="1"/>
  <c r="J21" i="40" s="1"/>
  <c r="J23" i="40" l="1"/>
  <c r="J25" i="40" s="1"/>
  <c r="F16" i="2" l="1"/>
  <c r="K22" i="20" l="1"/>
  <c r="F56" i="2"/>
  <c r="J24" i="14" l="1"/>
  <c r="O24" i="14" l="1"/>
  <c r="H41" i="14"/>
  <c r="I41" i="14"/>
  <c r="I42" i="14"/>
  <c r="H42" i="14"/>
  <c r="J25" i="14" l="1"/>
  <c r="H44" i="14" l="1"/>
  <c r="O25" i="14"/>
  <c r="I44" i="14"/>
  <c r="J27" i="14"/>
  <c r="O27" i="14" s="1"/>
  <c r="H43" i="14"/>
  <c r="J26" i="14"/>
  <c r="O26" i="14" s="1"/>
  <c r="I43" i="14"/>
  <c r="I46" i="14" l="1"/>
  <c r="I45" i="14"/>
  <c r="H45" i="14"/>
  <c r="J28" i="14"/>
  <c r="H46" i="14"/>
  <c r="J29" i="14" l="1"/>
  <c r="O29" i="14" s="1"/>
  <c r="O28" i="14"/>
  <c r="H47" i="14"/>
  <c r="I48" i="14" l="1"/>
  <c r="H48" i="14"/>
  <c r="J30" i="14"/>
  <c r="I47" i="14"/>
  <c r="O30" i="14" l="1"/>
  <c r="J31" i="14"/>
  <c r="O31" i="14" s="1"/>
  <c r="I49" i="14" l="1"/>
  <c r="H50" i="14"/>
  <c r="H49" i="14"/>
  <c r="J32" i="14"/>
  <c r="I50" i="14"/>
  <c r="H51" i="14" l="1"/>
  <c r="O32" i="14"/>
  <c r="I51" i="14"/>
  <c r="J33" i="14"/>
  <c r="O33" i="14" s="1"/>
  <c r="I52" i="14" l="1"/>
  <c r="J34" i="14"/>
  <c r="O34" i="14" s="1"/>
  <c r="H59" i="14" l="1"/>
  <c r="K73" i="35" s="1"/>
  <c r="H53" i="14"/>
  <c r="H38" i="14"/>
  <c r="J36" i="14"/>
  <c r="H52" i="14"/>
  <c r="J35" i="14"/>
  <c r="O35" i="14" s="1"/>
  <c r="G38" i="14"/>
  <c r="I17" i="4" l="1"/>
  <c r="I20" i="4" s="1"/>
  <c r="I25" i="4" s="1"/>
  <c r="I28" i="4" s="1"/>
  <c r="I29" i="4" s="1"/>
  <c r="O36" i="14"/>
  <c r="O38" i="14" s="1"/>
  <c r="J38" i="14"/>
  <c r="D74" i="1" s="1"/>
  <c r="D78" i="1" s="1"/>
  <c r="H55" i="14"/>
  <c r="H73" i="35" s="1"/>
  <c r="I53" i="14"/>
  <c r="I55" i="14" s="1"/>
  <c r="I38" i="14"/>
  <c r="D143" i="1" l="1"/>
  <c r="D146" i="1" s="1"/>
  <c r="K20" i="4"/>
  <c r="K25" i="4" s="1"/>
  <c r="K28" i="4" s="1"/>
  <c r="C15" i="3" l="1"/>
  <c r="C16" i="3" s="1"/>
  <c r="C18" i="3" s="1"/>
  <c r="C23" i="3" s="1"/>
  <c r="C28" i="3" s="1"/>
  <c r="C31" i="3" s="1"/>
  <c r="K24" i="20" l="1"/>
  <c r="D231" i="1" s="1"/>
  <c r="D232" i="1" s="1"/>
  <c r="E231" i="1" l="1"/>
  <c r="I231" i="1" s="1"/>
  <c r="E230" i="1"/>
  <c r="I230" i="1" l="1"/>
  <c r="I232" i="1" s="1"/>
  <c r="E232" i="1"/>
  <c r="D161" i="1" l="1"/>
  <c r="G17" i="4" l="1"/>
  <c r="J18" i="14" s="1"/>
  <c r="O18" i="14" s="1"/>
  <c r="O53" i="14" s="1"/>
  <c r="C20" i="4"/>
  <c r="J6" i="14"/>
  <c r="O6" i="14" l="1"/>
  <c r="C25" i="4"/>
  <c r="G20" i="4"/>
  <c r="C28" i="4" l="1"/>
  <c r="G28" i="4" s="1"/>
  <c r="G25" i="4"/>
  <c r="C11" i="2" s="1"/>
  <c r="C16" i="2" s="1"/>
  <c r="C22" i="2" s="1"/>
  <c r="C56" i="2" s="1"/>
  <c r="F58" i="2" s="1"/>
  <c r="G41" i="14"/>
  <c r="H38" i="37"/>
  <c r="G7" i="14"/>
  <c r="O41" i="14"/>
  <c r="J41" i="14" l="1"/>
  <c r="J7" i="14"/>
  <c r="G8" i="14"/>
  <c r="G42" i="14"/>
  <c r="J42" i="14" s="1"/>
  <c r="J38" i="37"/>
  <c r="H39" i="37"/>
  <c r="O7" i="14" l="1"/>
  <c r="L38" i="37"/>
  <c r="N38" i="37"/>
  <c r="R38" i="37"/>
  <c r="J39" i="37"/>
  <c r="H40" i="37"/>
  <c r="G43" i="14"/>
  <c r="G9" i="14"/>
  <c r="J8" i="14"/>
  <c r="O8" i="14" s="1"/>
  <c r="O43" i="14" s="1"/>
  <c r="N39" i="37" l="1"/>
  <c r="R39" i="37"/>
  <c r="L39" i="37"/>
  <c r="G44" i="14"/>
  <c r="J44" i="14" s="1"/>
  <c r="G10" i="14"/>
  <c r="J9" i="14"/>
  <c r="J43" i="14"/>
  <c r="J40" i="37"/>
  <c r="H41" i="37"/>
  <c r="O42" i="14"/>
  <c r="O9" i="14" l="1"/>
  <c r="J41" i="37"/>
  <c r="H42" i="37"/>
  <c r="J10" i="14"/>
  <c r="O10" i="14" s="1"/>
  <c r="O45" i="14" s="1"/>
  <c r="G45" i="14"/>
  <c r="G11" i="14"/>
  <c r="L40" i="37"/>
  <c r="R40" i="37"/>
  <c r="N40" i="37"/>
  <c r="G46" i="14" l="1"/>
  <c r="J46" i="14" s="1"/>
  <c r="G12" i="14"/>
  <c r="J11" i="14"/>
  <c r="R41" i="37"/>
  <c r="L41" i="37"/>
  <c r="N41" i="37"/>
  <c r="J45" i="14"/>
  <c r="O44" i="14"/>
  <c r="J42" i="37"/>
  <c r="H43" i="37"/>
  <c r="O11" i="14" l="1"/>
  <c r="J12" i="14"/>
  <c r="O12" i="14" s="1"/>
  <c r="O47" i="14" s="1"/>
  <c r="G47" i="14"/>
  <c r="G13" i="14"/>
  <c r="J43" i="37"/>
  <c r="H44" i="37"/>
  <c r="R42" i="37"/>
  <c r="N42" i="37"/>
  <c r="L42" i="37"/>
  <c r="J44" i="37" l="1"/>
  <c r="H45" i="37"/>
  <c r="J47" i="14"/>
  <c r="N43" i="37"/>
  <c r="L43" i="37"/>
  <c r="R43" i="37"/>
  <c r="G48" i="14"/>
  <c r="J48" i="14" s="1"/>
  <c r="J13" i="14"/>
  <c r="O13" i="14" s="1"/>
  <c r="O48" i="14" s="1"/>
  <c r="G14" i="14"/>
  <c r="O46" i="14"/>
  <c r="G15" i="14" l="1"/>
  <c r="J14" i="14"/>
  <c r="O14" i="14" s="1"/>
  <c r="G49" i="14"/>
  <c r="J49" i="14" s="1"/>
  <c r="H46" i="37"/>
  <c r="J45" i="37"/>
  <c r="R44" i="37"/>
  <c r="L44" i="37"/>
  <c r="N44" i="37"/>
  <c r="N45" i="37" l="1"/>
  <c r="R45" i="37"/>
  <c r="L45" i="37"/>
  <c r="O49" i="14"/>
  <c r="H47" i="37"/>
  <c r="J46" i="37"/>
  <c r="G16" i="14"/>
  <c r="J15" i="14"/>
  <c r="O15" i="14" s="1"/>
  <c r="O50" i="14" s="1"/>
  <c r="G50" i="14"/>
  <c r="J50" i="14" s="1"/>
  <c r="N46" i="37" l="1"/>
  <c r="L46" i="37"/>
  <c r="R46" i="37"/>
  <c r="J47" i="37"/>
  <c r="H48" i="37"/>
  <c r="J16" i="14"/>
  <c r="O16" i="14" s="1"/>
  <c r="O51" i="14" s="1"/>
  <c r="G51" i="14"/>
  <c r="J51" i="14" s="1"/>
  <c r="G17" i="14"/>
  <c r="J17" i="14" l="1"/>
  <c r="G52" i="14"/>
  <c r="J52" i="14" s="1"/>
  <c r="G18" i="14"/>
  <c r="L47" i="37"/>
  <c r="N47" i="37"/>
  <c r="R47" i="37"/>
  <c r="H49" i="37"/>
  <c r="J48" i="37"/>
  <c r="J49" i="37" l="1"/>
  <c r="H50" i="37"/>
  <c r="J50" i="37" s="1"/>
  <c r="E50" i="37"/>
  <c r="G53" i="14"/>
  <c r="G20" i="14"/>
  <c r="L48" i="37"/>
  <c r="N48" i="37"/>
  <c r="R48" i="37"/>
  <c r="O17" i="14"/>
  <c r="J20" i="14"/>
  <c r="D66" i="1" s="1"/>
  <c r="J53" i="14" l="1"/>
  <c r="J55" i="14" s="1"/>
  <c r="G55" i="14"/>
  <c r="K58" i="37"/>
  <c r="F50" i="37"/>
  <c r="D70" i="1"/>
  <c r="D221" i="1" s="1"/>
  <c r="D224" i="1" s="1"/>
  <c r="G222" i="1" s="1"/>
  <c r="I197" i="1"/>
  <c r="I200" i="1" s="1"/>
  <c r="I202" i="1" s="1"/>
  <c r="D82" i="1"/>
  <c r="D86" i="1" s="1"/>
  <c r="D104" i="1" s="1"/>
  <c r="D171" i="1" s="1"/>
  <c r="D167" i="1" s="1"/>
  <c r="D169" i="1" s="1"/>
  <c r="D174" i="1" s="1"/>
  <c r="O52" i="14"/>
  <c r="O55" i="14" s="1"/>
  <c r="O20" i="14"/>
  <c r="L50" i="37"/>
  <c r="J51" i="37"/>
  <c r="F13" i="37" s="1"/>
  <c r="L49" i="37"/>
  <c r="N49" i="37"/>
  <c r="R49" i="37"/>
  <c r="N50" i="37" l="1"/>
  <c r="N51" i="37" s="1"/>
  <c r="T51" i="37" s="1"/>
  <c r="R50" i="37"/>
  <c r="R51" i="37" s="1"/>
  <c r="R58" i="37" s="1"/>
  <c r="F51" i="37"/>
  <c r="F14" i="37" s="1"/>
  <c r="I14" i="37" s="1"/>
  <c r="K14" i="37" s="1"/>
  <c r="L51" i="37"/>
  <c r="G66" i="1"/>
  <c r="G13" i="1"/>
  <c r="I210" i="1"/>
  <c r="I211" i="1" s="1"/>
  <c r="E215" i="1"/>
  <c r="G215" i="1" s="1"/>
  <c r="G218" i="1" s="1"/>
  <c r="I218" i="1" s="1"/>
  <c r="I13" i="37"/>
  <c r="F15" i="37" l="1"/>
  <c r="G100" i="1"/>
  <c r="I100" i="1" s="1"/>
  <c r="G131" i="1"/>
  <c r="G135" i="1"/>
  <c r="I135" i="1" s="1"/>
  <c r="G68" i="1"/>
  <c r="G134" i="1"/>
  <c r="G136" i="1"/>
  <c r="I136" i="1" s="1"/>
  <c r="I222" i="1"/>
  <c r="K222" i="1" s="1"/>
  <c r="G16" i="1"/>
  <c r="I16" i="1" s="1"/>
  <c r="G15" i="1"/>
  <c r="I15" i="1" s="1"/>
  <c r="G14" i="1"/>
  <c r="I14" i="1" s="1"/>
  <c r="I13" i="1"/>
  <c r="I15" i="37"/>
  <c r="K13" i="37"/>
  <c r="K15" i="37" s="1"/>
  <c r="G74" i="1"/>
  <c r="I66" i="1"/>
  <c r="G18" i="35" s="1"/>
  <c r="G76" i="1" l="1"/>
  <c r="I76" i="1" s="1"/>
  <c r="I68" i="1"/>
  <c r="I17" i="1"/>
  <c r="G96" i="1"/>
  <c r="I74" i="1"/>
  <c r="G133" i="1"/>
  <c r="I133" i="1" s="1"/>
  <c r="G137" i="1"/>
  <c r="I137" i="1" s="1"/>
  <c r="I131" i="1"/>
  <c r="G138" i="1"/>
  <c r="G69" i="1"/>
  <c r="L14" i="37"/>
  <c r="L13" i="37"/>
  <c r="I134" i="1"/>
  <c r="G144" i="1"/>
  <c r="I84" i="1" l="1"/>
  <c r="L15" i="37"/>
  <c r="N47" i="1"/>
  <c r="G143" i="1"/>
  <c r="I143" i="1" s="1"/>
  <c r="I96" i="1"/>
  <c r="N46" i="1"/>
  <c r="I144" i="1"/>
  <c r="G150" i="1"/>
  <c r="G77" i="1"/>
  <c r="I77" i="1" s="1"/>
  <c r="I78" i="1" s="1"/>
  <c r="I69" i="1"/>
  <c r="I138" i="1"/>
  <c r="I140" i="1" s="1"/>
  <c r="G145" i="1"/>
  <c r="I145" i="1" s="1"/>
  <c r="I82" i="1"/>
  <c r="G19" i="35" s="1"/>
  <c r="G26" i="35" l="1"/>
  <c r="G27" i="35" s="1"/>
  <c r="L27" i="35" s="1"/>
  <c r="N48" i="1"/>
  <c r="I146" i="1"/>
  <c r="I99" i="1"/>
  <c r="G22" i="35"/>
  <c r="G23" i="35" s="1"/>
  <c r="L23" i="35" s="1"/>
  <c r="I70" i="1"/>
  <c r="G70" i="1" s="1"/>
  <c r="I85" i="1"/>
  <c r="I86" i="1" s="1"/>
  <c r="G86" i="1" s="1"/>
  <c r="I150" i="1"/>
  <c r="G151" i="1"/>
  <c r="I151" i="1" s="1"/>
  <c r="G153" i="1" l="1"/>
  <c r="G101" i="1"/>
  <c r="I101" i="1" s="1"/>
  <c r="I102" i="1" s="1"/>
  <c r="G168" i="1"/>
  <c r="I168" i="1" s="1"/>
  <c r="G90" i="1"/>
  <c r="I90" i="1" l="1"/>
  <c r="G91" i="1"/>
  <c r="G155" i="1"/>
  <c r="I153" i="1"/>
  <c r="I91" i="1" l="1"/>
  <c r="G92" i="1"/>
  <c r="I92" i="1" s="1"/>
  <c r="G93" i="1"/>
  <c r="I93" i="1" s="1"/>
  <c r="G156" i="1"/>
  <c r="I156" i="1" s="1"/>
  <c r="I155" i="1"/>
  <c r="I94" i="1" l="1"/>
  <c r="I104" i="1" s="1"/>
  <c r="I171" i="1" s="1"/>
  <c r="G40" i="35" s="1"/>
  <c r="G41" i="35" s="1"/>
  <c r="L41" i="35" s="1"/>
  <c r="I157" i="1"/>
  <c r="G30" i="35" s="1"/>
  <c r="G31" i="35" s="1"/>
  <c r="L31" i="35" s="1"/>
  <c r="L33" i="35" s="1"/>
  <c r="I167" i="1" l="1"/>
  <c r="I169" i="1" s="1"/>
  <c r="G36" i="35" s="1"/>
  <c r="G37" i="35" s="1"/>
  <c r="L37" i="35" s="1"/>
  <c r="L43" i="35" s="1"/>
  <c r="I74" i="35" s="1"/>
  <c r="J74" i="35" s="1"/>
  <c r="F75" i="35"/>
  <c r="G75" i="35" s="1"/>
  <c r="F73" i="35"/>
  <c r="G73" i="35" s="1"/>
  <c r="F74" i="35"/>
  <c r="G74" i="35" s="1"/>
  <c r="I174" i="1"/>
  <c r="I73" i="35"/>
  <c r="J73" i="35" s="1"/>
  <c r="I75" i="35"/>
  <c r="J75" i="35" s="1"/>
  <c r="L75" i="35" s="1"/>
  <c r="N75" i="35" s="1"/>
  <c r="L74" i="35" l="1"/>
  <c r="N74" i="35" s="1"/>
  <c r="L73" i="35"/>
  <c r="N73" i="35" l="1"/>
  <c r="N93" i="35" s="1"/>
  <c r="L93" i="35"/>
  <c r="J27" i="40" s="1"/>
  <c r="J29" i="40" s="1"/>
  <c r="J31" i="40" s="1"/>
  <c r="J33" i="40" s="1"/>
  <c r="I178" i="1" l="1"/>
  <c r="I183" i="1" s="1"/>
  <c r="I10" i="1" s="1"/>
  <c r="I31" i="1" s="1"/>
  <c r="D183" i="1"/>
  <c r="N15" i="37" l="1"/>
  <c r="O46" i="1"/>
  <c r="D43" i="1"/>
  <c r="O47" i="1"/>
  <c r="D49" i="1" l="1"/>
  <c r="D48" i="1"/>
  <c r="I48" i="1"/>
  <c r="I47" i="1"/>
  <c r="D47" i="1"/>
  <c r="D44" i="1"/>
  <c r="I49" i="1"/>
  <c r="O48" i="1"/>
  <c r="N13" i="37"/>
  <c r="N14" i="37"/>
</calcChain>
</file>

<file path=xl/sharedStrings.xml><?xml version="1.0" encoding="utf-8"?>
<sst xmlns="http://schemas.openxmlformats.org/spreadsheetml/2006/main" count="2085" uniqueCount="1088">
  <si>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</si>
  <si>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</si>
  <si>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</si>
  <si>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</si>
  <si>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</si>
  <si>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</si>
  <si>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</si>
  <si>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</si>
  <si>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</si>
  <si>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</si>
  <si>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</si>
  <si>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</si>
  <si>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</si>
  <si>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</si>
  <si>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</si>
  <si>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</si>
  <si>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</si>
  <si>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</si>
  <si>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</si>
  <si>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</si>
  <si>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</si>
  <si>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</si>
  <si>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</si>
  <si>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</si>
  <si>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</si>
  <si>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</si>
  <si>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</si>
  <si>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</si>
  <si>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</si>
  <si>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</si>
  <si>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</si>
  <si>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</si>
  <si>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</si>
  <si>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</si>
  <si>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</si>
  <si>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</si>
  <si>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</si>
  <si>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</si>
  <si>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</si>
  <si>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</si>
  <si>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</si>
  <si>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</si>
  <si>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</si>
  <si>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</si>
  <si>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</si>
  <si>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</si>
  <si>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</si>
  <si>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</si>
  <si>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</si>
  <si>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</si>
  <si>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</si>
  <si>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</si>
  <si>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</si>
  <si>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</si>
  <si>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</si>
  <si>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</si>
  <si>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</si>
  <si>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</si>
  <si>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</si>
  <si>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</si>
  <si>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</si>
  <si>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</si>
  <si>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</si>
  <si>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</si>
  <si>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</si>
  <si>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</si>
  <si>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</si>
  <si>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</si>
  <si>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</si>
  <si>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</si>
  <si>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</si>
  <si>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</si>
  <si>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</si>
  <si>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</si>
  <si>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</si>
  <si>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</si>
  <si>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</si>
  <si>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</si>
  <si>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</si>
  <si>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</si>
  <si>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</si>
  <si>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</si>
  <si>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</si>
  <si>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</si>
  <si>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</si>
  <si>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</si>
  <si>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</si>
  <si>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</si>
  <si>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</si>
  <si>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</si>
  <si>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</si>
  <si>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</si>
  <si>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</si>
  <si>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</si>
  <si>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</si>
  <si>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</si>
  <si>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</si>
  <si>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</si>
  <si>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</si>
  <si>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</si>
  <si>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</si>
  <si>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</si>
  <si>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</si>
  <si>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</si>
  <si>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</si>
  <si>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</si>
  <si>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</si>
  <si>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</si>
  <si>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</si>
  <si>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</si>
  <si>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</si>
  <si>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</si>
  <si>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</si>
  <si>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</si>
  <si>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</si>
  <si>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</si>
  <si>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</si>
  <si>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</si>
  <si>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</si>
  <si>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</si>
  <si>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</si>
  <si>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</si>
  <si>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</si>
  <si>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</si>
  <si>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</si>
  <si>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</si>
  <si>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</si>
  <si>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</si>
  <si>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</si>
  <si>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</si>
  <si>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</si>
  <si>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</si>
  <si>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</si>
  <si>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</si>
  <si>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</si>
  <si>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</si>
  <si>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</si>
  <si>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</si>
  <si>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</si>
  <si>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</si>
  <si>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</si>
  <si>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</si>
  <si>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</si>
  <si>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</si>
  <si>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</si>
  <si>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</si>
  <si>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</si>
  <si>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</si>
  <si>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</si>
  <si>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</si>
  <si>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</si>
  <si>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</si>
  <si>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</si>
  <si>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</si>
  <si>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</si>
  <si>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</si>
  <si>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</si>
  <si>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</si>
  <si>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</si>
  <si>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</si>
  <si>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</si>
  <si>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</si>
  <si>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</si>
  <si>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</si>
  <si>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</si>
  <si>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</si>
  <si>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</si>
  <si>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</si>
  <si>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</si>
  <si>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</si>
  <si>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</si>
  <si>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</si>
  <si>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</si>
  <si>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</si>
  <si>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</si>
  <si>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</si>
  <si>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</si>
  <si>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</si>
  <si>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</si>
  <si>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</si>
  <si>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</si>
  <si>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</si>
  <si>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</si>
  <si>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</si>
  <si>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</si>
  <si>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</si>
  <si>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</si>
  <si>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</si>
  <si>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</si>
  <si>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</si>
  <si>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</si>
  <si>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</si>
  <si>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</si>
  <si>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</si>
  <si>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</si>
  <si>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</si>
  <si>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</si>
  <si>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</si>
  <si>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</si>
  <si>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</si>
  <si>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</si>
  <si>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</si>
  <si>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</si>
  <si>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</si>
  <si>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</si>
  <si>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</si>
  <si>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</si>
  <si>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</si>
  <si>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</si>
  <si>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</si>
  <si>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</si>
  <si>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</si>
  <si>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</si>
  <si>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</si>
  <si>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</si>
  <si>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</si>
  <si>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</si>
  <si>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</si>
  <si>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</si>
  <si>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</si>
  <si>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</si>
  <si>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</si>
  <si>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Total transmission expenses  (page 3, line 1, column 3)</t>
  </si>
  <si>
    <t>Less transmission expenses included in OATT Ancillary Services  (Note L)</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</si>
  <si>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</si>
  <si>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</si>
  <si>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</si>
  <si>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</si>
  <si>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</si>
  <si>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</si>
  <si>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</si>
  <si>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</si>
  <si>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</si>
  <si>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</si>
  <si>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</si>
  <si>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</si>
  <si>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</si>
  <si>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</si>
  <si>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</si>
  <si>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</si>
  <si>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</si>
  <si>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</si>
  <si>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</si>
  <si>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</si>
  <si>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</si>
  <si>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</si>
  <si>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</si>
  <si>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</si>
  <si>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</si>
  <si>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</si>
  <si>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</si>
  <si>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</si>
  <si>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</si>
  <si>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</si>
  <si>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</si>
  <si>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</si>
  <si>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</si>
  <si>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</si>
  <si>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</si>
  <si>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</si>
  <si>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</si>
  <si>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</si>
  <si>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</si>
  <si>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</si>
  <si>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</si>
  <si>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</si>
  <si>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</si>
  <si>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</si>
  <si>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</si>
  <si>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</si>
  <si>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</si>
  <si>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</si>
  <si>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</si>
  <si>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</si>
  <si>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</si>
  <si>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</si>
  <si>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</si>
  <si>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</si>
  <si>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</si>
  <si>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</si>
  <si>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</si>
  <si>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</si>
  <si>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</si>
  <si>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</si>
  <si>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</si>
  <si>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</si>
  <si>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</si>
  <si>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</si>
  <si>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</si>
  <si>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</si>
  <si>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</si>
  <si>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</si>
  <si>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</si>
  <si>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</si>
  <si>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</si>
  <si>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</si>
  <si>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</si>
  <si>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</si>
  <si>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</si>
  <si>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</si>
  <si>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</si>
  <si>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</si>
  <si>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</si>
  <si>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</si>
  <si>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</si>
  <si>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</si>
  <si>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</si>
  <si>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</si>
  <si>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</si>
  <si>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</si>
  <si>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</si>
  <si>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</si>
  <si>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</si>
  <si>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</si>
  <si>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</si>
  <si>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</si>
  <si>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</si>
  <si>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</si>
  <si>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</si>
  <si>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</si>
  <si>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</si>
  <si>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</si>
  <si>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</si>
  <si>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</si>
  <si>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</si>
  <si>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</si>
  <si>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</si>
  <si>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</si>
  <si>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</si>
  <si>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</si>
  <si>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</si>
  <si>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</si>
  <si>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</si>
  <si>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</si>
  <si>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</si>
  <si>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</si>
  <si>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</si>
  <si>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</si>
  <si>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</si>
  <si>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</si>
  <si>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</si>
  <si>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</si>
  <si>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</si>
  <si>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</si>
  <si>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</si>
  <si>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</si>
  <si>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</si>
  <si>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</si>
  <si>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</si>
  <si>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</si>
  <si>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</si>
  <si>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</si>
  <si>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</si>
  <si>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</si>
  <si>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</si>
  <si>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</si>
  <si>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</si>
  <si>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</si>
  <si>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</si>
  <si>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</si>
  <si>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</si>
  <si>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</si>
  <si>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</si>
  <si>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</si>
  <si>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</si>
  <si>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</si>
  <si>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</si>
  <si>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</si>
  <si>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</si>
  <si>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</si>
  <si>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</si>
  <si>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</si>
  <si>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</si>
  <si>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</si>
  <si>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</si>
  <si>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</si>
  <si>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</si>
  <si>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</si>
  <si>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</si>
  <si>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</si>
  <si>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</si>
  <si>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</si>
  <si>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</si>
  <si>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</si>
  <si>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</si>
  <si>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</si>
  <si>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</si>
  <si>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</si>
  <si>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</si>
  <si>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</si>
  <si>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</si>
  <si>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</si>
  <si>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</si>
  <si>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</si>
  <si>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</si>
  <si>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</si>
  <si>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</si>
  <si>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</si>
  <si>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</si>
  <si>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</si>
  <si>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</si>
  <si>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</si>
  <si>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</si>
  <si>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</si>
  <si>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</si>
  <si>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</si>
  <si>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</si>
  <si>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</si>
  <si>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</si>
  <si>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</si>
  <si>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</si>
  <si>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</si>
  <si>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</si>
  <si>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</si>
  <si>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</si>
  <si>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</si>
  <si>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</si>
  <si>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</si>
  <si>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</si>
  <si>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</si>
  <si>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</si>
  <si>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</si>
  <si>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</si>
  <si>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</si>
  <si>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</si>
  <si>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</si>
  <si>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</si>
  <si>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</si>
  <si>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</si>
  <si>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</si>
  <si>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</si>
  <si>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</si>
  <si>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</si>
  <si>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</si>
  <si>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</si>
  <si>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</si>
  <si>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</si>
  <si>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</si>
  <si>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</si>
  <si>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</si>
  <si>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</si>
  <si>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</si>
  <si>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</si>
  <si>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</si>
  <si>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</si>
  <si>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</si>
  <si>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</si>
  <si>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</si>
  <si>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</si>
  <si>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</si>
  <si>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</si>
  <si>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</si>
  <si>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</si>
  <si>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</si>
  <si>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</si>
  <si>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</si>
  <si>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</si>
  <si>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</si>
  <si>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</si>
  <si>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</si>
  <si>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</si>
  <si>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</si>
  <si>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</si>
  <si>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</si>
  <si>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</si>
  <si>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</si>
  <si>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</si>
  <si>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</si>
  <si>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</si>
  <si>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</si>
  <si>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</si>
  <si>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</si>
  <si>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</si>
  <si>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</si>
  <si>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</si>
  <si>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</si>
  <si>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</si>
  <si>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</si>
  <si>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</si>
  <si>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</si>
  <si>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</si>
  <si>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</si>
  <si>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</si>
  <si>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</si>
  <si>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</si>
  <si>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</si>
  <si>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</si>
  <si>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</si>
  <si>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</si>
  <si>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</si>
  <si>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</si>
  <si>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</si>
  <si>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</si>
  <si>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</si>
  <si>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</si>
  <si>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</si>
  <si>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</si>
  <si>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</si>
  <si>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</si>
  <si>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</si>
  <si>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</si>
  <si>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</si>
  <si>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</si>
  <si>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</si>
  <si>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</si>
  <si>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</si>
  <si>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</si>
  <si>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</si>
  <si>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</si>
  <si>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</si>
  <si>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</si>
  <si>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</si>
  <si>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</si>
  <si>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</si>
  <si>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</si>
  <si>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</si>
  <si>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</si>
  <si>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</si>
  <si>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</si>
  <si>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</si>
  <si>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</si>
  <si>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</si>
  <si>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</si>
  <si>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</si>
  <si>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</si>
  <si>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</si>
  <si>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</si>
  <si>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</si>
  <si>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</si>
  <si>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</si>
  <si>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</si>
  <si>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</si>
  <si>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</si>
  <si>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</si>
  <si>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</si>
  <si>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</si>
  <si>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</si>
  <si>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</si>
  <si>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</si>
  <si>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</si>
  <si>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</si>
  <si>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</si>
  <si>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</si>
  <si>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</si>
  <si>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</si>
  <si>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</si>
  <si>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</si>
  <si>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</si>
  <si>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</si>
  <si>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</si>
  <si>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</si>
  <si>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</si>
  <si>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</si>
  <si>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</si>
  <si>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</si>
  <si>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</si>
  <si>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</si>
  <si>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</si>
  <si>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</si>
  <si>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</si>
  <si>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</si>
  <si>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</si>
  <si>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</si>
  <si>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</si>
  <si>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</si>
  <si>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</si>
  <si>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</si>
  <si>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</si>
  <si>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</si>
  <si>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</si>
  <si>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</si>
  <si>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</si>
  <si>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</si>
  <si>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</si>
  <si>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</si>
  <si>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</si>
  <si>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</si>
  <si>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</si>
  <si>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</si>
  <si>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</si>
  <si>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</si>
  <si>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</si>
  <si>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</si>
  <si>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</si>
  <si>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</si>
  <si>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</si>
  <si>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</si>
  <si>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</si>
  <si>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</si>
  <si>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</si>
  <si>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</si>
  <si>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</si>
  <si>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</si>
  <si>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</si>
  <si>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</si>
  <si>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</si>
  <si>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</si>
  <si>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</si>
  <si>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</si>
  <si>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</si>
  <si>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</si>
  <si>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</si>
  <si>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</si>
  <si>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</si>
  <si>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</si>
  <si>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</si>
  <si>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</si>
  <si>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</si>
  <si>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</si>
  <si>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</si>
  <si>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</si>
  <si>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</si>
  <si>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</si>
  <si>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</si>
  <si>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</si>
  <si>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</si>
  <si>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</si>
  <si>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</si>
  <si>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</si>
  <si>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</si>
  <si>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</si>
  <si>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</si>
  <si>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</si>
  <si>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Total Revenue</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</si>
  <si>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</si>
  <si>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</si>
  <si>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</si>
  <si>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</si>
  <si>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</si>
  <si>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</si>
  <si>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</si>
  <si>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</si>
  <si>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</si>
  <si>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</si>
  <si>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</si>
  <si>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</si>
  <si>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</si>
  <si>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</si>
  <si>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</si>
  <si>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</si>
  <si>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 xml:space="preserve">If not, please provide an explantion and a  work paper </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</si>
  <si>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</si>
  <si>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</si>
  <si>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</si>
  <si>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</si>
  <si>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</si>
  <si>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</si>
  <si>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</si>
  <si>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</si>
  <si>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</si>
  <si>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</si>
  <si>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</si>
  <si>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</si>
  <si>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</si>
  <si>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</si>
  <si>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</si>
  <si>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</si>
  <si>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</si>
  <si>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</si>
  <si>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</si>
  <si>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</si>
  <si>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</si>
  <si>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</si>
  <si>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</si>
  <si>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</si>
  <si>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</si>
  <si>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</si>
  <si>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</si>
  <si>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</si>
  <si>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</si>
  <si>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</si>
  <si>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</si>
  <si>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</si>
  <si>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</si>
  <si>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</si>
  <si>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</si>
  <si>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</si>
  <si>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</si>
  <si>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</si>
  <si>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</si>
  <si>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</si>
  <si>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</si>
  <si>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</si>
  <si>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</si>
  <si>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</si>
  <si>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</si>
  <si>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</si>
  <si>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</si>
  <si>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</si>
  <si>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</si>
  <si>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</si>
  <si>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</si>
  <si>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</si>
  <si>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</si>
  <si>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</si>
  <si>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</si>
  <si>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</si>
  <si>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</si>
  <si>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</si>
  <si>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</si>
  <si>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</si>
  <si>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</si>
  <si>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</si>
  <si>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</si>
  <si>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</si>
  <si>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</si>
  <si>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</si>
  <si>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</si>
  <si>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</si>
  <si>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</si>
  <si>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</si>
  <si>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</si>
  <si>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</si>
  <si>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</si>
  <si>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</si>
  <si>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</si>
  <si>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</si>
  <si>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</si>
  <si>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</si>
  <si>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</si>
  <si>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</si>
  <si>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</si>
  <si>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</si>
  <si>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</si>
  <si>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</si>
  <si>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</si>
  <si>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</si>
  <si>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</si>
  <si>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</si>
  <si>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</si>
  <si>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</si>
  <si>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</si>
  <si>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</si>
  <si>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</si>
  <si>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</si>
  <si>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</si>
  <si>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</si>
  <si>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</si>
  <si>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</si>
  <si>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</si>
  <si>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</si>
  <si>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</si>
  <si>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</si>
  <si>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</si>
  <si>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</si>
  <si>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</si>
  <si>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</si>
  <si>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</si>
  <si>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</si>
  <si>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</si>
  <si>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</si>
  <si>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</si>
  <si>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</si>
  <si>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</si>
  <si>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</si>
  <si>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</si>
  <si>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</si>
  <si>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</si>
  <si>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</si>
  <si>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</si>
  <si>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</si>
  <si>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</si>
  <si>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</si>
  <si>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</si>
  <si>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</si>
  <si>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</si>
  <si>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</si>
  <si>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</si>
  <si>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</si>
  <si>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</si>
  <si>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</si>
  <si>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</si>
  <si>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</si>
  <si>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</si>
  <si>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</si>
  <si>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</si>
  <si>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</si>
  <si>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</si>
  <si>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</si>
  <si>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</si>
  <si>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</si>
  <si>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</si>
  <si>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</si>
  <si>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</si>
  <si>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</si>
  <si>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</si>
  <si>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</si>
  <si>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</si>
  <si>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</si>
  <si>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</si>
  <si>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</si>
  <si>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</si>
  <si>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</si>
  <si>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</si>
  <si>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</si>
  <si>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</si>
  <si>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</si>
  <si>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</si>
  <si>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</si>
  <si>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</si>
  <si>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</si>
  <si>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</si>
  <si>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</si>
  <si>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</si>
  <si>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</si>
  <si>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</si>
  <si>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</si>
  <si>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</si>
  <si>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</si>
  <si>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Rates (1)</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</si>
  <si>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</si>
  <si>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</si>
  <si>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</si>
  <si>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</si>
  <si>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</si>
  <si>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</si>
  <si>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</si>
  <si>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</si>
  <si>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</si>
  <si>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</si>
  <si>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</si>
  <si>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</si>
  <si>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</si>
  <si>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</si>
  <si>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</si>
  <si>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</si>
  <si>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</si>
  <si>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</si>
  <si>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</si>
  <si>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</si>
  <si>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</si>
  <si>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</si>
  <si>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</si>
  <si>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</si>
  <si>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</si>
  <si>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</si>
  <si>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</si>
  <si>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</si>
  <si>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</si>
  <si>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</si>
  <si>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</si>
  <si>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</si>
  <si>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</si>
  <si>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</si>
  <si>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Notes:</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</si>
  <si>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</si>
  <si>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</si>
  <si>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</si>
  <si>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</si>
  <si>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</si>
  <si>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</si>
  <si>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</si>
  <si>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</si>
  <si>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</si>
  <si>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</si>
  <si>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</si>
  <si>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</si>
  <si>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</si>
  <si>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</si>
  <si>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</si>
  <si>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</si>
  <si>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</si>
  <si>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</si>
  <si>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</si>
  <si>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</si>
  <si>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</si>
  <si>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</si>
  <si>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 A account ________, reflected in I/S in _______ exp</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</si>
  <si>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</si>
  <si>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</si>
  <si>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</si>
  <si>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r>
      <t xml:space="preserve">Confirm that the above does not contain any any A&amp;G related wages  . </t>
    </r>
    <r>
      <rPr>
        <b/>
        <sz val="12"/>
        <color theme="1"/>
        <rFont val="Times New Roman"/>
        <family val="1"/>
      </rPr>
      <t>Correct.</t>
    </r>
  </si>
  <si>
    <t>(c )</t>
  </si>
  <si>
    <t>SMMPA Settlement Payment</t>
  </si>
  <si>
    <t>Unamortized Premium on Long-term Debt</t>
  </si>
  <si>
    <t>Unamortized Discount on Long-term Debt</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</si>
  <si>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</si>
  <si>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</si>
  <si>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</si>
  <si>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</si>
  <si>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</si>
  <si>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</si>
  <si>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</si>
  <si>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</si>
  <si>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</si>
  <si>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</si>
  <si>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</si>
  <si>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</si>
  <si>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</si>
  <si>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</si>
  <si>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</si>
  <si>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(1) Load supplied by SMMPA under the SMMPA-RPU  Power Sales Agreement.  Included in SMMPA Attachment O load</t>
  </si>
  <si>
    <t>RPU Load below contract rate of delivery (1)</t>
  </si>
  <si>
    <t>RPU Load above contract rate of delivery (2)</t>
  </si>
  <si>
    <t>RPU 12 CP Load Amounts</t>
  </si>
  <si>
    <t>RPU Total Load         (c )+(d)</t>
  </si>
  <si>
    <t>Column (e) amount goes to Att O_RPU, page 1, line 8</t>
  </si>
  <si>
    <t>(2) Load supplied by directly by RPU.  Not included in SMMPA Attachment O load</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</si>
  <si>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</si>
  <si>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</si>
  <si>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</si>
  <si>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</si>
  <si>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</si>
  <si>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</si>
  <si>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</si>
  <si>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</si>
  <si>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</si>
  <si>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</si>
  <si>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</si>
  <si>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</si>
  <si>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Based on Gross Plant</t>
  </si>
  <si>
    <t>Allocated ATRR (2)</t>
  </si>
  <si>
    <t>Calculation of Effective Interest Rate</t>
  </si>
  <si>
    <t>Calculation of Interest on True-up Amount</t>
  </si>
  <si>
    <t>Notes</t>
  </si>
  <si>
    <t>True-up year ATRR True-up Amount                                         (Line 1 - Line 2)</t>
  </si>
  <si>
    <t>True-up year Actual divisor                                                                          (3)</t>
  </si>
  <si>
    <t>True-up Year Projected Divisor                                                                    (4)</t>
  </si>
  <si>
    <t>True-up Year Projected Annual Cost ($/kW/Yr)                                          (5)</t>
  </si>
  <si>
    <t>True-upYear Divisor True-up Amount                                       (Line 6 * Line 7)</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</si>
  <si>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</si>
  <si>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</si>
  <si>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</si>
  <si>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</si>
  <si>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</si>
  <si>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</si>
  <si>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</si>
  <si>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 xml:space="preserve">      be calculated based on the annual average of the one-month London Interbank Offer Rate (“LIBOR”) capped at the annual average of the </t>
  </si>
  <si>
    <t xml:space="preserve">      applicable refund interest rates as provided in 18 C.F.R. § 35.19a.</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</si>
  <si>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</si>
  <si>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</si>
  <si>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</si>
  <si>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</si>
  <si>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</si>
  <si>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</si>
  <si>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page 4, line 31</t>
  </si>
  <si>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</si>
  <si>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</si>
  <si>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</si>
  <si>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</si>
  <si>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</si>
  <si>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</si>
  <si>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</si>
  <si>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</si>
  <si>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</si>
  <si>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</si>
  <si>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</si>
  <si>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</si>
  <si>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</si>
  <si>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</si>
  <si>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</si>
  <si>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</si>
  <si>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</si>
  <si>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</si>
  <si>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</si>
  <si>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</si>
  <si>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</si>
  <si>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</si>
  <si>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Difference in Divisor                                                                     (line 5 - line 4)</t>
  </si>
  <si>
    <t>Interest on Attachment O Amounts</t>
  </si>
  <si>
    <t>True-up year actual Att GG ATRR Amount                                                 (8)</t>
  </si>
  <si>
    <t>True-up Year Projected Att GG ATRR Amount                                          (9)</t>
  </si>
  <si>
    <t>True-up year Att GG ATRR True-up Amount                        (Line 13 - Line 14)</t>
  </si>
  <si>
    <t>Interest on True-Up Amount                                   (Line 15 * Line 16 * Line 17)</t>
  </si>
  <si>
    <t>True-up year Actual ATRR Amount                                                               (1)</t>
  </si>
  <si>
    <t>True-up Year Projected ATRR Amount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</si>
  <si>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</si>
  <si>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</si>
  <si>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</si>
  <si>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</si>
  <si>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    used throughtout the workbook and should not be modified or deleted </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</si>
  <si>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</si>
  <si>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</si>
  <si>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</si>
  <si>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</si>
  <si>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</si>
  <si>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</si>
  <si>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</si>
  <si>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</si>
  <si>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</si>
  <si>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</si>
  <si>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</si>
  <si>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Total  (sum lines 22, 23)</t>
  </si>
  <si>
    <r>
      <t xml:space="preserve">      http://www.ferc.gov/enforcement/acct-matts/interest-rates.asp </t>
    </r>
    <r>
      <rPr>
        <sz val="12"/>
        <rFont val="Times New Roman"/>
        <family val="1"/>
      </rPr>
      <t xml:space="preserve">for the appropriate Months.  For under-collections, the applicable interest rate shall </t>
    </r>
  </si>
  <si>
    <t>Formula Rate Work Papers - True-up Interest Calculation</t>
  </si>
  <si>
    <t xml:space="preserve">  Average of 12 coincident system peaks for RPU transmission system       </t>
  </si>
  <si>
    <t>(line 16 / 4,160; line 16 / 8,760 * 1000)</t>
  </si>
  <si>
    <t>(Col 3 * Col 4)</t>
  </si>
  <si>
    <t>Total Income Taxes   (line 25 + line 26)</t>
  </si>
  <si>
    <t>Transmission plant included in ISO rates  (line 1 - line 2 - line 3)</t>
  </si>
  <si>
    <t>Calculated using 13 month average balances.  Balances for Transmission Gross Plant, Accumulated Depreciation, and Depreciation Expense are reduced for CIAC amounts.</t>
  </si>
  <si>
    <t>(B)</t>
  </si>
  <si>
    <t>(1) Revenues received from Schedules 7, 8 or 9 distributions under the Revenue Distribution Agreements in effect</t>
  </si>
  <si>
    <t xml:space="preserve">      for Zones 20 and 16</t>
  </si>
  <si>
    <t>Direct labor, legal and outside engineering costs incurred in preparing and posting annual ATRR True-up and Update</t>
  </si>
  <si>
    <t>Included transmission expenses ( line 6 - line 7)</t>
  </si>
  <si>
    <t>Percentage of transmission expenses included in ISO Rates  (line 9 * line 10)</t>
  </si>
  <si>
    <t>Percentage of transmission plant included in ISO Rates  (line 4/line 1)</t>
  </si>
  <si>
    <t>Percentage of transmission expenses after adjustment  (line 8/line 6)</t>
  </si>
  <si>
    <t>[Reserved]</t>
  </si>
  <si>
    <t>Line 8</t>
  </si>
  <si>
    <t>Attachment O Workpapers - Rental Income from Electric Property (Acct 454)</t>
  </si>
  <si>
    <t>indicate what line of the audited financials reflects Pre Payments</t>
  </si>
  <si>
    <t>Goes to Att O_RPU, page 4 of 5, line 31</t>
  </si>
  <si>
    <t>Attachment O, pg. 4, Line 33</t>
  </si>
  <si>
    <t>Attachment O, pg. 4, Line 33a</t>
  </si>
  <si>
    <t>Attachment O, pg. 4, Line 33b</t>
  </si>
  <si>
    <t>Should match value on Attachment O, pg. 4, Line 34</t>
  </si>
  <si>
    <t>(page 4, line 33)</t>
  </si>
  <si>
    <t xml:space="preserve">Peak as would be reported on page 401, column d of Form 1 at the time of the applicable pricing zone coincident monthly peaks.  </t>
  </si>
  <si>
    <t>Development of the RPU load is shown on the RPU "Divisor" workpaper.</t>
  </si>
  <si>
    <t>(line 1 minus line 6 + line 6c + line 6h + line 6i)</t>
  </si>
  <si>
    <t>32a</t>
  </si>
  <si>
    <t>32b</t>
  </si>
  <si>
    <t xml:space="preserve">  c. Transmission charges from Schedules associated with Attachment GG  (line 6 + line 6a)  (Note X)</t>
  </si>
  <si>
    <t>DD/MM/YYYY</t>
  </si>
  <si>
    <t>(page 4, line 30)</t>
  </si>
  <si>
    <t xml:space="preserve">     Proprietary Capital Cost Rate =</t>
  </si>
  <si>
    <t xml:space="preserve">     TIER =</t>
  </si>
  <si>
    <t>Line 32 - 32b supported by notes in Form 412 or detailed Schedules</t>
  </si>
  <si>
    <t>Removes transmission plant determined  to be state-jurisdictional by Commission order according to the seven-factor test (until EIA 412 balances are adjusted to reflect application of seven-factor test).</t>
  </si>
  <si>
    <t>II.32.b (Note CC)</t>
  </si>
  <si>
    <t xml:space="preserve">  (percent of federal income tax deductible for state</t>
  </si>
  <si>
    <t>Transmission CIAC adjustment (1)</t>
  </si>
  <si>
    <t>For the 12 months ended 12/31/17</t>
  </si>
  <si>
    <t>Other (describe)</t>
  </si>
  <si>
    <t>Debt cost rate = long-term interest (line 21) / long term debt (line 22).  ROE will be supported in the original filing and no change in ROE may be made absent a filing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RPU affirms that it: 1) commits to providing refunds (with interest at the FERC refund interest rates) to the extent that the ROE or zone of reasonableness established in Docket No. EL14-12 when applied to the effective date establishing the RPU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FERC-authorized ROE is 10.32% with a total or maximum ROE (including transmission incentive adders) not to exceed 11.35%, the upper end of the zone of reasonableness established by FERC in EL14-12.</t>
  </si>
  <si>
    <t>Attachment O Work Papers - Schedule 1</t>
  </si>
  <si>
    <t xml:space="preserve">Account 561.1    </t>
  </si>
  <si>
    <t>See Account Value on Transmission O&amp;M tab (1)</t>
  </si>
  <si>
    <t xml:space="preserve">Account 561.2   </t>
  </si>
  <si>
    <t xml:space="preserve">Account 561.3    </t>
  </si>
  <si>
    <t xml:space="preserve">     Subtotal         </t>
  </si>
  <si>
    <t>(Line 1 + Line 2 + Line 3)</t>
  </si>
  <si>
    <r>
      <t>Account 561.BA for Schedule 24</t>
    </r>
    <r>
      <rPr>
        <vertAlign val="superscript"/>
        <sz val="12"/>
        <rFont val="Times New Roman"/>
        <family val="1"/>
      </rPr>
      <t>2</t>
    </r>
  </si>
  <si>
    <t>RPU has no Acct 561.BA Expenses</t>
  </si>
  <si>
    <r>
      <t>INPUT 1: Account 561 Available excluding revenue credits</t>
    </r>
    <r>
      <rPr>
        <b/>
        <vertAlign val="superscript"/>
        <sz val="12"/>
        <rFont val="Times New Roman"/>
        <family val="1"/>
      </rPr>
      <t>3</t>
    </r>
  </si>
  <si>
    <t>(Line 4 - Line 5)</t>
  </si>
  <si>
    <t>Input 2:  True-Up Adjustment Principal &amp; Interest Under(Over) Recovery</t>
  </si>
  <si>
    <r>
      <t xml:space="preserve">Input 3: Revenue Credits </t>
    </r>
    <r>
      <rPr>
        <sz val="9"/>
        <rFont val="Times New Roman"/>
        <family val="1"/>
      </rPr>
      <t>(Current year Schedule 1 Revenue Credits, excluding True-Up Adjustment)</t>
    </r>
    <r>
      <rPr>
        <sz val="12"/>
        <rFont val="Times New Roman"/>
        <family val="1"/>
      </rPr>
      <t xml:space="preserve">  (2), (3)</t>
    </r>
  </si>
  <si>
    <t>See Account 456.1 tab, line 3</t>
  </si>
  <si>
    <t>Schedule 1 Net Expenses including True-Up Adjustment</t>
  </si>
  <si>
    <t>Divisor kW (sum lines 8-14)</t>
  </si>
  <si>
    <t>See Attachment O, pg 1, line 15</t>
  </si>
  <si>
    <t>(1) Utilized by forward-looking Transmission Owners. Line 21 will be supported by a True-Up Worksheet.</t>
  </si>
  <si>
    <t>(2)  Source references may vary by company; page references are to each company's source document; analogous figures would be provided for projected year.  Inputs in whole dollars.</t>
  </si>
  <si>
    <t>(3)  Revenue collected by the Transmission Owner or ITC under this Schedule 1 for firm transactions of less than 1 year, all non-firm transactions, and any other transactions</t>
  </si>
  <si>
    <t xml:space="preserve">      whose loads are not included in the Attachment O Zonal Rate Divisor for the zone.</t>
  </si>
  <si>
    <t xml:space="preserve">      This revenue credit is derived from the MISO MR Settlements file by subtracting Schedule 9 revenues related to Schedule 1 from the total Schedule 1 revenues,</t>
  </si>
  <si>
    <t xml:space="preserve">      which results in the total revenue credit for Schedule 1.</t>
  </si>
  <si>
    <t>Page 2 of 3</t>
  </si>
  <si>
    <t>Calculation of True-up Amount and Interest for Schedule 1</t>
  </si>
  <si>
    <t>Projected</t>
  </si>
  <si>
    <t>Actual-Projected</t>
  </si>
  <si>
    <t>(c)</t>
  </si>
  <si>
    <r>
      <t>Account 561 Available excluding revenue credits</t>
    </r>
    <r>
      <rPr>
        <vertAlign val="superscript"/>
        <sz val="12"/>
        <rFont val="Times New Roman"/>
        <family val="1"/>
      </rPr>
      <t>3</t>
    </r>
  </si>
  <si>
    <t>(Line 11 - Line 13)</t>
  </si>
  <si>
    <r>
      <t xml:space="preserve">Revenue Credits </t>
    </r>
    <r>
      <rPr>
        <sz val="12"/>
        <rFont val="Times New Roman"/>
        <family val="1"/>
      </rPr>
      <t>(Schedule 1 Revenue Credits, excluding True-Up Adj)</t>
    </r>
  </si>
  <si>
    <t>Schedule 1 Net Expenses</t>
  </si>
  <si>
    <t xml:space="preserve">    Difference in Divisor</t>
  </si>
  <si>
    <t>(Line 11 - Line 12)</t>
  </si>
  <si>
    <t>Line 10, col. (d)</t>
  </si>
  <si>
    <t>Line 13 * Line 14</t>
  </si>
  <si>
    <t>True-Up Adjustment Principal Under(Over) Recovery</t>
  </si>
  <si>
    <t>Line 8, col. (e) + Line 15</t>
  </si>
  <si>
    <t>Twenty (20) Month Average Interest Rate</t>
  </si>
  <si>
    <t>See Page 3 of 3</t>
  </si>
  <si>
    <t>Number of Months</t>
  </si>
  <si>
    <t>True-Up Adjustment Interest Under(Over) Recovery</t>
  </si>
  <si>
    <t>Line 16 * Line 17 * Line 18</t>
  </si>
  <si>
    <t xml:space="preserve">Total True-Up Adjustment Principal &amp; Interest Under(Over) Recovery </t>
  </si>
  <si>
    <t>Line 15 + Line 19</t>
  </si>
  <si>
    <t>(1) Form 1 or similar source document page references are for actual year for which there is a Form 1 or similar source documents. Inputs in whole dollars.</t>
  </si>
  <si>
    <t>(2) Scheduling, Control, and Dispatch Service--Balancing Authority.</t>
  </si>
  <si>
    <t>(3) Scheduling, Control, and Dispatch Service--Transmission.</t>
  </si>
  <si>
    <t>(4)  Revenue collected by the Transmission Owner or ITC under this Schedule 1 for firm transactions of less than 1 year, all non-firm transactions, and any other transactions</t>
  </si>
  <si>
    <t>Page 3 of 3</t>
  </si>
  <si>
    <t>20 Month Average</t>
  </si>
  <si>
    <t>Page 1 of 3</t>
  </si>
  <si>
    <t xml:space="preserve">   "True-up Interest" tab, page 2 of 3, line 20</t>
  </si>
  <si>
    <t xml:space="preserve"> (Line 6 + line 7 - line 8)</t>
  </si>
  <si>
    <t>Other utility plant depreciation expense</t>
  </si>
  <si>
    <t>Other Regulatory Assets amortization expense</t>
  </si>
  <si>
    <t>Total Materials and Supplies</t>
  </si>
  <si>
    <t>Other Materials and Supplies</t>
  </si>
  <si>
    <t>Schedule 2, Line 18</t>
  </si>
  <si>
    <t>Schedule 2, Line 20</t>
  </si>
  <si>
    <t>Schedule 3, Line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</si>
</sst>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 numFmtId="184" formatCode="_(* #,##0.0000_);_(* \(#,##0.0000\);_(* &quot;-&quot;??_);_(@_)"/>
    <numFmt numFmtId="185" formatCode="_(&quot;$&quot;* #,##0.00000000_);_(&quot;$&quot;* \(#,##0.00000000\);_(&quot;$&quot;* &quot;-&quot;??_);_(@_)"/>
  </numFmts>
  <fonts count="158">
    <font>
      <sz val="12"/>
      <name val="Arial MT"/>
    </font>
    <font>
      <sz val="10"/>
      <color theme="1"/>
      <name val="Calibri"/>
      <family val="2"/>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
      <sz val="12"/>
      <color rgb="FFFF0000"/>
      <name val="Arial MT"/>
    </font>
    <font>
      <sz val="10"/>
      <color rgb="FFFF0000"/>
      <name val="Calibri"/>
      <family val="2"/>
      <scheme val="minor"/>
    </font>
    <font>
      <sz val="12"/>
      <name val="Garamond"/>
      <family val="1"/>
    </font>
    <font>
      <vertAlign val="superscript"/>
      <sz val="12"/>
      <name val="Times New Roman"/>
      <family val="1"/>
    </font>
    <font>
      <b/>
      <vertAlign val="superscript"/>
      <sz val="12"/>
      <name val="Times New Roman"/>
      <family val="1"/>
    </font>
    <font>
      <sz val="9"/>
      <name val="Times New Roman"/>
      <family val="1"/>
    </font>
    <font>
      <b/>
      <u/>
      <sz val="12"/>
      <name val="Times New Roman"/>
      <family val="1"/>
    </font>
    <font>
      <sz val="12"/>
      <color theme="0"/>
      <name val="Times New Roman"/>
      <family val="1"/>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895">
    <xf numFmtId="172" fontId="0" fillId="0" borderId="0" applyProtection="0"/>
    <xf numFmtId="43" fontId="23"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13" fillId="0" borderId="0"/>
    <xf numFmtId="172" fontId="23" fillId="0" borderId="0" applyProtection="0"/>
    <xf numFmtId="172" fontId="32" fillId="0" borderId="0" applyFill="0"/>
    <xf numFmtId="172" fontId="32" fillId="0" borderId="0">
      <alignment horizontal="center"/>
    </xf>
    <xf numFmtId="0" fontId="32" fillId="0" borderId="0" applyFill="0">
      <alignment horizontal="center"/>
    </xf>
    <xf numFmtId="172" fontId="33" fillId="0" borderId="30" applyFill="0"/>
    <xf numFmtId="0" fontId="26" fillId="0" borderId="0" applyFont="0" applyAlignment="0"/>
    <xf numFmtId="0" fontId="34" fillId="0" borderId="0" applyFill="0">
      <alignment vertical="top"/>
    </xf>
    <xf numFmtId="0" fontId="33" fillId="0" borderId="0" applyFill="0">
      <alignment horizontal="left" vertical="top"/>
    </xf>
    <xf numFmtId="172" fontId="25" fillId="0" borderId="9" applyFill="0"/>
    <xf numFmtId="0" fontId="26" fillId="0" borderId="0" applyNumberFormat="0" applyFont="0" applyAlignment="0"/>
    <xf numFmtId="0" fontId="34" fillId="0" borderId="0" applyFill="0">
      <alignment wrapText="1"/>
    </xf>
    <xf numFmtId="0" fontId="33" fillId="0" borderId="0" applyFill="0">
      <alignment horizontal="left" vertical="top" wrapText="1"/>
    </xf>
    <xf numFmtId="172" fontId="28" fillId="0" borderId="0" applyFill="0"/>
    <xf numFmtId="0" fontId="35" fillId="0" borderId="0" applyNumberFormat="0" applyFont="0" applyAlignment="0">
      <alignment horizontal="center"/>
    </xf>
    <xf numFmtId="0" fontId="36" fillId="0" borderId="0" applyFill="0">
      <alignment vertical="top" wrapText="1"/>
    </xf>
    <xf numFmtId="0" fontId="25" fillId="0" borderId="0" applyFill="0">
      <alignment horizontal="left" vertical="top" wrapText="1"/>
    </xf>
    <xf numFmtId="172" fontId="26" fillId="0" borderId="0" applyFill="0"/>
    <xf numFmtId="0" fontId="35" fillId="0" borderId="0" applyNumberFormat="0" applyFont="0" applyAlignment="0">
      <alignment horizontal="center"/>
    </xf>
    <xf numFmtId="0" fontId="37" fillId="0" borderId="0" applyFill="0">
      <alignment vertical="center" wrapText="1"/>
    </xf>
    <xf numFmtId="0" fontId="27" fillId="0" borderId="0">
      <alignment horizontal="left" vertical="center" wrapText="1"/>
    </xf>
    <xf numFmtId="172" fontId="38" fillId="0" borderId="0" applyFill="0"/>
    <xf numFmtId="0" fontId="35" fillId="0" borderId="0" applyNumberFormat="0" applyFont="0" applyAlignment="0">
      <alignment horizontal="center"/>
    </xf>
    <xf numFmtId="0" fontId="39" fillId="0" borderId="0" applyFill="0">
      <alignment horizontal="center" vertical="center" wrapText="1"/>
    </xf>
    <xf numFmtId="0" fontId="26" fillId="0" borderId="0" applyFill="0">
      <alignment horizontal="center" vertical="center" wrapText="1"/>
    </xf>
    <xf numFmtId="172" fontId="40" fillId="0" borderId="0" applyFill="0"/>
    <xf numFmtId="0" fontId="35" fillId="0" borderId="0" applyNumberFormat="0" applyFont="0" applyAlignment="0">
      <alignment horizontal="center"/>
    </xf>
    <xf numFmtId="0" fontId="41" fillId="0" borderId="0" applyFill="0">
      <alignment horizontal="center" vertical="center" wrapText="1"/>
    </xf>
    <xf numFmtId="0" fontId="42" fillId="0" borderId="0" applyFill="0">
      <alignment horizontal="center" vertical="center" wrapText="1"/>
    </xf>
    <xf numFmtId="172" fontId="43" fillId="0" borderId="0" applyFill="0"/>
    <xf numFmtId="0" fontId="35" fillId="0" borderId="0" applyNumberFormat="0" applyFont="0" applyAlignment="0">
      <alignment horizontal="center"/>
    </xf>
    <xf numFmtId="0" fontId="44" fillId="0" borderId="0">
      <alignment horizontal="center" wrapText="1"/>
    </xf>
    <xf numFmtId="0" fontId="40" fillId="0" borderId="0" applyFill="0">
      <alignment horizontal="center" wrapText="1"/>
    </xf>
    <xf numFmtId="39"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26"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0" fontId="4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26" fillId="0" borderId="0" applyFont="0" applyFill="0" applyBorder="0" applyAlignment="0" applyProtection="0"/>
    <xf numFmtId="7"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5" fontId="26" fillId="0" borderId="0" applyFont="0" applyFill="0" applyBorder="0" applyAlignment="0" applyProtection="0"/>
    <xf numFmtId="14" fontId="26" fillId="0" borderId="0" applyFont="0" applyFill="0" applyBorder="0" applyAlignment="0" applyProtection="0"/>
    <xf numFmtId="2" fontId="26" fillId="0" borderId="0" applyFont="0" applyFill="0" applyBorder="0" applyAlignment="0" applyProtection="0"/>
    <xf numFmtId="38" fontId="32" fillId="3" borderId="0" applyNumberFormat="0" applyBorder="0" applyAlignment="0" applyProtection="0"/>
    <xf numFmtId="0" fontId="46" fillId="0" borderId="1"/>
    <xf numFmtId="0" fontId="47" fillId="0" borderId="0"/>
    <xf numFmtId="10" fontId="32" fillId="4" borderId="14" applyNumberFormat="0" applyBorder="0" applyAlignment="0" applyProtection="0"/>
    <xf numFmtId="176" fontId="48" fillId="0" borderId="0"/>
    <xf numFmtId="0" fontId="31" fillId="0" borderId="0"/>
    <xf numFmtId="39" fontId="49" fillId="0" borderId="0"/>
    <xf numFmtId="0" fontId="31" fillId="0" borderId="0"/>
    <xf numFmtId="0" fontId="31" fillId="0" borderId="0"/>
    <xf numFmtId="0" fontId="26" fillId="0" borderId="0"/>
    <xf numFmtId="0" fontId="26" fillId="0" borderId="0"/>
    <xf numFmtId="0" fontId="50" fillId="0" borderId="0"/>
    <xf numFmtId="0" fontId="13" fillId="0" borderId="0"/>
    <xf numFmtId="0" fontId="13" fillId="0" borderId="0"/>
    <xf numFmtId="0" fontId="23" fillId="0" borderId="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26" fillId="0" borderId="0">
      <alignment horizontal="left" vertical="top"/>
    </xf>
    <xf numFmtId="0" fontId="52" fillId="0" borderId="1">
      <alignment horizontal="center"/>
    </xf>
    <xf numFmtId="3" fontId="45" fillId="0" borderId="0" applyFont="0" applyFill="0" applyBorder="0" applyAlignment="0" applyProtection="0"/>
    <xf numFmtId="0" fontId="45" fillId="5" borderId="0" applyNumberFormat="0" applyFont="0" applyBorder="0" applyAlignment="0" applyProtection="0"/>
    <xf numFmtId="3" fontId="26" fillId="0" borderId="0">
      <alignment horizontal="right" vertical="top"/>
    </xf>
    <xf numFmtId="41" fontId="27" fillId="3" borderId="13" applyFill="0"/>
    <xf numFmtId="0" fontId="53" fillId="0" borderId="0">
      <alignment horizontal="left" indent="7"/>
    </xf>
    <xf numFmtId="41" fontId="27" fillId="0" borderId="13" applyFill="0">
      <alignment horizontal="left" indent="2"/>
    </xf>
    <xf numFmtId="172" fontId="54" fillId="0" borderId="4" applyFill="0">
      <alignment horizontal="right"/>
    </xf>
    <xf numFmtId="0" fontId="29" fillId="0" borderId="14" applyNumberFormat="0" applyFont="0" applyBorder="0">
      <alignment horizontal="right"/>
    </xf>
    <xf numFmtId="0" fontId="55" fillId="0" borderId="0" applyFill="0"/>
    <xf numFmtId="0" fontId="25" fillId="0" borderId="0" applyFill="0"/>
    <xf numFmtId="4" fontId="54" fillId="0" borderId="4" applyFill="0"/>
    <xf numFmtId="0" fontId="26" fillId="0" borderId="0" applyNumberFormat="0" applyFont="0" applyBorder="0" applyAlignment="0"/>
    <xf numFmtId="0" fontId="36" fillId="0" borderId="0" applyFill="0">
      <alignment horizontal="left" indent="1"/>
    </xf>
    <xf numFmtId="0" fontId="56" fillId="0" borderId="0" applyFill="0">
      <alignment horizontal="left" indent="1"/>
    </xf>
    <xf numFmtId="4" fontId="38" fillId="0" borderId="0" applyFill="0"/>
    <xf numFmtId="0" fontId="26" fillId="0" borderId="0" applyNumberFormat="0" applyFont="0" applyFill="0" applyBorder="0" applyAlignment="0"/>
    <xf numFmtId="0" fontId="36" fillId="0" borderId="0" applyFill="0">
      <alignment horizontal="left" indent="2"/>
    </xf>
    <xf numFmtId="0" fontId="25" fillId="0" borderId="0" applyFill="0">
      <alignment horizontal="left" indent="2"/>
    </xf>
    <xf numFmtId="4" fontId="38" fillId="0" borderId="0" applyFill="0"/>
    <xf numFmtId="0" fontId="26" fillId="0" borderId="0" applyNumberFormat="0" applyFont="0" applyBorder="0" applyAlignment="0"/>
    <xf numFmtId="0" fontId="57" fillId="0" borderId="0">
      <alignment horizontal="left" indent="3"/>
    </xf>
    <xf numFmtId="0" fontId="58" fillId="0" borderId="0" applyFill="0">
      <alignment horizontal="left" indent="3"/>
    </xf>
    <xf numFmtId="4" fontId="38" fillId="0" borderId="0" applyFill="0"/>
    <xf numFmtId="0" fontId="26" fillId="0" borderId="0" applyNumberFormat="0" applyFont="0" applyBorder="0" applyAlignment="0"/>
    <xf numFmtId="0" fontId="39" fillId="0" borderId="0">
      <alignment horizontal="left" indent="4"/>
    </xf>
    <xf numFmtId="0" fontId="26" fillId="0" borderId="0" applyFill="0">
      <alignment horizontal="left" indent="4"/>
    </xf>
    <xf numFmtId="4" fontId="40" fillId="0" borderId="0" applyFill="0"/>
    <xf numFmtId="0" fontId="26" fillId="0" borderId="0" applyNumberFormat="0" applyFont="0" applyBorder="0" applyAlignment="0"/>
    <xf numFmtId="0" fontId="41" fillId="0" borderId="0">
      <alignment horizontal="left" indent="5"/>
    </xf>
    <xf numFmtId="0" fontId="42" fillId="0" borderId="0" applyFill="0">
      <alignment horizontal="left" indent="5"/>
    </xf>
    <xf numFmtId="4" fontId="43" fillId="0" borderId="0" applyFill="0"/>
    <xf numFmtId="0" fontId="26" fillId="0" borderId="0" applyNumberFormat="0" applyFont="0" applyFill="0" applyBorder="0" applyAlignment="0"/>
    <xf numFmtId="0" fontId="44" fillId="0" borderId="0" applyFill="0">
      <alignment horizontal="left" indent="6"/>
    </xf>
    <xf numFmtId="0" fontId="40" fillId="0" borderId="0" applyFill="0">
      <alignment horizontal="left" indent="6"/>
    </xf>
    <xf numFmtId="0" fontId="51" fillId="0" borderId="0" applyNumberFormat="0" applyBorder="0" applyAlignment="0"/>
    <xf numFmtId="0" fontId="59" fillId="0" borderId="0" applyNumberFormat="0" applyBorder="0" applyAlignment="0"/>
    <xf numFmtId="0" fontId="60" fillId="0" borderId="0" applyNumberFormat="0" applyBorder="0" applyAlignment="0"/>
    <xf numFmtId="0" fontId="51" fillId="0" borderId="0" applyNumberFormat="0" applyBorder="0" applyAlignment="0"/>
    <xf numFmtId="9" fontId="23" fillId="0" borderId="0" applyFont="0" applyFill="0" applyBorder="0" applyAlignment="0" applyProtection="0"/>
    <xf numFmtId="44" fontId="23" fillId="0" borderId="0" applyFont="0" applyFill="0" applyBorder="0" applyAlignment="0" applyProtection="0"/>
    <xf numFmtId="0" fontId="12" fillId="0" borderId="0"/>
    <xf numFmtId="43" fontId="24" fillId="0" borderId="0" applyFont="0" applyFill="0" applyBorder="0" applyAlignment="0" applyProtection="0"/>
    <xf numFmtId="44" fontId="24" fillId="0" borderId="0" applyFont="0" applyFill="0" applyBorder="0" applyAlignment="0" applyProtection="0"/>
    <xf numFmtId="0" fontId="23"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178" fontId="78" fillId="0" borderId="0"/>
    <xf numFmtId="44" fontId="24" fillId="0" borderId="0" applyFont="0" applyFill="0" applyBorder="0" applyAlignment="0" applyProtection="0"/>
    <xf numFmtId="0" fontId="24"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31" applyNumberFormat="0" applyFill="0" applyAlignment="0" applyProtection="0"/>
    <xf numFmtId="0" fontId="92" fillId="0" borderId="32" applyNumberFormat="0" applyFill="0" applyAlignment="0" applyProtection="0"/>
    <xf numFmtId="0" fontId="93" fillId="0" borderId="33" applyNumberFormat="0" applyFill="0" applyAlignment="0" applyProtection="0"/>
    <xf numFmtId="0" fontId="93" fillId="0" borderId="0" applyNumberFormat="0" applyFill="0" applyBorder="0" applyAlignment="0" applyProtection="0"/>
    <xf numFmtId="0" fontId="94" fillId="7" borderId="0" applyNumberFormat="0" applyBorder="0" applyAlignment="0" applyProtection="0"/>
    <xf numFmtId="0" fontId="95" fillId="8" borderId="0" applyNumberFormat="0" applyBorder="0" applyAlignment="0" applyProtection="0"/>
    <xf numFmtId="0" fontId="96" fillId="9" borderId="0" applyNumberFormat="0" applyBorder="0" applyAlignment="0" applyProtection="0"/>
    <xf numFmtId="0" fontId="97" fillId="10" borderId="34" applyNumberFormat="0" applyAlignment="0" applyProtection="0"/>
    <xf numFmtId="0" fontId="98" fillId="11" borderId="35" applyNumberFormat="0" applyAlignment="0" applyProtection="0"/>
    <xf numFmtId="0" fontId="99" fillId="11" borderId="34" applyNumberFormat="0" applyAlignment="0" applyProtection="0"/>
    <xf numFmtId="0" fontId="100" fillId="0" borderId="36" applyNumberFormat="0" applyFill="0" applyAlignment="0" applyProtection="0"/>
    <xf numFmtId="0" fontId="101" fillId="12" borderId="37"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39" applyNumberFormat="0" applyFill="0" applyAlignment="0" applyProtection="0"/>
    <xf numFmtId="0" fontId="10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05" fillId="33" borderId="0" applyNumberFormat="0" applyBorder="0" applyAlignment="0" applyProtection="0"/>
    <xf numFmtId="0" fontId="105"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105" fillId="37" borderId="0" applyNumberFormat="0" applyBorder="0" applyAlignment="0" applyProtection="0"/>
    <xf numFmtId="0" fontId="24" fillId="0" borderId="0"/>
    <xf numFmtId="0" fontId="24" fillId="0" borderId="0"/>
    <xf numFmtId="0" fontId="8" fillId="13" borderId="38" applyNumberFormat="0" applyFont="0" applyAlignment="0" applyProtection="0"/>
    <xf numFmtId="0" fontId="24" fillId="0" borderId="0"/>
    <xf numFmtId="43" fontId="24" fillId="0" borderId="0" applyFont="0" applyFill="0" applyBorder="0" applyAlignment="0" applyProtection="0"/>
    <xf numFmtId="0" fontId="109" fillId="0" borderId="0"/>
    <xf numFmtId="9" fontId="24" fillId="0" borderId="0" applyFont="0" applyFill="0" applyBorder="0" applyAlignment="0" applyProtection="0"/>
    <xf numFmtId="0" fontId="7" fillId="0" borderId="0"/>
    <xf numFmtId="0" fontId="51" fillId="0" borderId="0"/>
    <xf numFmtId="44" fontId="6" fillId="0" borderId="0" applyFont="0" applyFill="0" applyBorder="0" applyAlignment="0" applyProtection="0"/>
    <xf numFmtId="0" fontId="132" fillId="0" borderId="0" applyNumberFormat="0" applyFill="0" applyBorder="0" applyAlignment="0" applyProtection="0">
      <alignment vertical="top"/>
      <protection locked="0"/>
    </xf>
    <xf numFmtId="0" fontId="4" fillId="0" borderId="0"/>
    <xf numFmtId="0" fontId="24" fillId="0" borderId="0" applyFont="0" applyAlignment="0"/>
    <xf numFmtId="0" fontId="24" fillId="0" borderId="0" applyNumberFormat="0" applyFont="0" applyAlignment="0"/>
    <xf numFmtId="172" fontId="24" fillId="0" borderId="0" applyFill="0"/>
    <xf numFmtId="0" fontId="24" fillId="0" borderId="0" applyFill="0">
      <alignment horizontal="center" vertical="center" wrapText="1"/>
    </xf>
    <xf numFmtId="39" fontId="24" fillId="0" borderId="0" applyFont="0" applyFill="0" applyBorder="0" applyAlignment="0" applyProtection="0"/>
    <xf numFmtId="43" fontId="24" fillId="0" borderId="0" applyFont="0" applyFill="0" applyBorder="0" applyAlignment="0" applyProtection="0"/>
    <xf numFmtId="175" fontId="24" fillId="0" borderId="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5" fontId="24" fillId="0" borderId="0" applyFont="0" applyFill="0" applyBorder="0" applyAlignment="0" applyProtection="0"/>
    <xf numFmtId="14" fontId="24" fillId="0" borderId="0" applyFont="0" applyFill="0" applyBorder="0" applyAlignment="0" applyProtection="0"/>
    <xf numFmtId="2" fontId="24" fillId="0" borderId="0" applyFont="0" applyFill="0" applyBorder="0" applyAlignment="0" applyProtection="0"/>
    <xf numFmtId="0" fontId="24" fillId="0" borderId="0"/>
    <xf numFmtId="0" fontId="24" fillId="0" borderId="0"/>
    <xf numFmtId="0" fontId="4" fillId="0" borderId="0"/>
    <xf numFmtId="0" fontId="4"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24" fillId="0" borderId="0">
      <alignment horizontal="left" vertical="top"/>
    </xf>
    <xf numFmtId="3" fontId="24" fillId="0" borderId="0">
      <alignment horizontal="right" vertical="top"/>
    </xf>
    <xf numFmtId="0" fontId="24" fillId="0" borderId="0" applyNumberFormat="0" applyFont="0" applyBorder="0" applyAlignment="0"/>
    <xf numFmtId="0" fontId="24" fillId="0" borderId="0" applyNumberFormat="0" applyFont="0" applyFill="0" applyBorder="0" applyAlignment="0"/>
    <xf numFmtId="0" fontId="24" fillId="0" borderId="0" applyNumberFormat="0" applyFont="0" applyBorder="0" applyAlignment="0"/>
    <xf numFmtId="0" fontId="24" fillId="0" borderId="0" applyNumberFormat="0" applyFont="0" applyBorder="0" applyAlignment="0"/>
    <xf numFmtId="0" fontId="24" fillId="0" borderId="0" applyFill="0">
      <alignment horizontal="left" indent="4"/>
    </xf>
    <xf numFmtId="0" fontId="24" fillId="0" borderId="0" applyNumberFormat="0" applyFont="0" applyBorder="0" applyAlignment="0"/>
    <xf numFmtId="0" fontId="24" fillId="0" borderId="0" applyNumberFormat="0" applyFont="0" applyFill="0" applyBorder="0" applyAlignment="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24" fillId="0" borderId="0"/>
    <xf numFmtId="0" fontId="4" fillId="0" borderId="0"/>
    <xf numFmtId="0" fontId="149" fillId="0" borderId="0"/>
    <xf numFmtId="43" fontId="24" fillId="0" borderId="0" applyFont="0" applyFill="0" applyBorder="0" applyAlignment="0" applyProtection="0"/>
    <xf numFmtId="44" fontId="2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 fillId="0" borderId="0"/>
    <xf numFmtId="0" fontId="24" fillId="0" borderId="0" applyFont="0" applyAlignment="0"/>
    <xf numFmtId="0" fontId="24" fillId="0" borderId="0" applyNumberFormat="0" applyFont="0" applyAlignment="0"/>
    <xf numFmtId="172" fontId="24" fillId="0" borderId="0" applyFill="0"/>
    <xf numFmtId="0" fontId="24" fillId="0" borderId="0" applyFill="0">
      <alignment horizontal="center" vertical="center" wrapText="1"/>
    </xf>
    <xf numFmtId="39" fontId="24" fillId="0" borderId="0" applyFont="0" applyFill="0" applyBorder="0" applyAlignment="0" applyProtection="0"/>
    <xf numFmtId="43" fontId="24" fillId="0" borderId="0" applyFont="0" applyFill="0" applyBorder="0" applyAlignment="0" applyProtection="0"/>
    <xf numFmtId="175" fontId="24" fillId="0" borderId="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5" fontId="24" fillId="0" borderId="0" applyFont="0" applyFill="0" applyBorder="0" applyAlignment="0" applyProtection="0"/>
    <xf numFmtId="14" fontId="24" fillId="0" borderId="0" applyFont="0" applyFill="0" applyBorder="0" applyAlignment="0" applyProtection="0"/>
    <xf numFmtId="2" fontId="24" fillId="0" borderId="0" applyFont="0" applyFill="0" applyBorder="0" applyAlignment="0" applyProtection="0"/>
    <xf numFmtId="0" fontId="24" fillId="0" borderId="0"/>
    <xf numFmtId="0" fontId="24" fillId="0" borderId="0"/>
    <xf numFmtId="0" fontId="4" fillId="0" borderId="0"/>
    <xf numFmtId="0" fontId="4"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24" fillId="0" borderId="0">
      <alignment horizontal="left" vertical="top"/>
    </xf>
    <xf numFmtId="3" fontId="24" fillId="0" borderId="0">
      <alignment horizontal="right" vertical="top"/>
    </xf>
    <xf numFmtId="0" fontId="24" fillId="0" borderId="0" applyNumberFormat="0" applyFont="0" applyBorder="0" applyAlignment="0"/>
    <xf numFmtId="0" fontId="24" fillId="0" borderId="0" applyNumberFormat="0" applyFont="0" applyFill="0" applyBorder="0" applyAlignment="0"/>
    <xf numFmtId="0" fontId="24" fillId="0" borderId="0" applyNumberFormat="0" applyFont="0" applyBorder="0" applyAlignment="0"/>
    <xf numFmtId="0" fontId="24" fillId="0" borderId="0" applyNumberFormat="0" applyFont="0" applyBorder="0" applyAlignment="0"/>
    <xf numFmtId="0" fontId="24" fillId="0" borderId="0" applyFill="0">
      <alignment horizontal="left" indent="4"/>
    </xf>
    <xf numFmtId="0" fontId="24" fillId="0" borderId="0" applyNumberFormat="0" applyFont="0" applyBorder="0" applyAlignment="0"/>
    <xf numFmtId="0" fontId="24" fillId="0" borderId="0" applyNumberFormat="0" applyFont="0" applyFill="0" applyBorder="0" applyAlignment="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24" fillId="0" borderId="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3" borderId="38" applyNumberFormat="0" applyFont="0" applyAlignment="0" applyProtection="0"/>
    <xf numFmtId="0" fontId="3" fillId="0" borderId="0"/>
    <xf numFmtId="43" fontId="3" fillId="0" borderId="0" applyFont="0" applyFill="0" applyBorder="0" applyAlignment="0" applyProtection="0"/>
    <xf numFmtId="0" fontId="3" fillId="0" borderId="0"/>
    <xf numFmtId="0" fontId="3" fillId="13" borderId="38" applyNumberFormat="0" applyFont="0" applyAlignment="0" applyProtection="0"/>
    <xf numFmtId="43" fontId="3" fillId="0" borderId="0" applyFont="0" applyFill="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52"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38" applyNumberFormat="0" applyFont="0" applyAlignment="0" applyProtection="0"/>
    <xf numFmtId="0" fontId="1" fillId="0" borderId="0"/>
    <xf numFmtId="43" fontId="1" fillId="0" borderId="0" applyFont="0" applyFill="0" applyBorder="0" applyAlignment="0" applyProtection="0"/>
    <xf numFmtId="0" fontId="1" fillId="0" borderId="0"/>
    <xf numFmtId="0" fontId="1" fillId="13" borderId="38" applyNumberFormat="0" applyFont="0" applyAlignment="0" applyProtection="0"/>
    <xf numFmtId="43"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007">
    <xf numFmtId="172" fontId="0" fillId="0" borderId="0" xfId="0" applyAlignment="1"/>
    <xf numFmtId="0" fontId="14" fillId="0" borderId="0" xfId="0" applyNumberFormat="1" applyFont="1" applyAlignment="1" applyProtection="1">
      <alignment horizontal="center"/>
      <protection locked="0"/>
    </xf>
    <xf numFmtId="0" fontId="14" fillId="0" borderId="0" xfId="0" applyNumberFormat="1" applyFont="1" applyAlignment="1" applyProtection="1">
      <protection locked="0"/>
    </xf>
    <xf numFmtId="172" fontId="14" fillId="0" borderId="0" xfId="0" applyFont="1" applyAlignment="1"/>
    <xf numFmtId="0" fontId="14" fillId="0" borderId="0" xfId="0" applyNumberFormat="1" applyFont="1" applyAlignment="1"/>
    <xf numFmtId="3" fontId="14" fillId="0" borderId="0" xfId="0" applyNumberFormat="1" applyFont="1" applyAlignment="1"/>
    <xf numFmtId="3" fontId="14" fillId="0" borderId="0" xfId="0" applyNumberFormat="1" applyFont="1" applyBorder="1" applyAlignment="1"/>
    <xf numFmtId="164" fontId="14" fillId="0" borderId="0" xfId="0" applyNumberFormat="1" applyFont="1" applyAlignment="1">
      <alignment horizontal="center"/>
    </xf>
    <xf numFmtId="3" fontId="14" fillId="0" borderId="0" xfId="0" applyNumberFormat="1" applyFont="1" applyFill="1" applyAlignment="1"/>
    <xf numFmtId="3" fontId="14" fillId="0" borderId="0" xfId="0" applyNumberFormat="1" applyFont="1" applyFill="1" applyAlignment="1">
      <alignment horizontal="right"/>
    </xf>
    <xf numFmtId="0" fontId="14" fillId="0" borderId="0" xfId="0" applyNumberFormat="1" applyFont="1" applyAlignment="1" applyProtection="1">
      <alignment horizontal="left"/>
      <protection locked="0"/>
    </xf>
    <xf numFmtId="0" fontId="14" fillId="0" borderId="0" xfId="0" applyNumberFormat="1" applyFont="1" applyProtection="1">
      <protection locked="0"/>
    </xf>
    <xf numFmtId="0" fontId="14" fillId="0" borderId="0" xfId="0" applyNumberFormat="1" applyFont="1"/>
    <xf numFmtId="0" fontId="14" fillId="0" borderId="0" xfId="0" applyNumberFormat="1" applyFont="1" applyAlignment="1">
      <alignment horizontal="right"/>
    </xf>
    <xf numFmtId="0" fontId="14" fillId="0" borderId="0" xfId="0" applyNumberFormat="1" applyFont="1" applyAlignment="1">
      <alignment horizontal="center"/>
    </xf>
    <xf numFmtId="0" fontId="14" fillId="2" borderId="0" xfId="0" applyNumberFormat="1" applyFont="1" applyFill="1"/>
    <xf numFmtId="0" fontId="14" fillId="2" borderId="0" xfId="0" applyNumberFormat="1" applyFont="1" applyFill="1" applyAlignment="1" applyProtection="1">
      <alignment horizontal="right"/>
      <protection locked="0"/>
    </xf>
    <xf numFmtId="49" fontId="14" fillId="0" borderId="0" xfId="0" applyNumberFormat="1" applyFont="1"/>
    <xf numFmtId="0" fontId="14" fillId="0" borderId="1" xfId="0" applyNumberFormat="1" applyFont="1" applyBorder="1" applyAlignment="1" applyProtection="1">
      <alignment horizontal="center"/>
      <protection locked="0"/>
    </xf>
    <xf numFmtId="3" fontId="14" fillId="0" borderId="0" xfId="0" applyNumberFormat="1" applyFont="1"/>
    <xf numFmtId="0" fontId="14" fillId="0" borderId="1" xfId="0" applyNumberFormat="1" applyFont="1" applyBorder="1" applyAlignment="1" applyProtection="1">
      <alignment horizontal="centerContinuous"/>
      <protection locked="0"/>
    </xf>
    <xf numFmtId="166" fontId="14" fillId="0" borderId="0" xfId="0" applyNumberFormat="1" applyFont="1" applyAlignment="1"/>
    <xf numFmtId="3" fontId="14" fillId="2" borderId="0" xfId="0" applyNumberFormat="1" applyFont="1" applyFill="1"/>
    <xf numFmtId="0" fontId="16" fillId="0" borderId="0" xfId="0" applyNumberFormat="1" applyFont="1"/>
    <xf numFmtId="3" fontId="14" fillId="0" borderId="1" xfId="0" applyNumberFormat="1" applyFont="1" applyBorder="1" applyAlignment="1"/>
    <xf numFmtId="3" fontId="14" fillId="0" borderId="0" xfId="0" applyNumberFormat="1" applyFont="1" applyAlignment="1">
      <alignment horizontal="fill"/>
    </xf>
    <xf numFmtId="3" fontId="14" fillId="0" borderId="0" xfId="0" applyNumberFormat="1" applyFont="1" applyFill="1" applyBorder="1"/>
    <xf numFmtId="3" fontId="14" fillId="2" borderId="0" xfId="0" applyNumberFormat="1" applyFont="1" applyFill="1" applyBorder="1"/>
    <xf numFmtId="3" fontId="14" fillId="2" borderId="1" xfId="0" applyNumberFormat="1" applyFont="1" applyFill="1" applyBorder="1"/>
    <xf numFmtId="168" fontId="14" fillId="0" borderId="0" xfId="0" applyNumberFormat="1" applyFont="1"/>
    <xf numFmtId="168" fontId="14" fillId="0" borderId="0" xfId="0" applyNumberFormat="1" applyFont="1" applyAlignment="1">
      <alignment horizontal="center"/>
    </xf>
    <xf numFmtId="172" fontId="14" fillId="0" borderId="0" xfId="0" applyFont="1" applyAlignment="1">
      <alignment horizontal="center"/>
    </xf>
    <xf numFmtId="171" fontId="14" fillId="0" borderId="0" xfId="0" applyNumberFormat="1" applyFont="1" applyAlignment="1"/>
    <xf numFmtId="0" fontId="14" fillId="0" borderId="0" xfId="0" applyNumberFormat="1" applyFont="1" applyAlignment="1">
      <alignment horizontal="left"/>
    </xf>
    <xf numFmtId="49" fontId="14" fillId="0" borderId="0" xfId="0" applyNumberFormat="1" applyFont="1" applyAlignment="1">
      <alignment horizontal="left"/>
    </xf>
    <xf numFmtId="49" fontId="14" fillId="0" borderId="0" xfId="0" applyNumberFormat="1" applyFont="1" applyAlignment="1">
      <alignment horizontal="center"/>
    </xf>
    <xf numFmtId="3" fontId="17" fillId="0" borderId="0" xfId="0" applyNumberFormat="1" applyFont="1" applyAlignment="1">
      <alignment horizontal="center"/>
    </xf>
    <xf numFmtId="0" fontId="17" fillId="0" borderId="0" xfId="0" applyNumberFormat="1" applyFont="1" applyAlignment="1" applyProtection="1">
      <alignment horizontal="center"/>
      <protection locked="0"/>
    </xf>
    <xf numFmtId="172" fontId="17" fillId="0" borderId="0" xfId="0" applyFont="1" applyAlignment="1">
      <alignment horizontal="center"/>
    </xf>
    <xf numFmtId="3" fontId="17" fillId="0" borderId="0" xfId="0" applyNumberFormat="1" applyFont="1" applyAlignment="1"/>
    <xf numFmtId="0" fontId="17" fillId="0" borderId="0" xfId="0" applyNumberFormat="1" applyFont="1" applyAlignment="1"/>
    <xf numFmtId="165" fontId="14" fillId="0" borderId="0" xfId="0" applyNumberFormat="1" applyFont="1" applyAlignment="1"/>
    <xf numFmtId="3" fontId="14" fillId="2" borderId="1" xfId="0" applyNumberFormat="1" applyFont="1" applyFill="1" applyBorder="1" applyAlignment="1"/>
    <xf numFmtId="3" fontId="14" fillId="2" borderId="0" xfId="0" applyNumberFormat="1" applyFont="1" applyFill="1" applyAlignment="1"/>
    <xf numFmtId="0" fontId="14" fillId="0" borderId="0" xfId="0" applyNumberFormat="1" applyFont="1" applyAlignment="1">
      <alignment horizontal="fill"/>
    </xf>
    <xf numFmtId="165" fontId="14" fillId="0" borderId="0" xfId="0" applyNumberFormat="1" applyFont="1" applyAlignment="1">
      <alignment horizontal="right"/>
    </xf>
    <xf numFmtId="3" fontId="14" fillId="0" borderId="0" xfId="0" applyNumberFormat="1" applyFont="1" applyAlignment="1">
      <alignment horizontal="center"/>
    </xf>
    <xf numFmtId="172" fontId="14" fillId="0" borderId="1" xfId="0" applyFont="1" applyBorder="1" applyAlignment="1"/>
    <xf numFmtId="3" fontId="14" fillId="0" borderId="2" xfId="0" applyNumberFormat="1" applyFont="1" applyBorder="1" applyAlignment="1"/>
    <xf numFmtId="3" fontId="14" fillId="0" borderId="0" xfId="0" applyNumberFormat="1" applyFont="1" applyAlignment="1">
      <alignment horizontal="right"/>
    </xf>
    <xf numFmtId="0" fontId="14" fillId="0" borderId="0" xfId="0" applyNumberFormat="1" applyFont="1" applyFill="1" applyAlignment="1" applyProtection="1">
      <alignment horizontal="center"/>
      <protection locked="0"/>
    </xf>
    <xf numFmtId="0" fontId="14" fillId="0" borderId="0" xfId="0" applyNumberFormat="1" applyFont="1" applyFill="1" applyAlignment="1"/>
    <xf numFmtId="172" fontId="14" fillId="0" borderId="0" xfId="0" applyFont="1" applyFill="1" applyAlignment="1"/>
    <xf numFmtId="3" fontId="14" fillId="0" borderId="0" xfId="0" applyNumberFormat="1" applyFont="1" applyAlignment="1">
      <alignment horizontal="left"/>
    </xf>
    <xf numFmtId="166" fontId="14" fillId="0" borderId="0" xfId="0" applyNumberFormat="1" applyFont="1" applyAlignment="1">
      <alignment horizontal="right"/>
    </xf>
    <xf numFmtId="10" fontId="14" fillId="0" borderId="0" xfId="0" applyNumberFormat="1" applyFont="1" applyAlignment="1">
      <alignment horizontal="left"/>
    </xf>
    <xf numFmtId="166" fontId="14" fillId="0" borderId="0" xfId="0" applyNumberFormat="1" applyFont="1" applyAlignment="1">
      <alignment horizontal="center"/>
    </xf>
    <xf numFmtId="10" fontId="14" fillId="0" borderId="0" xfId="0" applyNumberFormat="1" applyFont="1" applyFill="1" applyAlignment="1">
      <alignment horizontal="right"/>
    </xf>
    <xf numFmtId="169" fontId="14" fillId="0" borderId="0" xfId="0" applyNumberFormat="1" applyFont="1" applyFill="1" applyAlignment="1">
      <alignment horizontal="right"/>
    </xf>
    <xf numFmtId="0" fontId="15" fillId="0" borderId="0" xfId="0" applyNumberFormat="1" applyFont="1" applyAlignment="1" applyProtection="1">
      <alignment horizontal="center"/>
      <protection locked="0"/>
    </xf>
    <xf numFmtId="172" fontId="15" fillId="0" borderId="0" xfId="0" applyFont="1" applyAlignment="1"/>
    <xf numFmtId="3" fontId="15" fillId="0" borderId="0" xfId="0" applyNumberFormat="1" applyFont="1" applyAlignment="1"/>
    <xf numFmtId="0" fontId="15" fillId="0" borderId="0" xfId="0" applyNumberFormat="1" applyFont="1"/>
    <xf numFmtId="0" fontId="15" fillId="0" borderId="0" xfId="0" applyNumberFormat="1" applyFont="1" applyAlignment="1">
      <alignment horizontal="center"/>
    </xf>
    <xf numFmtId="172" fontId="14" fillId="0" borderId="0" xfId="0" applyFont="1" applyAlignment="1">
      <alignment horizontal="right"/>
    </xf>
    <xf numFmtId="0" fontId="18" fillId="0" borderId="0" xfId="0" applyNumberFormat="1" applyFont="1"/>
    <xf numFmtId="0" fontId="14" fillId="0" borderId="1" xfId="0" applyNumberFormat="1" applyFont="1" applyBorder="1" applyProtection="1">
      <protection locked="0"/>
    </xf>
    <xf numFmtId="0" fontId="14" fillId="0" borderId="1" xfId="0" applyNumberFormat="1" applyFont="1" applyBorder="1"/>
    <xf numFmtId="49" fontId="14" fillId="0" borderId="0" xfId="0" applyNumberFormat="1" applyFont="1" applyAlignment="1"/>
    <xf numFmtId="172" fontId="14" fillId="0" borderId="0" xfId="0" applyFont="1" applyBorder="1" applyAlignment="1"/>
    <xf numFmtId="0" fontId="14" fillId="0" borderId="0" xfId="0" applyNumberFormat="1" applyFont="1" applyBorder="1" applyAlignment="1"/>
    <xf numFmtId="172" fontId="14" fillId="0" borderId="3" xfId="0" applyFont="1" applyBorder="1" applyAlignment="1"/>
    <xf numFmtId="3" fontId="16" fillId="0" borderId="0" xfId="0" applyNumberFormat="1" applyFont="1" applyBorder="1" applyAlignment="1"/>
    <xf numFmtId="165" fontId="14" fillId="0" borderId="0" xfId="0" applyNumberFormat="1" applyFont="1"/>
    <xf numFmtId="172" fontId="19" fillId="0" borderId="0" xfId="0" applyFont="1" applyBorder="1"/>
    <xf numFmtId="172" fontId="16" fillId="0" borderId="0" xfId="0" applyFont="1" applyBorder="1"/>
    <xf numFmtId="166" fontId="14" fillId="0" borderId="0" xfId="0" applyNumberFormat="1" applyFont="1"/>
    <xf numFmtId="3" fontId="14" fillId="0" borderId="1" xfId="0" applyNumberFormat="1" applyFont="1" applyBorder="1" applyAlignment="1">
      <alignment horizontal="center"/>
    </xf>
    <xf numFmtId="172" fontId="16" fillId="0" borderId="0" xfId="0" applyFont="1" applyBorder="1" applyAlignment="1"/>
    <xf numFmtId="4" fontId="14" fillId="0" borderId="0" xfId="0" applyNumberFormat="1" applyFont="1" applyAlignment="1"/>
    <xf numFmtId="172" fontId="16" fillId="0" borderId="4" xfId="0" applyFont="1" applyBorder="1" applyAlignment="1"/>
    <xf numFmtId="172" fontId="14" fillId="0" borderId="4" xfId="0" applyFont="1" applyBorder="1" applyAlignment="1"/>
    <xf numFmtId="172" fontId="14" fillId="0" borderId="5" xfId="0" applyFont="1" applyBorder="1" applyAlignment="1"/>
    <xf numFmtId="3" fontId="14" fillId="0" borderId="0" xfId="0" applyNumberFormat="1" applyFont="1" applyBorder="1" applyAlignment="1">
      <alignment horizontal="center"/>
    </xf>
    <xf numFmtId="166" fontId="14" fillId="0" borderId="0" xfId="0" applyNumberFormat="1" applyFont="1" applyAlignment="1" applyProtection="1">
      <alignment horizontal="center"/>
      <protection locked="0"/>
    </xf>
    <xf numFmtId="0" fontId="14" fillId="0" borderId="1" xfId="0" applyNumberFormat="1" applyFont="1" applyBorder="1" applyAlignment="1"/>
    <xf numFmtId="9" fontId="14" fillId="0" borderId="0" xfId="0" applyNumberFormat="1" applyFont="1" applyAlignment="1"/>
    <xf numFmtId="169" fontId="14" fillId="0" borderId="0" xfId="0" applyNumberFormat="1" applyFont="1" applyAlignment="1"/>
    <xf numFmtId="10" fontId="14" fillId="0" borderId="0" xfId="0" applyNumberFormat="1" applyFont="1" applyAlignment="1"/>
    <xf numFmtId="3" fontId="14" fillId="0" borderId="0" xfId="0" quotePrefix="1" applyNumberFormat="1" applyFont="1" applyAlignment="1"/>
    <xf numFmtId="0" fontId="15" fillId="0" borderId="0" xfId="0" applyNumberFormat="1" applyFont="1" applyProtection="1">
      <protection locked="0"/>
    </xf>
    <xf numFmtId="172" fontId="14" fillId="0" borderId="0" xfId="0" applyFont="1" applyFill="1" applyAlignment="1" applyProtection="1"/>
    <xf numFmtId="170" fontId="14" fillId="0" borderId="0" xfId="0" applyNumberFormat="1" applyFont="1" applyFill="1" applyBorder="1" applyProtection="1"/>
    <xf numFmtId="3" fontId="16" fillId="0" borderId="0" xfId="0" applyNumberFormat="1" applyFont="1" applyAlignment="1">
      <alignment horizontal="left"/>
    </xf>
    <xf numFmtId="0" fontId="14" fillId="0" borderId="0" xfId="0" applyNumberFormat="1" applyFont="1" applyBorder="1" applyAlignment="1" applyProtection="1">
      <protection locked="0"/>
    </xf>
    <xf numFmtId="0" fontId="14" fillId="0" borderId="0" xfId="0" applyNumberFormat="1" applyFont="1" applyBorder="1" applyProtection="1">
      <protection locked="0"/>
    </xf>
    <xf numFmtId="0" fontId="15" fillId="0" borderId="0" xfId="0" applyNumberFormat="1" applyFont="1" applyAlignment="1" applyProtection="1">
      <protection locked="0"/>
    </xf>
    <xf numFmtId="170" fontId="14" fillId="0" borderId="0" xfId="0" applyNumberFormat="1" applyFont="1" applyFill="1" applyBorder="1" applyAlignment="1" applyProtection="1"/>
    <xf numFmtId="0" fontId="15" fillId="0" borderId="0" xfId="0" applyNumberFormat="1" applyFont="1" applyAlignment="1"/>
    <xf numFmtId="172" fontId="14" fillId="0" borderId="0" xfId="0" applyNumberFormat="1" applyFont="1" applyAlignment="1" applyProtection="1">
      <protection locked="0"/>
    </xf>
    <xf numFmtId="3" fontId="14" fillId="0" borderId="0" xfId="0" applyNumberFormat="1" applyFont="1" applyProtection="1">
      <protection locked="0"/>
    </xf>
    <xf numFmtId="170" fontId="14" fillId="0" borderId="0" xfId="0" applyNumberFormat="1" applyFont="1" applyAlignment="1" applyProtection="1">
      <alignment horizontal="right"/>
      <protection locked="0"/>
    </xf>
    <xf numFmtId="170" fontId="14" fillId="0" borderId="0" xfId="0" applyNumberFormat="1" applyFont="1" applyProtection="1">
      <protection locked="0"/>
    </xf>
    <xf numFmtId="3" fontId="14" fillId="0" borderId="0" xfId="0" applyNumberFormat="1" applyFont="1" applyFill="1" applyAlignment="1" applyProtection="1"/>
    <xf numFmtId="0" fontId="16" fillId="0" borderId="0" xfId="0" applyNumberFormat="1" applyFont="1" applyFill="1" applyAlignment="1" applyProtection="1">
      <alignment horizontal="left"/>
      <protection locked="0"/>
    </xf>
    <xf numFmtId="172" fontId="14" fillId="2" borderId="0" xfId="0" applyFont="1" applyFill="1" applyAlignment="1"/>
    <xf numFmtId="0" fontId="14" fillId="2" borderId="0" xfId="0" applyNumberFormat="1" applyFont="1" applyFill="1" applyProtection="1">
      <protection locked="0"/>
    </xf>
    <xf numFmtId="0" fontId="14" fillId="0" borderId="0" xfId="0" applyNumberFormat="1" applyFont="1" applyAlignment="1" applyProtection="1">
      <alignment horizontal="left" indent="8"/>
      <protection locked="0"/>
    </xf>
    <xf numFmtId="9" fontId="14" fillId="0" borderId="1" xfId="0" applyNumberFormat="1" applyFont="1" applyBorder="1" applyAlignment="1"/>
    <xf numFmtId="171" fontId="14" fillId="0" borderId="0" xfId="0" applyNumberFormat="1" applyFont="1" applyBorder="1" applyProtection="1">
      <protection locked="0"/>
    </xf>
    <xf numFmtId="0" fontId="14" fillId="0" borderId="0" xfId="0" applyNumberFormat="1" applyFont="1" applyBorder="1"/>
    <xf numFmtId="0" fontId="14" fillId="0" borderId="6" xfId="0" applyNumberFormat="1" applyFont="1" applyBorder="1" applyAlignment="1">
      <alignment horizontal="center"/>
    </xf>
    <xf numFmtId="0" fontId="14" fillId="0" borderId="0" xfId="0" applyNumberFormat="1" applyFont="1" applyBorder="1" applyAlignment="1">
      <alignment horizontal="center"/>
    </xf>
    <xf numFmtId="0" fontId="14" fillId="0" borderId="3" xfId="0" applyNumberFormat="1" applyFont="1" applyBorder="1" applyAlignment="1">
      <alignment horizontal="center"/>
    </xf>
    <xf numFmtId="0" fontId="14" fillId="0" borderId="0" xfId="0" applyNumberFormat="1" applyFont="1" applyAlignment="1" applyProtection="1">
      <alignment vertical="top" wrapText="1"/>
      <protection locked="0"/>
    </xf>
    <xf numFmtId="3" fontId="14" fillId="0" borderId="0" xfId="0" applyNumberFormat="1" applyFont="1" applyAlignment="1">
      <alignment vertical="top" wrapText="1"/>
    </xf>
    <xf numFmtId="0" fontId="14" fillId="0" borderId="0" xfId="0" applyNumberFormat="1" applyFont="1" applyFill="1" applyAlignment="1" applyProtection="1">
      <alignment vertical="top" wrapText="1"/>
      <protection locked="0"/>
    </xf>
    <xf numFmtId="10" fontId="14" fillId="2" borderId="0" xfId="0" applyNumberFormat="1" applyFont="1" applyFill="1" applyAlignment="1" applyProtection="1">
      <alignment vertical="top" wrapText="1"/>
      <protection locked="0"/>
    </xf>
    <xf numFmtId="0" fontId="15" fillId="0" borderId="0" xfId="0" applyNumberFormat="1" applyFont="1" applyAlignment="1" applyProtection="1">
      <alignment vertical="top" wrapText="1"/>
      <protection locked="0"/>
    </xf>
    <xf numFmtId="0" fontId="14" fillId="0" borderId="0" xfId="0" applyNumberFormat="1" applyFont="1" applyFill="1" applyAlignment="1" applyProtection="1">
      <alignment horizontal="left" vertical="top" wrapText="1" indent="8"/>
      <protection locked="0"/>
    </xf>
    <xf numFmtId="0" fontId="14" fillId="0" borderId="0" xfId="0" applyNumberFormat="1" applyFont="1" applyFill="1"/>
    <xf numFmtId="0" fontId="14" fillId="2" borderId="1" xfId="0" applyNumberFormat="1" applyFont="1" applyFill="1" applyBorder="1" applyAlignment="1"/>
    <xf numFmtId="170" fontId="14" fillId="2" borderId="6" xfId="0" applyNumberFormat="1" applyFont="1" applyFill="1" applyBorder="1" applyAlignment="1"/>
    <xf numFmtId="170" fontId="14" fillId="2" borderId="7" xfId="0" applyNumberFormat="1" applyFont="1" applyFill="1" applyBorder="1" applyAlignment="1"/>
    <xf numFmtId="170" fontId="14" fillId="0" borderId="6" xfId="0" applyNumberFormat="1" applyFont="1" applyBorder="1" applyAlignment="1"/>
    <xf numFmtId="170" fontId="14" fillId="0" borderId="6" xfId="0" applyNumberFormat="1" applyFont="1" applyFill="1" applyBorder="1" applyAlignment="1"/>
    <xf numFmtId="170" fontId="14" fillId="0" borderId="7" xfId="0" applyNumberFormat="1" applyFont="1" applyBorder="1" applyAlignment="1"/>
    <xf numFmtId="172" fontId="20" fillId="0" borderId="0" xfId="0" applyFont="1" applyAlignment="1"/>
    <xf numFmtId="3" fontId="14" fillId="0" borderId="2" xfId="0" applyNumberFormat="1" applyFont="1" applyFill="1" applyBorder="1" applyAlignment="1"/>
    <xf numFmtId="0" fontId="14" fillId="0" borderId="0" xfId="0" applyNumberFormat="1" applyFont="1" applyFill="1" applyAlignment="1">
      <alignment horizontal="fill"/>
    </xf>
    <xf numFmtId="3" fontId="21" fillId="0" borderId="0" xfId="0" applyNumberFormat="1" applyFont="1" applyAlignment="1"/>
    <xf numFmtId="0" fontId="14" fillId="0" borderId="0" xfId="0" applyNumberFormat="1" applyFont="1" applyFill="1" applyAlignment="1">
      <alignment horizontal="left" vertical="top"/>
    </xf>
    <xf numFmtId="0" fontId="14" fillId="0" borderId="0" xfId="0" applyNumberFormat="1" applyFont="1" applyFill="1" applyAlignment="1">
      <alignment vertical="top"/>
    </xf>
    <xf numFmtId="0" fontId="14" fillId="0" borderId="0" xfId="0" applyNumberFormat="1" applyFont="1" applyFill="1" applyBorder="1" applyAlignment="1" applyProtection="1">
      <protection locked="0"/>
    </xf>
    <xf numFmtId="0" fontId="14" fillId="0" borderId="0" xfId="0" applyNumberFormat="1" applyFont="1" applyFill="1" applyBorder="1" applyProtection="1">
      <protection locked="0"/>
    </xf>
    <xf numFmtId="0" fontId="14" fillId="0" borderId="1" xfId="0" applyNumberFormat="1" applyFont="1" applyFill="1" applyBorder="1" applyAlignment="1" applyProtection="1">
      <protection locked="0"/>
    </xf>
    <xf numFmtId="0" fontId="14" fillId="0" borderId="1" xfId="0" applyNumberFormat="1" applyFont="1" applyFill="1" applyBorder="1" applyProtection="1">
      <protection locked="0"/>
    </xf>
    <xf numFmtId="0" fontId="26" fillId="0" borderId="0" xfId="2" applyFont="1"/>
    <xf numFmtId="0" fontId="24" fillId="0" borderId="0" xfId="2"/>
    <xf numFmtId="0" fontId="24" fillId="0" borderId="11" xfId="2" applyBorder="1" applyAlignment="1">
      <alignment horizontal="center"/>
    </xf>
    <xf numFmtId="0" fontId="24" fillId="0" borderId="3" xfId="2" applyBorder="1"/>
    <xf numFmtId="0" fontId="24" fillId="0" borderId="3" xfId="2" applyBorder="1" applyAlignment="1">
      <alignment horizontal="center"/>
    </xf>
    <xf numFmtId="0" fontId="24" fillId="0" borderId="12" xfId="2" applyBorder="1" applyAlignment="1">
      <alignment horizontal="center"/>
    </xf>
    <xf numFmtId="0" fontId="24" fillId="0" borderId="5" xfId="2" applyBorder="1" applyAlignment="1">
      <alignment horizontal="center"/>
    </xf>
    <xf numFmtId="0" fontId="24" fillId="0" borderId="5" xfId="2" applyFill="1" applyBorder="1" applyAlignment="1">
      <alignment horizontal="center"/>
    </xf>
    <xf numFmtId="0" fontId="24" fillId="0" borderId="13" xfId="2" applyBorder="1" applyAlignment="1">
      <alignment horizontal="center"/>
    </xf>
    <xf numFmtId="0" fontId="29" fillId="0" borderId="11" xfId="2" applyFont="1" applyBorder="1" applyAlignment="1">
      <alignment horizontal="center"/>
    </xf>
    <xf numFmtId="43" fontId="0" fillId="0" borderId="11" xfId="3" applyFont="1" applyFill="1" applyBorder="1"/>
    <xf numFmtId="0" fontId="24" fillId="0" borderId="11" xfId="2" applyFill="1" applyBorder="1" applyAlignment="1">
      <alignment horizontal="center"/>
    </xf>
    <xf numFmtId="0" fontId="29" fillId="0" borderId="11" xfId="2" applyFont="1" applyFill="1" applyBorder="1" applyAlignment="1">
      <alignment horizontal="center"/>
    </xf>
    <xf numFmtId="0" fontId="24" fillId="0" borderId="13" xfId="2" applyBorder="1"/>
    <xf numFmtId="37" fontId="0" fillId="0" borderId="13" xfId="3" applyNumberFormat="1" applyFont="1" applyFill="1" applyBorder="1"/>
    <xf numFmtId="0" fontId="24" fillId="0" borderId="13" xfId="2" applyFill="1" applyBorder="1" applyAlignment="1">
      <alignment horizontal="center"/>
    </xf>
    <xf numFmtId="0" fontId="24" fillId="0" borderId="13" xfId="2" applyFill="1" applyBorder="1"/>
    <xf numFmtId="0" fontId="24" fillId="0" borderId="12" xfId="2" applyBorder="1" applyAlignment="1">
      <alignment horizontal="left" indent="1"/>
    </xf>
    <xf numFmtId="173" fontId="30" fillId="0" borderId="12" xfId="4" applyNumberFormat="1" applyFont="1" applyFill="1" applyBorder="1"/>
    <xf numFmtId="0" fontId="24" fillId="0" borderId="12" xfId="2" applyFill="1" applyBorder="1" applyAlignment="1">
      <alignment horizontal="center"/>
    </xf>
    <xf numFmtId="0" fontId="24" fillId="0" borderId="12" xfId="2" applyFill="1" applyBorder="1"/>
    <xf numFmtId="0" fontId="24" fillId="0" borderId="14" xfId="2" applyBorder="1" applyAlignment="1">
      <alignment horizontal="center"/>
    </xf>
    <xf numFmtId="0" fontId="24" fillId="0" borderId="14" xfId="2" applyBorder="1"/>
    <xf numFmtId="0" fontId="24" fillId="0" borderId="14" xfId="2" applyFill="1" applyBorder="1" applyAlignment="1">
      <alignment horizontal="center"/>
    </xf>
    <xf numFmtId="0" fontId="24" fillId="0" borderId="14" xfId="2" applyFill="1" applyBorder="1"/>
    <xf numFmtId="0" fontId="24" fillId="0" borderId="13" xfId="2" applyBorder="1" applyAlignment="1">
      <alignment horizontal="left" indent="1"/>
    </xf>
    <xf numFmtId="37" fontId="30" fillId="0" borderId="13" xfId="3" applyNumberFormat="1" applyFont="1" applyFill="1" applyBorder="1"/>
    <xf numFmtId="0" fontId="24" fillId="0" borderId="12" xfId="2" applyFill="1" applyBorder="1" applyAlignment="1">
      <alignment horizontal="left" indent="1"/>
    </xf>
    <xf numFmtId="0" fontId="29" fillId="0" borderId="15" xfId="2" applyFont="1" applyFill="1" applyBorder="1"/>
    <xf numFmtId="37" fontId="29" fillId="0" borderId="16" xfId="3" applyNumberFormat="1" applyFont="1" applyFill="1" applyBorder="1"/>
    <xf numFmtId="0" fontId="24" fillId="0" borderId="17" xfId="2" applyFill="1" applyBorder="1" applyAlignment="1">
      <alignment horizontal="center"/>
    </xf>
    <xf numFmtId="0" fontId="29" fillId="0" borderId="18" xfId="2" applyFont="1" applyFill="1" applyBorder="1"/>
    <xf numFmtId="37" fontId="30" fillId="0" borderId="3" xfId="3" applyNumberFormat="1" applyFont="1" applyFill="1" applyBorder="1"/>
    <xf numFmtId="0" fontId="29" fillId="0" borderId="13" xfId="2" applyFont="1" applyFill="1" applyBorder="1" applyAlignment="1">
      <alignment horizontal="center"/>
    </xf>
    <xf numFmtId="0" fontId="24" fillId="0" borderId="6" xfId="2" applyBorder="1"/>
    <xf numFmtId="0" fontId="24" fillId="0" borderId="3" xfId="2" applyFill="1" applyBorder="1" applyAlignment="1">
      <alignment horizontal="center"/>
    </xf>
    <xf numFmtId="0" fontId="24" fillId="0" borderId="9" xfId="2" applyBorder="1" applyAlignment="1">
      <alignment horizontal="center"/>
    </xf>
    <xf numFmtId="0" fontId="29" fillId="0" borderId="11" xfId="2" applyFont="1" applyBorder="1"/>
    <xf numFmtId="37" fontId="29" fillId="0" borderId="11" xfId="3" applyNumberFormat="1" applyFont="1" applyFill="1" applyBorder="1"/>
    <xf numFmtId="0" fontId="29" fillId="0" borderId="19" xfId="2" applyFont="1" applyBorder="1"/>
    <xf numFmtId="0" fontId="29" fillId="0" borderId="13" xfId="2" applyFont="1" applyBorder="1" applyAlignment="1">
      <alignment horizontal="center"/>
    </xf>
    <xf numFmtId="0" fontId="24" fillId="0" borderId="12" xfId="2" applyBorder="1"/>
    <xf numFmtId="174" fontId="30" fillId="0" borderId="12" xfId="3" applyNumberFormat="1" applyFont="1" applyFill="1" applyBorder="1"/>
    <xf numFmtId="174" fontId="0" fillId="0" borderId="13" xfId="3" applyNumberFormat="1" applyFont="1" applyFill="1" applyBorder="1"/>
    <xf numFmtId="0" fontId="29" fillId="0" borderId="7" xfId="2" applyFont="1" applyFill="1" applyBorder="1"/>
    <xf numFmtId="174" fontId="29" fillId="0" borderId="16" xfId="3" applyNumberFormat="1" applyFont="1" applyFill="1" applyBorder="1"/>
    <xf numFmtId="0" fontId="29" fillId="0" borderId="18" xfId="2" applyFont="1" applyBorder="1"/>
    <xf numFmtId="0" fontId="29" fillId="0" borderId="12" xfId="2" applyFont="1" applyFill="1" applyBorder="1" applyAlignment="1">
      <alignment horizontal="center"/>
    </xf>
    <xf numFmtId="0" fontId="24" fillId="0" borderId="0" xfId="2" applyFill="1"/>
    <xf numFmtId="0" fontId="24" fillId="0" borderId="12" xfId="2" quotePrefix="1" applyFill="1" applyBorder="1" applyAlignment="1">
      <alignment horizontal="left" indent="1"/>
    </xf>
    <xf numFmtId="0" fontId="29" fillId="0" borderId="13" xfId="2" applyFont="1" applyBorder="1"/>
    <xf numFmtId="174" fontId="29" fillId="0" borderId="13" xfId="3" applyNumberFormat="1" applyFont="1" applyFill="1" applyBorder="1"/>
    <xf numFmtId="0" fontId="24" fillId="0" borderId="20" xfId="2" applyBorder="1" applyAlignment="1">
      <alignment horizontal="center"/>
    </xf>
    <xf numFmtId="0" fontId="29" fillId="0" borderId="21" xfId="2" applyFont="1" applyBorder="1"/>
    <xf numFmtId="173" fontId="29" fillId="0" borderId="16" xfId="4" applyNumberFormat="1" applyFont="1" applyFill="1" applyBorder="1"/>
    <xf numFmtId="0" fontId="24" fillId="0" borderId="22" xfId="2" applyFill="1" applyBorder="1" applyAlignment="1">
      <alignment horizontal="center"/>
    </xf>
    <xf numFmtId="0" fontId="29" fillId="0" borderId="21" xfId="2" applyFont="1" applyFill="1" applyBorder="1"/>
    <xf numFmtId="0" fontId="24" fillId="0" borderId="0" xfId="2" applyBorder="1"/>
    <xf numFmtId="37" fontId="0" fillId="0" borderId="0" xfId="3" applyNumberFormat="1" applyFont="1" applyFill="1" applyBorder="1"/>
    <xf numFmtId="0" fontId="24" fillId="0" borderId="0" xfId="2" applyFill="1" applyBorder="1"/>
    <xf numFmtId="37" fontId="24" fillId="0" borderId="0" xfId="2" applyNumberFormat="1" applyFill="1" applyBorder="1"/>
    <xf numFmtId="37" fontId="24" fillId="0" borderId="0" xfId="2" applyNumberFormat="1" applyBorder="1"/>
    <xf numFmtId="0" fontId="27" fillId="0" borderId="0" xfId="2" applyFont="1" applyAlignment="1">
      <alignment horizontal="left"/>
    </xf>
    <xf numFmtId="14" fontId="27" fillId="0" borderId="0" xfId="2" applyNumberFormat="1" applyFont="1" applyAlignment="1">
      <alignment horizontal="left"/>
    </xf>
    <xf numFmtId="0" fontId="26" fillId="0" borderId="0" xfId="2" applyFont="1" applyAlignment="1">
      <alignment horizontal="left"/>
    </xf>
    <xf numFmtId="0" fontId="28" fillId="0" borderId="0" xfId="2" applyFont="1" applyBorder="1" applyAlignment="1">
      <alignment horizontal="left"/>
    </xf>
    <xf numFmtId="0" fontId="24" fillId="0" borderId="10" xfId="2" applyFill="1" applyBorder="1"/>
    <xf numFmtId="0" fontId="24" fillId="0" borderId="10" xfId="2" applyFill="1" applyBorder="1" applyAlignment="1">
      <alignment horizontal="center"/>
    </xf>
    <xf numFmtId="0" fontId="24" fillId="0" borderId="5" xfId="2" applyFill="1" applyBorder="1"/>
    <xf numFmtId="174" fontId="30" fillId="0" borderId="5" xfId="3" applyNumberFormat="1" applyFont="1" applyFill="1" applyBorder="1"/>
    <xf numFmtId="0" fontId="24" fillId="0" borderId="17" xfId="2" applyFill="1" applyBorder="1"/>
    <xf numFmtId="0" fontId="24" fillId="0" borderId="3" xfId="2" applyFill="1" applyBorder="1"/>
    <xf numFmtId="174" fontId="30" fillId="0" borderId="3" xfId="3" applyNumberFormat="1" applyFont="1" applyFill="1" applyBorder="1"/>
    <xf numFmtId="0" fontId="24" fillId="0" borderId="23" xfId="2" applyFill="1" applyBorder="1" applyAlignment="1">
      <alignment horizontal="center"/>
    </xf>
    <xf numFmtId="0" fontId="24" fillId="0" borderId="24" xfId="2" applyFill="1" applyBorder="1"/>
    <xf numFmtId="174" fontId="29" fillId="0" borderId="25" xfId="3" applyNumberFormat="1" applyFont="1" applyFill="1" applyBorder="1"/>
    <xf numFmtId="0" fontId="29" fillId="0" borderId="24" xfId="2" applyFont="1" applyFill="1" applyBorder="1"/>
    <xf numFmtId="0" fontId="26" fillId="0" borderId="23" xfId="2" applyFont="1" applyFill="1" applyBorder="1" applyAlignment="1">
      <alignment horizontal="center"/>
    </xf>
    <xf numFmtId="0" fontId="26" fillId="0" borderId="24" xfId="2" applyFont="1" applyFill="1" applyBorder="1"/>
    <xf numFmtId="173" fontId="29" fillId="0" borderId="26" xfId="4" applyNumberFormat="1" applyFont="1" applyFill="1" applyBorder="1"/>
    <xf numFmtId="37" fontId="24" fillId="0" borderId="0" xfId="2" applyNumberFormat="1"/>
    <xf numFmtId="0" fontId="27" fillId="0" borderId="0" xfId="2" applyFont="1" applyAlignment="1">
      <alignment horizontal="center"/>
    </xf>
    <xf numFmtId="0" fontId="29" fillId="0" borderId="0" xfId="2" applyFont="1"/>
    <xf numFmtId="14" fontId="27" fillId="0" borderId="0" xfId="2" applyNumberFormat="1" applyFont="1" applyAlignment="1">
      <alignment horizontal="center"/>
    </xf>
    <xf numFmtId="37" fontId="24" fillId="0" borderId="11" xfId="2" applyNumberFormat="1" applyBorder="1"/>
    <xf numFmtId="37" fontId="24" fillId="0" borderId="3" xfId="2" applyNumberFormat="1" applyBorder="1"/>
    <xf numFmtId="0" fontId="24" fillId="0" borderId="4" xfId="2" applyBorder="1"/>
    <xf numFmtId="0" fontId="24" fillId="0" borderId="4" xfId="2" applyFill="1" applyBorder="1" applyAlignment="1">
      <alignment horizontal="left" indent="1"/>
    </xf>
    <xf numFmtId="0" fontId="24" fillId="0" borderId="28" xfId="2" applyFill="1" applyBorder="1"/>
    <xf numFmtId="173" fontId="29" fillId="0" borderId="27" xfId="4" applyNumberFormat="1" applyFont="1" applyFill="1" applyBorder="1"/>
    <xf numFmtId="173" fontId="29" fillId="0" borderId="24" xfId="4" applyNumberFormat="1" applyFont="1" applyFill="1" applyBorder="1"/>
    <xf numFmtId="37" fontId="30" fillId="0" borderId="3" xfId="2" applyNumberFormat="1" applyFont="1" applyFill="1" applyBorder="1"/>
    <xf numFmtId="174" fontId="30" fillId="0" borderId="5" xfId="3" applyNumberFormat="1" applyFont="1" applyFill="1" applyBorder="1" applyAlignment="1">
      <alignment horizontal="right"/>
    </xf>
    <xf numFmtId="174" fontId="30" fillId="0" borderId="3" xfId="3" applyNumberFormat="1" applyFont="1" applyFill="1" applyBorder="1" applyAlignment="1">
      <alignment horizontal="right"/>
    </xf>
    <xf numFmtId="174" fontId="30" fillId="0" borderId="17" xfId="3" applyNumberFormat="1" applyFont="1" applyFill="1" applyBorder="1" applyAlignment="1">
      <alignment horizontal="right"/>
    </xf>
    <xf numFmtId="37" fontId="30" fillId="0" borderId="3" xfId="2" applyNumberFormat="1" applyFont="1" applyFill="1" applyBorder="1" applyAlignment="1">
      <alignment horizontal="right"/>
    </xf>
    <xf numFmtId="37" fontId="24" fillId="0" borderId="0" xfId="2" applyNumberFormat="1" applyFill="1"/>
    <xf numFmtId="0" fontId="26" fillId="0" borderId="0" xfId="2" applyFont="1" applyBorder="1"/>
    <xf numFmtId="0" fontId="26" fillId="0" borderId="5" xfId="2" applyFont="1" applyBorder="1" applyAlignment="1">
      <alignment horizontal="center"/>
    </xf>
    <xf numFmtId="170" fontId="14" fillId="0" borderId="0" xfId="0" applyNumberFormat="1" applyFont="1" applyAlignment="1"/>
    <xf numFmtId="0" fontId="26" fillId="0" borderId="3" xfId="2" applyFont="1" applyBorder="1" applyAlignment="1">
      <alignment horizontal="center"/>
    </xf>
    <xf numFmtId="37" fontId="26" fillId="0" borderId="3" xfId="2" applyNumberFormat="1" applyFont="1" applyBorder="1"/>
    <xf numFmtId="173" fontId="26" fillId="0" borderId="5" xfId="4" applyNumberFormat="1" applyFont="1" applyBorder="1"/>
    <xf numFmtId="174" fontId="26" fillId="0" borderId="5" xfId="3" applyNumberFormat="1" applyFont="1" applyBorder="1"/>
    <xf numFmtId="174" fontId="26" fillId="0" borderId="3" xfId="3" applyNumberFormat="1" applyFont="1" applyBorder="1"/>
    <xf numFmtId="0" fontId="26" fillId="0" borderId="5" xfId="2" applyFont="1" applyFill="1" applyBorder="1" applyAlignment="1">
      <alignment horizontal="center"/>
    </xf>
    <xf numFmtId="43" fontId="61" fillId="0" borderId="11" xfId="3" applyFont="1" applyFill="1" applyBorder="1"/>
    <xf numFmtId="37" fontId="61" fillId="0" borderId="13" xfId="3" applyNumberFormat="1" applyFont="1" applyFill="1" applyBorder="1"/>
    <xf numFmtId="37" fontId="61" fillId="0" borderId="14" xfId="3" applyNumberFormat="1" applyFont="1" applyFill="1" applyBorder="1"/>
    <xf numFmtId="174" fontId="61" fillId="0" borderId="13" xfId="3" applyNumberFormat="1" applyFont="1" applyFill="1" applyBorder="1"/>
    <xf numFmtId="174" fontId="61" fillId="0" borderId="12" xfId="3" applyNumberFormat="1" applyFont="1" applyFill="1" applyBorder="1"/>
    <xf numFmtId="174" fontId="61" fillId="0" borderId="0" xfId="3" applyNumberFormat="1" applyFont="1" applyFill="1" applyBorder="1"/>
    <xf numFmtId="43" fontId="61" fillId="0" borderId="0" xfId="3" applyFont="1" applyFill="1" applyBorder="1"/>
    <xf numFmtId="37" fontId="26" fillId="0" borderId="0" xfId="2" applyNumberFormat="1" applyFont="1" applyBorder="1"/>
    <xf numFmtId="43" fontId="61" fillId="0" borderId="0" xfId="3" applyFont="1" applyBorder="1"/>
    <xf numFmtId="43" fontId="26" fillId="0" borderId="0" xfId="2" applyNumberFormat="1" applyFont="1" applyBorder="1"/>
    <xf numFmtId="9" fontId="14" fillId="0" borderId="0" xfId="198" applyFont="1" applyFill="1" applyAlignment="1"/>
    <xf numFmtId="37" fontId="30" fillId="0" borderId="12" xfId="3" applyNumberFormat="1" applyFont="1" applyFill="1" applyBorder="1"/>
    <xf numFmtId="37" fontId="61" fillId="0" borderId="12" xfId="3" applyNumberFormat="1" applyFont="1" applyFill="1" applyBorder="1"/>
    <xf numFmtId="174" fontId="26" fillId="0" borderId="5" xfId="3" applyNumberFormat="1" applyFont="1" applyFill="1" applyBorder="1"/>
    <xf numFmtId="174" fontId="26" fillId="0" borderId="3" xfId="3" applyNumberFormat="1" applyFont="1" applyFill="1" applyBorder="1"/>
    <xf numFmtId="174" fontId="26" fillId="0" borderId="17" xfId="3" applyNumberFormat="1" applyFont="1" applyFill="1" applyBorder="1"/>
    <xf numFmtId="173" fontId="29" fillId="0" borderId="25" xfId="4" applyNumberFormat="1" applyFont="1" applyFill="1" applyBorder="1"/>
    <xf numFmtId="37" fontId="26" fillId="0" borderId="3" xfId="2" applyNumberFormat="1" applyFont="1" applyFill="1" applyBorder="1"/>
    <xf numFmtId="0" fontId="24" fillId="0" borderId="5" xfId="2" applyFill="1" applyBorder="1" applyAlignment="1">
      <alignment horizontal="left" indent="1"/>
    </xf>
    <xf numFmtId="174" fontId="61" fillId="0" borderId="5" xfId="3" applyNumberFormat="1" applyFont="1" applyFill="1" applyBorder="1"/>
    <xf numFmtId="174" fontId="61" fillId="0" borderId="3" xfId="3" applyNumberFormat="1" applyFont="1" applyFill="1" applyBorder="1"/>
    <xf numFmtId="37" fontId="26" fillId="0" borderId="0" xfId="2" applyNumberFormat="1" applyFont="1" applyFill="1"/>
    <xf numFmtId="0" fontId="24" fillId="0" borderId="7" xfId="2" applyFill="1" applyBorder="1"/>
    <xf numFmtId="37" fontId="24" fillId="0" borderId="4" xfId="2" applyNumberFormat="1" applyFill="1" applyBorder="1"/>
    <xf numFmtId="37" fontId="30" fillId="0" borderId="10" xfId="2" applyNumberFormat="1" applyFont="1" applyFill="1" applyBorder="1"/>
    <xf numFmtId="37" fontId="30" fillId="0" borderId="5" xfId="2" applyNumberFormat="1" applyFont="1" applyFill="1" applyBorder="1"/>
    <xf numFmtId="37" fontId="62" fillId="0" borderId="0" xfId="2" applyNumberFormat="1" applyFont="1" applyFill="1"/>
    <xf numFmtId="173" fontId="24" fillId="0" borderId="0" xfId="199" applyNumberFormat="1" applyFont="1"/>
    <xf numFmtId="174" fontId="24" fillId="0" borderId="0" xfId="1" applyNumberFormat="1" applyFont="1"/>
    <xf numFmtId="174" fontId="64" fillId="0" borderId="0" xfId="1" applyNumberFormat="1" applyFont="1"/>
    <xf numFmtId="0" fontId="64" fillId="0" borderId="0" xfId="2" applyFont="1"/>
    <xf numFmtId="0" fontId="64" fillId="0" borderId="0" xfId="2" applyFont="1" applyAlignment="1">
      <alignment horizontal="left"/>
    </xf>
    <xf numFmtId="0" fontId="64" fillId="0" borderId="11" xfId="2" applyFont="1" applyBorder="1" applyAlignment="1">
      <alignment horizontal="center"/>
    </xf>
    <xf numFmtId="0" fontId="64" fillId="0" borderId="10" xfId="2" applyFont="1" applyBorder="1" applyAlignment="1">
      <alignment horizontal="center"/>
    </xf>
    <xf numFmtId="0" fontId="64" fillId="0" borderId="12" xfId="2" applyFont="1" applyBorder="1" applyAlignment="1">
      <alignment horizontal="center"/>
    </xf>
    <xf numFmtId="0" fontId="64" fillId="0" borderId="5" xfId="2" applyFont="1" applyBorder="1" applyAlignment="1">
      <alignment horizontal="center"/>
    </xf>
    <xf numFmtId="0" fontId="64" fillId="0" borderId="13" xfId="2" applyFont="1" applyFill="1" applyBorder="1" applyAlignment="1">
      <alignment horizontal="center"/>
    </xf>
    <xf numFmtId="0" fontId="64" fillId="0" borderId="14" xfId="2" applyFont="1" applyBorder="1" applyAlignment="1">
      <alignment horizontal="center"/>
    </xf>
    <xf numFmtId="0" fontId="64" fillId="0" borderId="14" xfId="2" applyFont="1" applyBorder="1"/>
    <xf numFmtId="173" fontId="67" fillId="0" borderId="14" xfId="4" applyNumberFormat="1" applyFont="1" applyBorder="1"/>
    <xf numFmtId="173" fontId="68" fillId="0" borderId="14" xfId="4" applyNumberFormat="1" applyFont="1" applyBorder="1"/>
    <xf numFmtId="173" fontId="63" fillId="0" borderId="14" xfId="4" applyNumberFormat="1" applyFont="1" applyBorder="1"/>
    <xf numFmtId="174" fontId="68" fillId="0" borderId="14" xfId="3" applyNumberFormat="1" applyFont="1" applyBorder="1"/>
    <xf numFmtId="174" fontId="67" fillId="0" borderId="14" xfId="3" applyNumberFormat="1" applyFont="1" applyFill="1" applyBorder="1"/>
    <xf numFmtId="0" fontId="64" fillId="0" borderId="0" xfId="2" applyFont="1" applyFill="1"/>
    <xf numFmtId="173" fontId="64" fillId="0" borderId="14" xfId="4" applyNumberFormat="1" applyFont="1" applyFill="1" applyBorder="1"/>
    <xf numFmtId="174" fontId="67" fillId="0" borderId="11" xfId="3" applyNumberFormat="1" applyFont="1" applyFill="1" applyBorder="1"/>
    <xf numFmtId="173" fontId="64" fillId="0" borderId="11" xfId="4" applyNumberFormat="1" applyFont="1" applyFill="1" applyBorder="1"/>
    <xf numFmtId="0" fontId="68" fillId="0" borderId="18" xfId="2" applyFont="1" applyBorder="1"/>
    <xf numFmtId="173" fontId="68" fillId="0" borderId="27" xfId="4" applyNumberFormat="1" applyFont="1" applyFill="1" applyBorder="1"/>
    <xf numFmtId="173" fontId="68" fillId="0" borderId="23" xfId="4" applyNumberFormat="1" applyFont="1" applyFill="1" applyBorder="1"/>
    <xf numFmtId="173" fontId="68" fillId="0" borderId="26" xfId="4" applyNumberFormat="1" applyFont="1" applyFill="1" applyBorder="1"/>
    <xf numFmtId="173" fontId="68" fillId="0" borderId="16" xfId="4" applyNumberFormat="1" applyFont="1" applyFill="1" applyBorder="1"/>
    <xf numFmtId="0" fontId="68" fillId="0" borderId="14" xfId="2" applyFont="1" applyBorder="1"/>
    <xf numFmtId="173" fontId="68" fillId="0" borderId="12" xfId="4" applyNumberFormat="1" applyFont="1" applyFill="1" applyBorder="1"/>
    <xf numFmtId="173" fontId="64" fillId="0" borderId="0" xfId="4" applyNumberFormat="1" applyFont="1" applyFill="1"/>
    <xf numFmtId="173" fontId="64" fillId="0" borderId="0" xfId="2" applyNumberFormat="1" applyFont="1"/>
    <xf numFmtId="173" fontId="64" fillId="0" borderId="12" xfId="4" applyNumberFormat="1" applyFont="1" applyFill="1" applyBorder="1"/>
    <xf numFmtId="37" fontId="68" fillId="0" borderId="12" xfId="2" applyNumberFormat="1" applyFont="1" applyFill="1" applyBorder="1"/>
    <xf numFmtId="37" fontId="64" fillId="0" borderId="0" xfId="2" applyNumberFormat="1" applyFont="1"/>
    <xf numFmtId="170" fontId="14" fillId="0" borderId="0" xfId="0" applyNumberFormat="1" applyFont="1" applyFill="1" applyBorder="1" applyAlignment="1"/>
    <xf numFmtId="37" fontId="24" fillId="0" borderId="0" xfId="2" applyNumberFormat="1" applyFont="1" applyFill="1"/>
    <xf numFmtId="0" fontId="66" fillId="0" borderId="0" xfId="2" applyFont="1" applyBorder="1" applyAlignment="1">
      <alignment horizontal="left"/>
    </xf>
    <xf numFmtId="0" fontId="69" fillId="0" borderId="0" xfId="2" applyFont="1" applyAlignment="1">
      <alignment horizontal="left"/>
    </xf>
    <xf numFmtId="0" fontId="69" fillId="0" borderId="0" xfId="2" applyFont="1"/>
    <xf numFmtId="0" fontId="69" fillId="0" borderId="0" xfId="2" applyFont="1" applyFill="1" applyBorder="1"/>
    <xf numFmtId="0" fontId="69" fillId="0" borderId="0" xfId="2" applyFont="1" applyBorder="1"/>
    <xf numFmtId="37" fontId="69" fillId="0" borderId="0" xfId="2" applyNumberFormat="1" applyFont="1" applyBorder="1"/>
    <xf numFmtId="44" fontId="64" fillId="0" borderId="11" xfId="199" applyFont="1" applyFill="1" applyBorder="1"/>
    <xf numFmtId="44" fontId="64" fillId="0" borderId="0" xfId="199" applyFont="1" applyFill="1"/>
    <xf numFmtId="44" fontId="64" fillId="0" borderId="12" xfId="199" applyFont="1" applyFill="1" applyBorder="1"/>
    <xf numFmtId="0" fontId="71" fillId="0" borderId="0" xfId="204" applyFont="1"/>
    <xf numFmtId="0" fontId="72" fillId="0" borderId="0" xfId="204" applyFont="1"/>
    <xf numFmtId="0" fontId="11" fillId="0" borderId="0" xfId="204"/>
    <xf numFmtId="0" fontId="11" fillId="0" borderId="0" xfId="204" applyAlignment="1">
      <alignment vertical="center"/>
    </xf>
    <xf numFmtId="0" fontId="73" fillId="0" borderId="0" xfId="204" applyFont="1" applyAlignment="1">
      <alignment vertical="center"/>
    </xf>
    <xf numFmtId="0" fontId="73" fillId="0" borderId="0" xfId="204" applyFont="1" applyAlignment="1">
      <alignment horizontal="left" vertical="center"/>
    </xf>
    <xf numFmtId="0" fontId="70" fillId="0" borderId="4" xfId="204" applyFont="1" applyBorder="1" applyAlignment="1">
      <alignment horizontal="center" vertical="center" wrapText="1"/>
    </xf>
    <xf numFmtId="0" fontId="11" fillId="0" borderId="0" xfId="204" applyAlignment="1">
      <alignment horizontal="center" vertical="center" wrapText="1"/>
    </xf>
    <xf numFmtId="0" fontId="75" fillId="0" borderId="0" xfId="204" applyFont="1" applyAlignment="1">
      <alignment horizontal="center" vertical="center"/>
    </xf>
    <xf numFmtId="0" fontId="70"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6" fillId="0" borderId="0" xfId="206" applyNumberFormat="1" applyFont="1" applyAlignment="1">
      <alignment vertical="center"/>
    </xf>
    <xf numFmtId="0" fontId="77" fillId="0" borderId="0" xfId="204" applyFont="1" applyAlignment="1">
      <alignment horizontal="center" vertical="center"/>
    </xf>
    <xf numFmtId="173" fontId="11" fillId="0" borderId="0" xfId="204" applyNumberFormat="1" applyAlignment="1">
      <alignment vertical="center"/>
    </xf>
    <xf numFmtId="0" fontId="79" fillId="0" borderId="0" xfId="204" applyFont="1" applyAlignment="1">
      <alignment horizontal="center"/>
    </xf>
    <xf numFmtId="0" fontId="80" fillId="0" borderId="0" xfId="204" applyFont="1" applyAlignment="1">
      <alignment horizontal="center"/>
    </xf>
    <xf numFmtId="0" fontId="81" fillId="0" borderId="0" xfId="204" applyFont="1" applyAlignment="1">
      <alignment horizontal="left" indent="1"/>
    </xf>
    <xf numFmtId="0" fontId="11" fillId="0" borderId="0" xfId="204" applyAlignment="1"/>
    <xf numFmtId="0" fontId="81" fillId="0" borderId="0" xfId="204" applyFont="1" applyAlignment="1">
      <alignment horizontal="left" indent="2"/>
    </xf>
    <xf numFmtId="0" fontId="70" fillId="0" borderId="0" xfId="204" applyFont="1"/>
    <xf numFmtId="0" fontId="11" fillId="0" borderId="0" xfId="204" applyAlignment="1">
      <alignment horizontal="left" indent="1"/>
    </xf>
    <xf numFmtId="0" fontId="11" fillId="0" borderId="0" xfId="204" applyFont="1" applyAlignment="1">
      <alignment horizontal="left" indent="2"/>
    </xf>
    <xf numFmtId="0" fontId="11" fillId="0" borderId="0" xfId="204" applyFont="1" applyAlignment="1">
      <alignment horizontal="left" indent="1"/>
    </xf>
    <xf numFmtId="0" fontId="82" fillId="0" borderId="0" xfId="204" applyFont="1"/>
    <xf numFmtId="0" fontId="82" fillId="0" borderId="0" xfId="204" applyFont="1" applyAlignment="1">
      <alignment horizontal="left" indent="1"/>
    </xf>
    <xf numFmtId="0" fontId="11" fillId="0" borderId="0" xfId="204" applyFont="1"/>
    <xf numFmtId="0" fontId="70" fillId="0" borderId="0" xfId="204" applyFont="1" applyAlignment="1">
      <alignment horizontal="center"/>
    </xf>
    <xf numFmtId="0" fontId="11" fillId="0" borderId="0" xfId="204" applyAlignment="1">
      <alignment horizontal="center"/>
    </xf>
    <xf numFmtId="0" fontId="71" fillId="0" borderId="0" xfId="204" applyFont="1" applyAlignment="1"/>
    <xf numFmtId="178" fontId="83" fillId="0" borderId="0" xfId="208" applyFont="1" applyAlignment="1"/>
    <xf numFmtId="0" fontId="14" fillId="0" borderId="0" xfId="204" applyNumberFormat="1" applyFont="1" applyAlignment="1" applyProtection="1">
      <alignment horizontal="center"/>
      <protection locked="0"/>
    </xf>
    <xf numFmtId="0" fontId="14" fillId="0" borderId="0" xfId="204" applyNumberFormat="1" applyFont="1" applyAlignment="1" applyProtection="1">
      <protection locked="0"/>
    </xf>
    <xf numFmtId="0" fontId="14" fillId="0" borderId="0" xfId="204" applyNumberFormat="1" applyFont="1" applyBorder="1" applyAlignment="1" applyProtection="1">
      <protection locked="0"/>
    </xf>
    <xf numFmtId="0" fontId="14" fillId="0" borderId="0" xfId="204" applyNumberFormat="1" applyFont="1" applyFill="1" applyAlignment="1" applyProtection="1">
      <alignment horizontal="center"/>
      <protection locked="0"/>
    </xf>
    <xf numFmtId="0" fontId="14" fillId="0" borderId="0" xfId="204" applyNumberFormat="1" applyFont="1" applyFill="1" applyBorder="1" applyAlignment="1" applyProtection="1">
      <protection locked="0"/>
    </xf>
    <xf numFmtId="0" fontId="82" fillId="0" borderId="0" xfId="204" applyFont="1" applyAlignment="1">
      <alignment horizontal="left" indent="2"/>
    </xf>
    <xf numFmtId="0" fontId="10" fillId="0" borderId="0" xfId="211"/>
    <xf numFmtId="43" fontId="86" fillId="0" borderId="0" xfId="208" applyNumberFormat="1" applyFont="1" applyFill="1" applyBorder="1"/>
    <xf numFmtId="0" fontId="87" fillId="0" borderId="0" xfId="211" applyFont="1"/>
    <xf numFmtId="174" fontId="10" fillId="0" borderId="0" xfId="211" applyNumberFormat="1"/>
    <xf numFmtId="0" fontId="24" fillId="0" borderId="0" xfId="2" applyAlignment="1">
      <alignment horizontal="left"/>
    </xf>
    <xf numFmtId="0" fontId="87" fillId="0" borderId="0" xfId="204" applyFont="1" applyAlignment="1">
      <alignment horizontal="center" vertical="center" wrapText="1"/>
    </xf>
    <xf numFmtId="179" fontId="87" fillId="0" borderId="0" xfId="204" applyNumberFormat="1" applyFont="1" applyAlignment="1">
      <alignment vertical="center"/>
    </xf>
    <xf numFmtId="172" fontId="24" fillId="0" borderId="0" xfId="0" applyFont="1" applyBorder="1"/>
    <xf numFmtId="172" fontId="0" fillId="0" borderId="0" xfId="0"/>
    <xf numFmtId="172" fontId="0" fillId="0" borderId="11" xfId="0" applyBorder="1"/>
    <xf numFmtId="174" fontId="30"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9" fillId="0" borderId="0" xfId="3" applyFont="1" applyFill="1"/>
    <xf numFmtId="0" fontId="106" fillId="0" borderId="0" xfId="204" applyFont="1" applyAlignment="1"/>
    <xf numFmtId="0" fontId="107" fillId="0" borderId="0" xfId="211" applyFont="1" applyAlignment="1">
      <alignment horizontal="left" indent="2"/>
    </xf>
    <xf numFmtId="0" fontId="108" fillId="0" borderId="0" xfId="211" applyFont="1"/>
    <xf numFmtId="170" fontId="87" fillId="0" borderId="0" xfId="211" applyNumberFormat="1" applyFont="1"/>
    <xf numFmtId="170" fontId="87" fillId="0" borderId="9" xfId="211" applyNumberFormat="1" applyFont="1" applyBorder="1"/>
    <xf numFmtId="0" fontId="77" fillId="0" borderId="0" xfId="204" applyFont="1" applyFill="1" applyAlignment="1">
      <alignment horizontal="center" vertical="center"/>
    </xf>
    <xf numFmtId="0" fontId="10" fillId="0" borderId="0" xfId="204" applyFont="1" applyAlignment="1">
      <alignment vertical="center"/>
    </xf>
    <xf numFmtId="173" fontId="0" fillId="0" borderId="0" xfId="206" applyNumberFormat="1" applyFont="1" applyFill="1" applyAlignment="1">
      <alignment vertical="center"/>
    </xf>
    <xf numFmtId="173" fontId="69" fillId="0" borderId="0" xfId="199" applyNumberFormat="1" applyFont="1"/>
    <xf numFmtId="172" fontId="109" fillId="0" borderId="0" xfId="260" applyNumberFormat="1" applyFill="1" applyBorder="1" applyAlignment="1"/>
    <xf numFmtId="172" fontId="109" fillId="0" borderId="0" xfId="260" applyNumberFormat="1" applyFill="1" applyBorder="1" applyAlignment="1">
      <alignment horizontal="right"/>
    </xf>
    <xf numFmtId="0" fontId="27" fillId="0" borderId="0" xfId="260" applyNumberFormat="1" applyFont="1" applyFill="1" applyBorder="1" applyAlignment="1" applyProtection="1">
      <protection locked="0"/>
    </xf>
    <xf numFmtId="0" fontId="27" fillId="0" borderId="0" xfId="260" applyNumberFormat="1" applyFont="1" applyFill="1" applyBorder="1" applyAlignment="1" applyProtection="1">
      <alignment horizontal="left"/>
      <protection locked="0"/>
    </xf>
    <xf numFmtId="0" fontId="27" fillId="0" borderId="0" xfId="260" applyNumberFormat="1" applyFont="1" applyFill="1" applyBorder="1" applyProtection="1">
      <protection locked="0"/>
    </xf>
    <xf numFmtId="0" fontId="27" fillId="0" borderId="0" xfId="260" applyNumberFormat="1" applyFont="1" applyFill="1" applyBorder="1"/>
    <xf numFmtId="0" fontId="27" fillId="0" borderId="0" xfId="260" applyNumberFormat="1" applyFont="1" applyFill="1" applyBorder="1" applyAlignment="1" applyProtection="1">
      <alignment horizontal="right"/>
      <protection locked="0"/>
    </xf>
    <xf numFmtId="0" fontId="109" fillId="0" borderId="0" xfId="260" applyNumberFormat="1" applyFont="1" applyFill="1" applyBorder="1"/>
    <xf numFmtId="0" fontId="110" fillId="0" borderId="0" xfId="260" applyNumberFormat="1" applyFont="1" applyFill="1" applyBorder="1"/>
    <xf numFmtId="172" fontId="109" fillId="0" borderId="0" xfId="260" applyNumberFormat="1" applyFont="1" applyFill="1" applyBorder="1" applyAlignment="1"/>
    <xf numFmtId="3" fontId="27" fillId="0" borderId="0" xfId="260" applyNumberFormat="1" applyFont="1" applyFill="1" applyBorder="1" applyAlignment="1"/>
    <xf numFmtId="0" fontId="110" fillId="0" borderId="0" xfId="260" applyNumberFormat="1" applyFont="1" applyFill="1" applyBorder="1" applyAlignment="1">
      <alignment horizontal="center"/>
    </xf>
    <xf numFmtId="0" fontId="109" fillId="0" borderId="0" xfId="260" applyNumberFormat="1" applyFill="1" applyBorder="1" applyAlignment="1" applyProtection="1">
      <alignment horizontal="center"/>
      <protection locked="0"/>
    </xf>
    <xf numFmtId="49" fontId="27" fillId="0" borderId="0" xfId="260" applyNumberFormat="1" applyFont="1" applyFill="1" applyBorder="1"/>
    <xf numFmtId="3" fontId="27" fillId="0" borderId="0" xfId="260" applyNumberFormat="1" applyFont="1" applyFill="1" applyBorder="1"/>
    <xf numFmtId="0" fontId="27" fillId="0" borderId="0" xfId="260" applyNumberFormat="1" applyFont="1" applyFill="1" applyBorder="1" applyAlignment="1">
      <alignment horizontal="center"/>
    </xf>
    <xf numFmtId="49" fontId="27" fillId="0" borderId="0" xfId="260" applyNumberFormat="1" applyFont="1" applyFill="1" applyBorder="1" applyAlignment="1">
      <alignment horizontal="center"/>
    </xf>
    <xf numFmtId="3" fontId="109" fillId="0" borderId="0" xfId="260" applyNumberFormat="1" applyFont="1" applyFill="1" applyBorder="1" applyAlignment="1"/>
    <xf numFmtId="0" fontId="109" fillId="0" borderId="0" xfId="260" applyNumberFormat="1" applyFont="1" applyFill="1" applyBorder="1" applyAlignment="1"/>
    <xf numFmtId="0" fontId="27" fillId="0" borderId="0" xfId="260" applyNumberFormat="1" applyFont="1" applyFill="1" applyBorder="1" applyAlignment="1"/>
    <xf numFmtId="3" fontId="25" fillId="0" borderId="0" xfId="260" applyNumberFormat="1" applyFont="1" applyFill="1" applyBorder="1" applyAlignment="1">
      <alignment horizontal="center"/>
    </xf>
    <xf numFmtId="0" fontId="109" fillId="0" borderId="0" xfId="260" applyNumberFormat="1" applyFont="1" applyFill="1" applyBorder="1" applyAlignment="1">
      <alignment horizontal="center"/>
    </xf>
    <xf numFmtId="172" fontId="25" fillId="0" borderId="0" xfId="260" applyNumberFormat="1" applyFont="1" applyFill="1" applyBorder="1" applyAlignment="1">
      <alignment horizontal="center"/>
    </xf>
    <xf numFmtId="0" fontId="25" fillId="0" borderId="0" xfId="260" applyNumberFormat="1" applyFont="1" applyFill="1" applyBorder="1" applyAlignment="1" applyProtection="1">
      <alignment horizontal="center"/>
      <protection locked="0"/>
    </xf>
    <xf numFmtId="0" fontId="85" fillId="0" borderId="0" xfId="260" applyNumberFormat="1" applyFont="1" applyFill="1" applyBorder="1" applyAlignment="1">
      <alignment horizontal="center"/>
    </xf>
    <xf numFmtId="0" fontId="25" fillId="0" borderId="0" xfId="260" applyNumberFormat="1" applyFont="1" applyFill="1" applyBorder="1" applyAlignment="1"/>
    <xf numFmtId="0" fontId="111" fillId="0" borderId="0" xfId="260" applyNumberFormat="1" applyFont="1" applyFill="1" applyBorder="1" applyAlignment="1" applyProtection="1">
      <alignment horizontal="center"/>
      <protection locked="0"/>
    </xf>
    <xf numFmtId="3" fontId="27" fillId="0" borderId="0" xfId="260" applyNumberFormat="1" applyFont="1" applyFill="1" applyBorder="1" applyAlignment="1">
      <alignment horizontal="center"/>
    </xf>
    <xf numFmtId="10" fontId="27" fillId="0" borderId="0" xfId="260" applyNumberFormat="1" applyFont="1" applyFill="1" applyBorder="1" applyAlignment="1"/>
    <xf numFmtId="10" fontId="0" fillId="0" borderId="0" xfId="261" applyNumberFormat="1" applyFont="1" applyFill="1" applyBorder="1" applyAlignment="1"/>
    <xf numFmtId="10" fontId="25" fillId="0" borderId="0" xfId="260" applyNumberFormat="1" applyFont="1" applyFill="1" applyBorder="1" applyAlignment="1"/>
    <xf numFmtId="3" fontId="85" fillId="0" borderId="0" xfId="260" applyNumberFormat="1" applyFont="1" applyFill="1" applyBorder="1" applyAlignment="1"/>
    <xf numFmtId="165" fontId="25" fillId="0" borderId="0" xfId="260" applyNumberFormat="1" applyFont="1" applyFill="1" applyBorder="1" applyAlignment="1"/>
    <xf numFmtId="49" fontId="109" fillId="0" borderId="0" xfId="260" applyNumberFormat="1" applyFont="1" applyFill="1" applyBorder="1" applyAlignment="1">
      <alignment horizontal="center"/>
    </xf>
    <xf numFmtId="172" fontId="27" fillId="0" borderId="0" xfId="260" applyNumberFormat="1" applyFont="1" applyFill="1" applyBorder="1" applyAlignment="1">
      <alignment horizontal="center"/>
    </xf>
    <xf numFmtId="0" fontId="25" fillId="0" borderId="0" xfId="260" applyNumberFormat="1" applyFont="1" applyFill="1" applyBorder="1" applyAlignment="1">
      <alignment horizontal="center"/>
    </xf>
    <xf numFmtId="3" fontId="109" fillId="0" borderId="0" xfId="260" applyNumberFormat="1" applyFont="1" applyFill="1" applyBorder="1" applyAlignment="1">
      <alignment horizontal="center"/>
    </xf>
    <xf numFmtId="49" fontId="85" fillId="0" borderId="0" xfId="260" applyNumberFormat="1" applyFont="1" applyFill="1" applyBorder="1" applyAlignment="1">
      <alignment horizontal="center"/>
    </xf>
    <xf numFmtId="172" fontId="85" fillId="0" borderId="0" xfId="260" applyNumberFormat="1" applyFont="1" applyFill="1" applyBorder="1" applyAlignment="1"/>
    <xf numFmtId="3" fontId="25" fillId="0" borderId="0" xfId="260" applyNumberFormat="1" applyFont="1" applyFill="1" applyBorder="1" applyAlignment="1"/>
    <xf numFmtId="10" fontId="25" fillId="0" borderId="0" xfId="261" applyNumberFormat="1" applyFont="1" applyFill="1" applyBorder="1" applyAlignment="1"/>
    <xf numFmtId="0" fontId="109" fillId="0" borderId="0" xfId="260" applyNumberFormat="1" applyFont="1" applyFill="1" applyBorder="1" applyAlignment="1">
      <alignment horizontal="fill"/>
    </xf>
    <xf numFmtId="172" fontId="112" fillId="0" borderId="0" xfId="260" applyNumberFormat="1" applyFont="1" applyFill="1" applyBorder="1" applyAlignment="1"/>
    <xf numFmtId="3" fontId="113" fillId="0" borderId="0" xfId="260" applyNumberFormat="1" applyFont="1" applyFill="1" applyBorder="1" applyAlignment="1"/>
    <xf numFmtId="164" fontId="27" fillId="0" borderId="0" xfId="260" applyNumberFormat="1" applyFont="1" applyFill="1" applyBorder="1" applyAlignment="1">
      <alignment horizontal="center"/>
    </xf>
    <xf numFmtId="10" fontId="27" fillId="0" borderId="0" xfId="261" applyNumberFormat="1" applyFont="1" applyFill="1" applyBorder="1" applyAlignment="1"/>
    <xf numFmtId="170" fontId="109" fillId="0" borderId="0" xfId="260" applyNumberFormat="1" applyFill="1" applyBorder="1" applyAlignment="1"/>
    <xf numFmtId="0" fontId="113" fillId="0" borderId="0" xfId="260" applyNumberFormat="1" applyFont="1" applyFill="1" applyBorder="1"/>
    <xf numFmtId="172" fontId="27" fillId="0" borderId="0" xfId="260" applyNumberFormat="1" applyFont="1" applyFill="1" applyBorder="1" applyAlignment="1"/>
    <xf numFmtId="49" fontId="14" fillId="0" borderId="0" xfId="260" applyNumberFormat="1" applyFont="1" applyFill="1" applyBorder="1" applyAlignment="1">
      <alignment horizontal="left"/>
    </xf>
    <xf numFmtId="0" fontId="14" fillId="0" borderId="0" xfId="260" applyNumberFormat="1" applyFont="1" applyFill="1" applyBorder="1" applyAlignment="1">
      <alignment horizontal="right"/>
    </xf>
    <xf numFmtId="0" fontId="109" fillId="0" borderId="0" xfId="260" applyNumberFormat="1" applyFont="1" applyFill="1" applyBorder="1" applyAlignment="1">
      <alignment horizontal="right"/>
    </xf>
    <xf numFmtId="49" fontId="109" fillId="0" borderId="0" xfId="260" applyNumberFormat="1" applyFill="1" applyBorder="1" applyAlignment="1">
      <alignment horizontal="left"/>
    </xf>
    <xf numFmtId="172" fontId="27" fillId="0" borderId="0" xfId="260" applyNumberFormat="1" applyFont="1" applyFill="1" applyBorder="1" applyAlignment="1">
      <alignment horizontal="right"/>
    </xf>
    <xf numFmtId="180" fontId="25" fillId="0" borderId="0" xfId="260" applyNumberFormat="1" applyFont="1" applyFill="1" applyBorder="1" applyAlignment="1">
      <alignment horizontal="center"/>
    </xf>
    <xf numFmtId="172" fontId="85" fillId="0" borderId="18" xfId="260" applyNumberFormat="1" applyFont="1" applyFill="1" applyBorder="1" applyAlignment="1">
      <alignment horizontal="center" wrapText="1"/>
    </xf>
    <xf numFmtId="172" fontId="85" fillId="0" borderId="28" xfId="260" applyNumberFormat="1" applyFont="1" applyFill="1" applyBorder="1" applyAlignment="1"/>
    <xf numFmtId="172" fontId="85" fillId="0" borderId="28" xfId="260" applyNumberFormat="1" applyFont="1" applyFill="1" applyBorder="1" applyAlignment="1">
      <alignment horizontal="center" wrapText="1"/>
    </xf>
    <xf numFmtId="0" fontId="25" fillId="0" borderId="28" xfId="260" applyNumberFormat="1" applyFont="1" applyFill="1" applyBorder="1" applyAlignment="1">
      <alignment horizontal="center" wrapText="1"/>
    </xf>
    <xf numFmtId="172" fontId="85" fillId="0" borderId="14" xfId="260" applyNumberFormat="1" applyFont="1" applyFill="1" applyBorder="1" applyAlignment="1">
      <alignment horizontal="center" wrapText="1"/>
    </xf>
    <xf numFmtId="3" fontId="25" fillId="0" borderId="14" xfId="260" applyNumberFormat="1" applyFont="1" applyFill="1" applyBorder="1" applyAlignment="1">
      <alignment horizontal="center" wrapText="1"/>
    </xf>
    <xf numFmtId="3" fontId="25" fillId="0" borderId="28" xfId="260" applyNumberFormat="1" applyFont="1" applyFill="1" applyBorder="1" applyAlignment="1">
      <alignment horizontal="center" wrapText="1"/>
    </xf>
    <xf numFmtId="0" fontId="27" fillId="0" borderId="18" xfId="260" applyNumberFormat="1" applyFont="1" applyFill="1" applyBorder="1"/>
    <xf numFmtId="0" fontId="27" fillId="0" borderId="28" xfId="260" applyNumberFormat="1" applyFont="1" applyFill="1" applyBorder="1"/>
    <xf numFmtId="0" fontId="27" fillId="0" borderId="28" xfId="260" applyNumberFormat="1" applyFont="1" applyFill="1" applyBorder="1" applyAlignment="1">
      <alignment horizontal="center"/>
    </xf>
    <xf numFmtId="0" fontId="27" fillId="0" borderId="14" xfId="260" applyNumberFormat="1" applyFont="1" applyFill="1" applyBorder="1" applyAlignment="1">
      <alignment horizontal="center"/>
    </xf>
    <xf numFmtId="3" fontId="27" fillId="0" borderId="28" xfId="260" applyNumberFormat="1" applyFont="1" applyFill="1" applyBorder="1" applyAlignment="1">
      <alignment horizontal="center"/>
    </xf>
    <xf numFmtId="3" fontId="27" fillId="0" borderId="14" xfId="260" applyNumberFormat="1" applyFont="1" applyFill="1" applyBorder="1" applyAlignment="1">
      <alignment horizontal="center" wrapText="1"/>
    </xf>
    <xf numFmtId="0" fontId="27" fillId="0" borderId="6" xfId="260" applyNumberFormat="1" applyFont="1" applyFill="1" applyBorder="1"/>
    <xf numFmtId="0" fontId="27" fillId="0" borderId="13" xfId="260" applyNumberFormat="1" applyFont="1" applyFill="1" applyBorder="1"/>
    <xf numFmtId="3" fontId="27" fillId="0" borderId="13" xfId="260" applyNumberFormat="1" applyFont="1" applyFill="1" applyBorder="1" applyAlignment="1"/>
    <xf numFmtId="172" fontId="109" fillId="0" borderId="6" xfId="260" applyNumberFormat="1" applyFill="1" applyBorder="1" applyAlignment="1"/>
    <xf numFmtId="172" fontId="24" fillId="0" borderId="0" xfId="260" applyNumberFormat="1" applyFont="1" applyFill="1" applyBorder="1" applyAlignment="1"/>
    <xf numFmtId="0" fontId="109" fillId="0" borderId="0" xfId="260" applyFill="1" applyBorder="1" applyAlignment="1">
      <alignment horizontal="center"/>
    </xf>
    <xf numFmtId="173" fontId="0" fillId="2" borderId="0" xfId="4" applyNumberFormat="1" applyFont="1" applyFill="1" applyBorder="1" applyAlignment="1"/>
    <xf numFmtId="172" fontId="109" fillId="0" borderId="13" xfId="260" applyNumberFormat="1" applyFill="1" applyBorder="1" applyAlignment="1"/>
    <xf numFmtId="173" fontId="27" fillId="2" borderId="0" xfId="4" applyNumberFormat="1" applyFont="1" applyFill="1" applyBorder="1" applyAlignment="1"/>
    <xf numFmtId="172" fontId="61" fillId="0" borderId="0" xfId="260" applyNumberFormat="1" applyFont="1" applyFill="1" applyBorder="1" applyAlignment="1"/>
    <xf numFmtId="172" fontId="61" fillId="0" borderId="13" xfId="260" applyNumberFormat="1" applyFont="1" applyFill="1" applyBorder="1" applyAlignment="1"/>
    <xf numFmtId="172" fontId="109" fillId="0" borderId="7" xfId="260" applyNumberFormat="1" applyFill="1" applyBorder="1" applyAlignment="1"/>
    <xf numFmtId="172" fontId="109" fillId="0" borderId="4" xfId="260" applyNumberFormat="1" applyFill="1" applyBorder="1" applyAlignment="1"/>
    <xf numFmtId="172" fontId="61" fillId="0" borderId="4" xfId="260" applyNumberFormat="1" applyFont="1" applyFill="1" applyBorder="1" applyAlignment="1"/>
    <xf numFmtId="172" fontId="61" fillId="0" borderId="12" xfId="260" applyNumberFormat="1" applyFont="1" applyFill="1" applyBorder="1" applyAlignment="1"/>
    <xf numFmtId="170" fontId="27" fillId="0" borderId="0" xfId="260" applyNumberFormat="1" applyFont="1" applyFill="1" applyBorder="1" applyAlignment="1"/>
    <xf numFmtId="1" fontId="27" fillId="0" borderId="0" xfId="3" applyNumberFormat="1" applyFont="1" applyFill="1" applyBorder="1" applyAlignment="1">
      <alignment horizontal="center"/>
    </xf>
    <xf numFmtId="172" fontId="27" fillId="0" borderId="1" xfId="260" applyNumberFormat="1" applyFont="1" applyFill="1" applyBorder="1" applyAlignment="1"/>
    <xf numFmtId="172" fontId="61" fillId="0" borderId="0" xfId="260" applyNumberFormat="1" applyFont="1" applyFill="1" applyBorder="1" applyAlignment="1">
      <alignment horizontal="center"/>
    </xf>
    <xf numFmtId="172" fontId="14" fillId="0" borderId="0" xfId="260" applyNumberFormat="1" applyFont="1" applyFill="1" applyBorder="1" applyAlignment="1"/>
    <xf numFmtId="49" fontId="14" fillId="0" borderId="0" xfId="260" applyNumberFormat="1" applyFont="1" applyFill="1" applyBorder="1" applyAlignment="1">
      <alignment horizontal="center"/>
    </xf>
    <xf numFmtId="172" fontId="114" fillId="0" borderId="0" xfId="260" applyNumberFormat="1" applyFont="1" applyFill="1" applyBorder="1" applyAlignment="1">
      <alignment horizontal="right"/>
    </xf>
    <xf numFmtId="172" fontId="23" fillId="0" borderId="0" xfId="0" applyFont="1" applyFill="1" applyBorder="1" applyAlignment="1">
      <alignment horizontal="center" vertical="top"/>
    </xf>
    <xf numFmtId="172" fontId="0" fillId="0" borderId="0" xfId="0" applyFont="1" applyFill="1" applyBorder="1" applyAlignment="1"/>
    <xf numFmtId="172" fontId="27" fillId="0" borderId="13" xfId="260" applyNumberFormat="1" applyFont="1" applyFill="1" applyBorder="1" applyAlignment="1"/>
    <xf numFmtId="170" fontId="27" fillId="2" borderId="0" xfId="260" applyNumberFormat="1" applyFont="1" applyFill="1" applyBorder="1" applyAlignment="1"/>
    <xf numFmtId="173" fontId="115" fillId="0" borderId="0" xfId="204" applyNumberFormat="1" applyFont="1" applyBorder="1" applyAlignment="1">
      <alignment horizontal="center" vertical="center" wrapText="1"/>
    </xf>
    <xf numFmtId="169" fontId="14" fillId="0" borderId="4" xfId="0" applyNumberFormat="1" applyFont="1" applyBorder="1" applyAlignment="1"/>
    <xf numFmtId="172" fontId="116" fillId="0" borderId="0" xfId="0" applyFont="1" applyAlignment="1"/>
    <xf numFmtId="172" fontId="117" fillId="0" borderId="0" xfId="0" applyFont="1" applyAlignment="1">
      <alignment horizontal="center"/>
    </xf>
    <xf numFmtId="172" fontId="118" fillId="0" borderId="0" xfId="0" applyFont="1" applyAlignment="1">
      <alignment horizontal="center"/>
    </xf>
    <xf numFmtId="172" fontId="119" fillId="0" borderId="0" xfId="0" applyFont="1" applyAlignment="1">
      <alignment horizontal="center"/>
    </xf>
    <xf numFmtId="172" fontId="117" fillId="0" borderId="0" xfId="0" applyFont="1" applyAlignment="1"/>
    <xf numFmtId="3" fontId="117" fillId="0" borderId="0" xfId="0" applyNumberFormat="1" applyFont="1" applyAlignment="1">
      <alignment horizontal="center"/>
    </xf>
    <xf numFmtId="3" fontId="116" fillId="0" borderId="0" xfId="0" applyNumberFormat="1" applyFont="1" applyAlignment="1"/>
    <xf numFmtId="4" fontId="116" fillId="0" borderId="0" xfId="0" applyNumberFormat="1" applyFont="1" applyAlignment="1"/>
    <xf numFmtId="0" fontId="120" fillId="0" borderId="0" xfId="0" applyNumberFormat="1" applyFont="1" applyAlignment="1">
      <alignment horizontal="right"/>
    </xf>
    <xf numFmtId="172" fontId="120" fillId="0" borderId="0" xfId="0" applyFont="1" applyAlignment="1"/>
    <xf numFmtId="0" fontId="122" fillId="0" borderId="0" xfId="204" applyFont="1" applyAlignment="1">
      <alignment horizontal="center" vertical="center"/>
    </xf>
    <xf numFmtId="172" fontId="111" fillId="0" borderId="0" xfId="0" applyFont="1" applyAlignment="1"/>
    <xf numFmtId="172" fontId="14" fillId="0" borderId="0" xfId="0" applyFont="1" applyFill="1" applyAlignment="1">
      <alignment wrapText="1"/>
    </xf>
    <xf numFmtId="181" fontId="14" fillId="0" borderId="9" xfId="0" applyNumberFormat="1" applyFont="1" applyBorder="1" applyAlignment="1"/>
    <xf numFmtId="181" fontId="14" fillId="0" borderId="0" xfId="0" applyNumberFormat="1" applyFont="1" applyFill="1" applyAlignment="1"/>
    <xf numFmtId="0" fontId="14" fillId="0" borderId="0" xfId="139" applyNumberFormat="1" applyFont="1" applyFill="1" applyAlignment="1" applyProtection="1">
      <alignment horizontal="center"/>
      <protection locked="0"/>
    </xf>
    <xf numFmtId="172" fontId="0" fillId="0" borderId="0" xfId="0" applyFill="1" applyAlignment="1"/>
    <xf numFmtId="166" fontId="14" fillId="0" borderId="0" xfId="0" applyNumberFormat="1" applyFont="1" applyFill="1" applyAlignment="1"/>
    <xf numFmtId="39" fontId="14" fillId="0" borderId="0" xfId="139" applyFont="1" applyFill="1" applyAlignment="1"/>
    <xf numFmtId="3" fontId="14" fillId="0" borderId="0" xfId="0" applyNumberFormat="1" applyFont="1" applyFill="1" applyAlignment="1">
      <alignment horizontal="fill"/>
    </xf>
    <xf numFmtId="0" fontId="14" fillId="0" borderId="0" xfId="0" applyNumberFormat="1" applyFont="1" applyAlignment="1">
      <alignment wrapText="1"/>
    </xf>
    <xf numFmtId="172" fontId="14" fillId="0" borderId="0" xfId="0" applyFont="1" applyAlignment="1">
      <alignment wrapText="1"/>
    </xf>
    <xf numFmtId="0" fontId="14" fillId="0" borderId="0" xfId="0" applyNumberFormat="1" applyFont="1" applyAlignment="1" applyProtection="1">
      <alignment horizontal="center" wrapText="1"/>
      <protection locked="0"/>
    </xf>
    <xf numFmtId="0" fontId="14" fillId="0" borderId="0" xfId="0" applyNumberFormat="1" applyFont="1" applyAlignment="1">
      <alignment horizontal="left" wrapText="1"/>
    </xf>
    <xf numFmtId="10" fontId="14" fillId="0" borderId="0" xfId="198" applyNumberFormat="1" applyFont="1" applyFill="1" applyAlignment="1"/>
    <xf numFmtId="172" fontId="14" fillId="0" borderId="0" xfId="0" quotePrefix="1" applyFont="1" applyAlignment="1"/>
    <xf numFmtId="172" fontId="120" fillId="0" borderId="0" xfId="0" applyFont="1" applyAlignment="1">
      <alignment horizontal="right"/>
    </xf>
    <xf numFmtId="172" fontId="14" fillId="0" borderId="0" xfId="0" applyFont="1" applyFill="1" applyBorder="1" applyAlignment="1"/>
    <xf numFmtId="172" fontId="120" fillId="0" borderId="0" xfId="0" applyFont="1" applyFill="1" applyAlignment="1"/>
    <xf numFmtId="172" fontId="0" fillId="0" borderId="0" xfId="0" applyFont="1" applyAlignment="1"/>
    <xf numFmtId="0" fontId="14" fillId="0" borderId="0" xfId="0" applyNumberFormat="1" applyFont="1" applyFill="1" applyProtection="1">
      <protection locked="0"/>
    </xf>
    <xf numFmtId="39" fontId="22" fillId="0" borderId="0" xfId="139" applyFont="1" applyFill="1" applyAlignment="1"/>
    <xf numFmtId="164" fontId="14" fillId="0" borderId="0" xfId="0" applyNumberFormat="1" applyFont="1" applyFill="1" applyAlignment="1">
      <alignment horizontal="left"/>
    </xf>
    <xf numFmtId="10" fontId="14" fillId="0" borderId="0" xfId="0" applyNumberFormat="1" applyFont="1" applyFill="1" applyAlignment="1">
      <alignment horizontal="left"/>
    </xf>
    <xf numFmtId="164" fontId="14" fillId="0" borderId="0" xfId="0" applyNumberFormat="1" applyFont="1" applyFill="1" applyAlignment="1" applyProtection="1">
      <alignment horizontal="left"/>
      <protection locked="0"/>
    </xf>
    <xf numFmtId="167" fontId="14" fillId="0" borderId="0" xfId="0" applyNumberFormat="1" applyFont="1" applyFill="1" applyAlignment="1"/>
    <xf numFmtId="164" fontId="14" fillId="0" borderId="0" xfId="0" applyNumberFormat="1" applyFont="1" applyFill="1" applyAlignment="1">
      <alignment horizontal="center"/>
    </xf>
    <xf numFmtId="49" fontId="14" fillId="0" borderId="0" xfId="0" applyNumberFormat="1" applyFont="1" applyFill="1"/>
    <xf numFmtId="49" fontId="14" fillId="0" borderId="0" xfId="0" applyNumberFormat="1" applyFont="1" applyFill="1" applyAlignment="1"/>
    <xf numFmtId="0" fontId="14" fillId="0" borderId="1" xfId="0" applyNumberFormat="1" applyFont="1" applyFill="1" applyBorder="1"/>
    <xf numFmtId="3" fontId="14" fillId="0" borderId="0" xfId="0" applyNumberFormat="1" applyFont="1" applyFill="1" applyBorder="1" applyAlignment="1"/>
    <xf numFmtId="0" fontId="15" fillId="0" borderId="0" xfId="0" applyNumberFormat="1" applyFont="1" applyFill="1" applyAlignment="1" applyProtection="1">
      <alignment vertical="top" wrapText="1"/>
      <protection locked="0"/>
    </xf>
    <xf numFmtId="0" fontId="123"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3" fillId="0" borderId="0" xfId="204" applyFont="1" applyAlignment="1">
      <alignment horizontal="center" vertical="center"/>
    </xf>
    <xf numFmtId="1" fontId="71" fillId="0" borderId="0" xfId="204" applyNumberFormat="1" applyFont="1" applyFill="1" applyAlignment="1">
      <alignment horizontal="left"/>
    </xf>
    <xf numFmtId="181" fontId="14" fillId="0" borderId="0" xfId="0" applyNumberFormat="1" applyFont="1" applyBorder="1" applyAlignment="1"/>
    <xf numFmtId="172" fontId="14"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7" fillId="0" borderId="4" xfId="0" applyFont="1" applyBorder="1" applyAlignment="1">
      <alignment horizontal="center" wrapText="1"/>
    </xf>
    <xf numFmtId="3" fontId="14" fillId="0" borderId="0" xfId="0" applyNumberFormat="1" applyFont="1" applyFill="1"/>
    <xf numFmtId="3" fontId="14" fillId="0" borderId="1" xfId="0" applyNumberFormat="1" applyFont="1" applyFill="1" applyBorder="1" applyAlignment="1"/>
    <xf numFmtId="174" fontId="14" fillId="0" borderId="0" xfId="1" applyNumberFormat="1" applyFont="1" applyFill="1" applyBorder="1" applyAlignment="1"/>
    <xf numFmtId="170" fontId="14" fillId="0" borderId="0" xfId="0" applyNumberFormat="1" applyFont="1" applyFill="1" applyAlignment="1"/>
    <xf numFmtId="170" fontId="14" fillId="0" borderId="0" xfId="0" applyNumberFormat="1" applyFont="1" applyFill="1" applyBorder="1" applyAlignment="1" applyProtection="1">
      <protection locked="0"/>
    </xf>
    <xf numFmtId="174" fontId="14" fillId="0" borderId="0" xfId="0" applyNumberFormat="1" applyFont="1" applyFill="1" applyBorder="1" applyAlignment="1"/>
    <xf numFmtId="181" fontId="14" fillId="6" borderId="0" xfId="0" applyNumberFormat="1" applyFont="1" applyFill="1" applyAlignment="1">
      <alignment vertical="center"/>
    </xf>
    <xf numFmtId="41" fontId="27" fillId="0" borderId="0" xfId="260" applyNumberFormat="1" applyFont="1" applyFill="1" applyBorder="1" applyAlignment="1"/>
    <xf numFmtId="0" fontId="6" fillId="0" borderId="0" xfId="204" applyFont="1" applyBorder="1" applyAlignment="1">
      <alignment horizontal="center" vertical="center" wrapText="1"/>
    </xf>
    <xf numFmtId="0" fontId="70" fillId="0" borderId="4" xfId="262" applyFont="1" applyFill="1" applyBorder="1" applyAlignment="1">
      <alignment horizontal="center" vertical="center" wrapText="1"/>
    </xf>
    <xf numFmtId="0" fontId="6" fillId="0" borderId="0" xfId="204" applyFont="1" applyAlignment="1">
      <alignment horizontal="center" vertical="center"/>
    </xf>
    <xf numFmtId="174" fontId="0" fillId="0" borderId="0" xfId="1" applyNumberFormat="1" applyFont="1" applyFill="1" applyAlignment="1">
      <alignment vertical="center"/>
    </xf>
    <xf numFmtId="0" fontId="6" fillId="0" borderId="0" xfId="204" applyFont="1" applyAlignment="1">
      <alignment vertical="center"/>
    </xf>
    <xf numFmtId="0" fontId="6" fillId="0" borderId="0" xfId="204" applyFont="1" applyFill="1" applyAlignment="1">
      <alignment vertical="center"/>
    </xf>
    <xf numFmtId="173" fontId="76" fillId="0" borderId="0" xfId="206" applyNumberFormat="1" applyFont="1" applyFill="1" applyAlignment="1">
      <alignment vertical="center"/>
    </xf>
    <xf numFmtId="0" fontId="70" fillId="0" borderId="4" xfId="204" applyFont="1" applyFill="1" applyBorder="1" applyAlignment="1">
      <alignment horizontal="center" vertical="center" wrapText="1"/>
    </xf>
    <xf numFmtId="43" fontId="0" fillId="0" borderId="0" xfId="1" applyFont="1" applyFill="1" applyAlignment="1">
      <alignment vertical="center"/>
    </xf>
    <xf numFmtId="0" fontId="6" fillId="0" borderId="40" xfId="204" applyFont="1" applyBorder="1" applyAlignment="1">
      <alignment vertical="center"/>
    </xf>
    <xf numFmtId="0" fontId="6" fillId="0" borderId="41" xfId="204" applyFont="1" applyBorder="1" applyAlignment="1">
      <alignment vertical="center"/>
    </xf>
    <xf numFmtId="173" fontId="6" fillId="0" borderId="25" xfId="262" applyNumberFormat="1" applyFont="1" applyBorder="1" applyAlignment="1">
      <alignment vertical="center"/>
    </xf>
    <xf numFmtId="173" fontId="6" fillId="0" borderId="0" xfId="262" applyNumberFormat="1" applyFont="1" applyBorder="1" applyAlignment="1">
      <alignment vertical="center"/>
    </xf>
    <xf numFmtId="0" fontId="69" fillId="0" borderId="0" xfId="262" applyFont="1" applyAlignment="1">
      <alignment vertical="center"/>
    </xf>
    <xf numFmtId="0" fontId="69" fillId="0" borderId="0" xfId="262" applyFont="1" applyAlignment="1">
      <alignment horizontal="right" vertical="center"/>
    </xf>
    <xf numFmtId="173" fontId="69" fillId="0" borderId="9" xfId="262" applyNumberFormat="1" applyFont="1" applyBorder="1" applyAlignment="1">
      <alignment vertical="center"/>
    </xf>
    <xf numFmtId="1" fontId="6" fillId="0" borderId="0" xfId="204" applyNumberFormat="1" applyFont="1" applyBorder="1" applyAlignment="1">
      <alignment horizontal="center" vertical="center" wrapText="1"/>
    </xf>
    <xf numFmtId="1" fontId="6" fillId="0" borderId="0" xfId="204" applyNumberFormat="1" applyFont="1" applyAlignment="1">
      <alignment horizontal="center" vertical="center"/>
    </xf>
    <xf numFmtId="172" fontId="124" fillId="0" borderId="0" xfId="0" applyFont="1" applyAlignment="1">
      <alignment horizontal="center"/>
    </xf>
    <xf numFmtId="173" fontId="69" fillId="6" borderId="0" xfId="264" applyNumberFormat="1" applyFont="1" applyFill="1" applyAlignment="1">
      <alignment vertical="center"/>
    </xf>
    <xf numFmtId="37" fontId="69" fillId="6" borderId="0" xfId="264" applyNumberFormat="1" applyFont="1" applyFill="1" applyAlignment="1">
      <alignment vertical="center"/>
    </xf>
    <xf numFmtId="172" fontId="14" fillId="0" borderId="0" xfId="0" applyNumberFormat="1" applyFont="1"/>
    <xf numFmtId="173" fontId="67" fillId="0" borderId="14" xfId="4" applyNumberFormat="1" applyFont="1" applyFill="1" applyBorder="1"/>
    <xf numFmtId="173" fontId="63" fillId="0" borderId="14" xfId="4" applyNumberFormat="1" applyFont="1" applyFill="1" applyBorder="1"/>
    <xf numFmtId="174" fontId="67" fillId="6" borderId="14" xfId="3" applyNumberFormat="1" applyFont="1" applyFill="1" applyBorder="1"/>
    <xf numFmtId="174" fontId="67" fillId="6" borderId="11" xfId="3" applyNumberFormat="1" applyFont="1" applyFill="1" applyBorder="1"/>
    <xf numFmtId="173" fontId="67" fillId="6" borderId="14" xfId="4" applyNumberFormat="1" applyFont="1" applyFill="1" applyBorder="1"/>
    <xf numFmtId="173" fontId="64" fillId="6" borderId="14" xfId="4" applyNumberFormat="1" applyFont="1" applyFill="1" applyBorder="1"/>
    <xf numFmtId="173" fontId="64" fillId="6" borderId="11" xfId="4" applyNumberFormat="1" applyFont="1" applyFill="1" applyBorder="1"/>
    <xf numFmtId="0" fontId="27" fillId="0" borderId="0" xfId="260" applyNumberFormat="1" applyFont="1" applyFill="1" applyBorder="1" applyAlignment="1" applyProtection="1">
      <alignment horizontal="center"/>
      <protection locked="0"/>
    </xf>
    <xf numFmtId="173" fontId="30" fillId="6" borderId="12" xfId="4" applyNumberFormat="1" applyFont="1" applyFill="1" applyBorder="1"/>
    <xf numFmtId="173" fontId="30" fillId="6" borderId="5" xfId="4" applyNumberFormat="1" applyFont="1" applyFill="1" applyBorder="1"/>
    <xf numFmtId="174" fontId="30" fillId="6" borderId="12" xfId="3" applyNumberFormat="1" applyFont="1" applyFill="1" applyBorder="1"/>
    <xf numFmtId="174" fontId="30" fillId="6" borderId="5" xfId="3" applyNumberFormat="1" applyFont="1" applyFill="1" applyBorder="1"/>
    <xf numFmtId="174" fontId="30" fillId="6" borderId="13" xfId="3" applyNumberFormat="1" applyFont="1" applyFill="1" applyBorder="1"/>
    <xf numFmtId="174" fontId="30" fillId="6" borderId="3" xfId="3" applyNumberFormat="1" applyFont="1" applyFill="1" applyBorder="1"/>
    <xf numFmtId="174" fontId="30" fillId="6" borderId="14" xfId="3" applyNumberFormat="1" applyFont="1" applyFill="1" applyBorder="1"/>
    <xf numFmtId="174" fontId="30" fillId="6" borderId="17" xfId="3" applyNumberFormat="1" applyFont="1" applyFill="1" applyBorder="1"/>
    <xf numFmtId="174" fontId="30" fillId="6" borderId="20" xfId="3" applyNumberFormat="1" applyFont="1" applyFill="1" applyBorder="1"/>
    <xf numFmtId="174" fontId="30" fillId="6" borderId="11" xfId="3" applyNumberFormat="1" applyFont="1" applyFill="1" applyBorder="1"/>
    <xf numFmtId="173" fontId="30" fillId="6" borderId="11" xfId="4" applyNumberFormat="1" applyFont="1" applyFill="1" applyBorder="1"/>
    <xf numFmtId="173" fontId="14" fillId="6" borderId="0" xfId="206" applyNumberFormat="1" applyFont="1" applyFill="1"/>
    <xf numFmtId="37" fontId="14" fillId="6" borderId="0" xfId="205" applyNumberFormat="1" applyFont="1" applyFill="1"/>
    <xf numFmtId="37" fontId="14" fillId="6" borderId="1" xfId="205" applyNumberFormat="1" applyFont="1" applyFill="1" applyBorder="1"/>
    <xf numFmtId="37" fontId="14" fillId="0" borderId="0" xfId="205" applyNumberFormat="1" applyFont="1"/>
    <xf numFmtId="37" fontId="125" fillId="6" borderId="0" xfId="205" applyNumberFormat="1" applyFont="1" applyFill="1"/>
    <xf numFmtId="37" fontId="125" fillId="0" borderId="28" xfId="205" applyNumberFormat="1" applyFont="1" applyBorder="1"/>
    <xf numFmtId="37" fontId="126" fillId="0" borderId="0" xfId="205" applyNumberFormat="1" applyFont="1"/>
    <xf numFmtId="0" fontId="125" fillId="0" borderId="0" xfId="204" applyFont="1"/>
    <xf numFmtId="170" fontId="87" fillId="6" borderId="0" xfId="211" applyNumberFormat="1" applyFont="1" applyFill="1"/>
    <xf numFmtId="173" fontId="14" fillId="0" borderId="4" xfId="199" applyNumberFormat="1" applyFont="1" applyBorder="1"/>
    <xf numFmtId="173" fontId="14" fillId="0" borderId="0" xfId="199" applyNumberFormat="1" applyFont="1"/>
    <xf numFmtId="3" fontId="67" fillId="6" borderId="14" xfId="4" applyNumberFormat="1" applyFont="1" applyFill="1" applyBorder="1"/>
    <xf numFmtId="3" fontId="64" fillId="0" borderId="0" xfId="2" applyNumberFormat="1" applyFont="1"/>
    <xf numFmtId="3" fontId="64" fillId="0" borderId="0" xfId="2" applyNumberFormat="1" applyFont="1" applyFill="1"/>
    <xf numFmtId="44" fontId="64" fillId="6" borderId="14" xfId="199" applyFont="1" applyFill="1" applyBorder="1"/>
    <xf numFmtId="44" fontId="64" fillId="6" borderId="11" xfId="199" applyFont="1" applyFill="1" applyBorder="1"/>
    <xf numFmtId="173" fontId="14" fillId="0" borderId="0" xfId="212" applyNumberFormat="1" applyFont="1"/>
    <xf numFmtId="0" fontId="81" fillId="0" borderId="0" xfId="211" applyFont="1"/>
    <xf numFmtId="0" fontId="81" fillId="0" borderId="0" xfId="211" applyFont="1" applyAlignment="1">
      <alignment horizontal="left" indent="1"/>
    </xf>
    <xf numFmtId="0" fontId="22" fillId="0" borderId="0" xfId="211" applyFont="1"/>
    <xf numFmtId="0" fontId="81" fillId="0" borderId="0" xfId="211" applyFont="1" applyFill="1"/>
    <xf numFmtId="0" fontId="81" fillId="0" borderId="0" xfId="211" applyFont="1" applyAlignment="1">
      <alignment horizontal="left" indent="2"/>
    </xf>
    <xf numFmtId="174" fontId="81" fillId="0" borderId="0" xfId="211" applyNumberFormat="1" applyFont="1"/>
    <xf numFmtId="0" fontId="14" fillId="0" borderId="0" xfId="211" applyFont="1"/>
    <xf numFmtId="0" fontId="17" fillId="0" borderId="0" xfId="211" applyFont="1" applyAlignment="1">
      <alignment horizontal="center"/>
    </xf>
    <xf numFmtId="174" fontId="14" fillId="0" borderId="0" xfId="213" applyNumberFormat="1" applyFont="1" applyFill="1" applyBorder="1"/>
    <xf numFmtId="174" fontId="14" fillId="0" borderId="9" xfId="211" applyNumberFormat="1" applyFont="1" applyBorder="1"/>
    <xf numFmtId="0" fontId="14" fillId="0" borderId="0" xfId="211" applyFont="1" applyFill="1"/>
    <xf numFmtId="173" fontId="14" fillId="0" borderId="0" xfId="212" applyNumberFormat="1" applyFont="1" applyFill="1" applyBorder="1"/>
    <xf numFmtId="174" fontId="14" fillId="0" borderId="4" xfId="213" applyNumberFormat="1" applyFont="1" applyFill="1" applyBorder="1"/>
    <xf numFmtId="174" fontId="14" fillId="6" borderId="0" xfId="213" applyNumberFormat="1" applyFont="1" applyFill="1" applyBorder="1"/>
    <xf numFmtId="1" fontId="14" fillId="0" borderId="0" xfId="0" applyNumberFormat="1" applyFont="1" applyAlignment="1">
      <alignment horizontal="center"/>
    </xf>
    <xf numFmtId="172" fontId="14" fillId="0" borderId="4" xfId="0" applyFont="1" applyBorder="1" applyAlignment="1">
      <alignment horizontal="center" wrapText="1"/>
    </xf>
    <xf numFmtId="172" fontId="14" fillId="0" borderId="0" xfId="0" applyFont="1" applyAlignment="1"/>
    <xf numFmtId="0" fontId="127" fillId="0" borderId="0" xfId="204" applyFont="1" applyAlignment="1">
      <alignment horizontal="center"/>
    </xf>
    <xf numFmtId="173" fontId="14" fillId="0" borderId="0" xfId="206" applyNumberFormat="1" applyFont="1"/>
    <xf numFmtId="37" fontId="14" fillId="0" borderId="9" xfId="205" applyNumberFormat="1" applyFont="1" applyBorder="1"/>
    <xf numFmtId="43" fontId="14" fillId="0" borderId="0" xfId="205" applyFont="1"/>
    <xf numFmtId="43" fontId="14" fillId="6" borderId="0" xfId="205" applyFont="1" applyFill="1"/>
    <xf numFmtId="173" fontId="14" fillId="0" borderId="14" xfId="206" applyNumberFormat="1" applyFont="1" applyFill="1" applyBorder="1"/>
    <xf numFmtId="173" fontId="125" fillId="0" borderId="14" xfId="204" applyNumberFormat="1" applyFont="1" applyFill="1" applyBorder="1"/>
    <xf numFmtId="0" fontId="82" fillId="0" borderId="0" xfId="204" applyFont="1" applyAlignment="1">
      <alignment vertical="center"/>
    </xf>
    <xf numFmtId="0" fontId="82" fillId="0" borderId="0" xfId="204" applyFont="1" applyAlignment="1">
      <alignment horizontal="left" vertical="center"/>
    </xf>
    <xf numFmtId="0" fontId="125" fillId="0" borderId="0" xfId="204" applyFont="1" applyAlignment="1">
      <alignment vertical="center"/>
    </xf>
    <xf numFmtId="0" fontId="128" fillId="0" borderId="4" xfId="204" applyFont="1" applyBorder="1" applyAlignment="1">
      <alignment horizontal="center" vertical="center" wrapText="1"/>
    </xf>
    <xf numFmtId="0" fontId="125" fillId="0" borderId="0" xfId="204" applyFont="1" applyBorder="1" applyAlignment="1">
      <alignment horizontal="center" vertical="center" wrapText="1"/>
    </xf>
    <xf numFmtId="173" fontId="125" fillId="6" borderId="0" xfId="206" applyNumberFormat="1" applyFont="1" applyFill="1" applyBorder="1" applyAlignment="1">
      <alignment horizontal="center" vertical="center" wrapText="1"/>
    </xf>
    <xf numFmtId="173" fontId="125" fillId="6" borderId="9" xfId="206" applyNumberFormat="1" applyFont="1" applyFill="1" applyBorder="1" applyAlignment="1">
      <alignment horizontal="center" vertical="center" wrapText="1"/>
    </xf>
    <xf numFmtId="0" fontId="125" fillId="0" borderId="0" xfId="204" applyFont="1" applyAlignment="1">
      <alignment horizontal="center" vertical="center"/>
    </xf>
    <xf numFmtId="37" fontId="125" fillId="6" borderId="0" xfId="206" applyNumberFormat="1" applyFont="1" applyFill="1" applyBorder="1" applyAlignment="1">
      <alignment horizontal="right" vertical="center" wrapText="1"/>
    </xf>
    <xf numFmtId="174" fontId="125" fillId="6" borderId="0" xfId="1" applyNumberFormat="1" applyFont="1" applyFill="1" applyBorder="1" applyAlignment="1">
      <alignment horizontal="center" vertical="center" wrapText="1"/>
    </xf>
    <xf numFmtId="0" fontId="81" fillId="0" borderId="0" xfId="204" applyFont="1" applyAlignment="1">
      <alignment horizontal="center" vertical="center"/>
    </xf>
    <xf numFmtId="37" fontId="125" fillId="6" borderId="4" xfId="206" applyNumberFormat="1" applyFont="1" applyFill="1" applyBorder="1" applyAlignment="1">
      <alignment horizontal="right" vertical="center" wrapText="1"/>
    </xf>
    <xf numFmtId="174" fontId="125" fillId="6" borderId="4" xfId="1" applyNumberFormat="1" applyFont="1" applyFill="1" applyBorder="1" applyAlignment="1">
      <alignment horizontal="center" vertical="center" wrapText="1"/>
    </xf>
    <xf numFmtId="0" fontId="82" fillId="0" borderId="0" xfId="204" applyFont="1" applyAlignment="1">
      <alignment horizontal="center" vertical="center"/>
    </xf>
    <xf numFmtId="0" fontId="128" fillId="0" borderId="0" xfId="204" applyFont="1" applyAlignment="1">
      <alignment vertical="center"/>
    </xf>
    <xf numFmtId="173" fontId="129" fillId="0" borderId="0" xfId="206" applyNumberFormat="1" applyFont="1" applyAlignment="1">
      <alignment vertical="center"/>
    </xf>
    <xf numFmtId="173" fontId="125" fillId="0" borderId="0" xfId="204" applyNumberFormat="1" applyFont="1" applyAlignment="1">
      <alignment vertical="center"/>
    </xf>
    <xf numFmtId="1" fontId="125" fillId="0" borderId="0" xfId="204" applyNumberFormat="1" applyFont="1" applyBorder="1" applyAlignment="1">
      <alignment horizontal="center" vertical="center" wrapText="1"/>
    </xf>
    <xf numFmtId="1" fontId="125" fillId="0" borderId="0" xfId="204" applyNumberFormat="1" applyFont="1" applyAlignment="1">
      <alignment horizontal="center" vertical="center"/>
    </xf>
    <xf numFmtId="1" fontId="81" fillId="0" borderId="0" xfId="204" applyNumberFormat="1" applyFont="1" applyBorder="1" applyAlignment="1">
      <alignment horizontal="center" vertical="center" wrapText="1"/>
    </xf>
    <xf numFmtId="1" fontId="81" fillId="0" borderId="0" xfId="204" applyNumberFormat="1" applyFont="1" applyAlignment="1">
      <alignment horizontal="center" vertical="center"/>
    </xf>
    <xf numFmtId="0" fontId="81" fillId="0" borderId="0" xfId="204" applyFont="1" applyAlignment="1">
      <alignment horizontal="center" vertical="center" wrapText="1"/>
    </xf>
    <xf numFmtId="0" fontId="81" fillId="0" borderId="0" xfId="204" applyFont="1" applyBorder="1" applyAlignment="1">
      <alignment horizontal="center" vertical="center" wrapText="1"/>
    </xf>
    <xf numFmtId="173" fontId="81" fillId="0" borderId="0" xfId="206" applyNumberFormat="1" applyFont="1" applyBorder="1" applyAlignment="1">
      <alignment horizontal="center" vertical="center" wrapText="1"/>
    </xf>
    <xf numFmtId="0" fontId="81" fillId="0" borderId="0" xfId="204" applyFont="1" applyAlignment="1">
      <alignment vertical="center"/>
    </xf>
    <xf numFmtId="173" fontId="81" fillId="0" borderId="4" xfId="206" applyNumberFormat="1" applyFont="1" applyBorder="1" applyAlignment="1">
      <alignment horizontal="center" vertical="center" wrapText="1"/>
    </xf>
    <xf numFmtId="173" fontId="82" fillId="0" borderId="0" xfId="206" applyNumberFormat="1" applyFont="1" applyAlignment="1">
      <alignment vertical="center"/>
    </xf>
    <xf numFmtId="173" fontId="14" fillId="0" borderId="0" xfId="206" applyNumberFormat="1" applyFont="1" applyAlignment="1">
      <alignment vertical="center"/>
    </xf>
    <xf numFmtId="173" fontId="14" fillId="0" borderId="4" xfId="206" applyNumberFormat="1" applyFont="1" applyBorder="1" applyAlignment="1">
      <alignment vertical="center"/>
    </xf>
    <xf numFmtId="0" fontId="82" fillId="0" borderId="0" xfId="204" applyFont="1" applyBorder="1" applyAlignment="1">
      <alignment horizontal="left" vertical="center" wrapText="1"/>
    </xf>
    <xf numFmtId="0" fontId="81" fillId="0" borderId="0" xfId="204" applyFont="1" applyAlignment="1">
      <alignment horizontal="left" vertical="center"/>
    </xf>
    <xf numFmtId="0" fontId="81" fillId="0" borderId="9" xfId="204" applyFont="1" applyBorder="1" applyAlignment="1">
      <alignment vertical="center"/>
    </xf>
    <xf numFmtId="174" fontId="130" fillId="0" borderId="0" xfId="204" applyNumberFormat="1" applyFont="1" applyAlignment="1">
      <alignment vertical="center"/>
    </xf>
    <xf numFmtId="0" fontId="14" fillId="0" borderId="0" xfId="204" applyNumberFormat="1" applyFont="1"/>
    <xf numFmtId="0" fontId="14" fillId="0" borderId="0" xfId="2" applyFont="1" applyAlignment="1">
      <alignment horizontal="center"/>
    </xf>
    <xf numFmtId="0" fontId="14" fillId="0" borderId="0" xfId="2" applyFont="1"/>
    <xf numFmtId="0" fontId="14" fillId="0" borderId="4" xfId="2" applyFont="1" applyBorder="1" applyAlignment="1">
      <alignment horizontal="center"/>
    </xf>
    <xf numFmtId="0" fontId="82" fillId="0" borderId="4" xfId="204" applyFont="1" applyBorder="1" applyAlignment="1">
      <alignment horizontal="center" wrapText="1"/>
    </xf>
    <xf numFmtId="0" fontId="14"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4" fillId="0" borderId="0" xfId="0" applyFont="1" applyFill="1" applyAlignment="1">
      <alignment horizontal="center"/>
    </xf>
    <xf numFmtId="167" fontId="14" fillId="0" borderId="0" xfId="0" applyNumberFormat="1" applyFont="1" applyFill="1" applyBorder="1" applyAlignment="1">
      <alignment horizontal="center" wrapText="1"/>
    </xf>
    <xf numFmtId="167" fontId="14" fillId="0" borderId="0" xfId="0" applyNumberFormat="1" applyFont="1" applyAlignment="1"/>
    <xf numFmtId="0" fontId="133" fillId="0" borderId="0" xfId="265" applyNumberFormat="1" applyFont="1" applyFill="1" applyBorder="1" applyAlignment="1" applyProtection="1">
      <alignment horizontal="left"/>
      <protection locked="0"/>
    </xf>
    <xf numFmtId="172" fontId="17"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1" fillId="0" borderId="0" xfId="204" applyFont="1"/>
    <xf numFmtId="173" fontId="81" fillId="0" borderId="0" xfId="204" applyNumberFormat="1" applyFont="1" applyFill="1" applyBorder="1"/>
    <xf numFmtId="0" fontId="125" fillId="0" borderId="0" xfId="204" applyFont="1" applyAlignment="1"/>
    <xf numFmtId="178" fontId="17" fillId="0" borderId="0" xfId="208" applyFont="1" applyAlignment="1"/>
    <xf numFmtId="0" fontId="125" fillId="0" borderId="0" xfId="204" applyFont="1" applyAlignment="1">
      <alignment horizontal="center"/>
    </xf>
    <xf numFmtId="0" fontId="128" fillId="0" borderId="0" xfId="204" applyFont="1"/>
    <xf numFmtId="0" fontId="127" fillId="0" borderId="0" xfId="204" applyFont="1" applyAlignment="1">
      <alignment horizontal="left"/>
    </xf>
    <xf numFmtId="0" fontId="125" fillId="0" borderId="0" xfId="211" applyFont="1" applyFill="1"/>
    <xf numFmtId="0" fontId="125" fillId="0" borderId="0" xfId="211" applyFont="1"/>
    <xf numFmtId="0" fontId="82" fillId="0" borderId="0" xfId="204" applyFont="1" applyAlignment="1">
      <alignment horizontal="center"/>
    </xf>
    <xf numFmtId="0" fontId="84" fillId="0" borderId="0" xfId="204" applyFont="1" applyAlignment="1">
      <alignment horizontal="center"/>
    </xf>
    <xf numFmtId="0" fontId="81" fillId="0" borderId="0" xfId="204" applyFont="1" applyAlignment="1">
      <alignment horizontal="center"/>
    </xf>
    <xf numFmtId="0" fontId="81" fillId="0" borderId="4" xfId="204" applyFont="1" applyBorder="1" applyAlignment="1">
      <alignment horizontal="center"/>
    </xf>
    <xf numFmtId="0" fontId="81" fillId="0" borderId="0" xfId="204" applyFont="1" applyAlignment="1"/>
    <xf numFmtId="0" fontId="17" fillId="0" borderId="0" xfId="204" quotePrefix="1" applyFont="1" applyAlignment="1">
      <alignment horizontal="center"/>
    </xf>
    <xf numFmtId="0" fontId="17" fillId="0" borderId="4" xfId="204" quotePrefix="1" applyFont="1" applyBorder="1" applyAlignment="1">
      <alignment horizontal="center"/>
    </xf>
    <xf numFmtId="44" fontId="14" fillId="0" borderId="28" xfId="206" applyFont="1" applyBorder="1" applyAlignment="1"/>
    <xf numFmtId="44" fontId="14" fillId="0" borderId="0" xfId="206" applyFont="1" applyBorder="1" applyAlignment="1"/>
    <xf numFmtId="44" fontId="14" fillId="0" borderId="0" xfId="206" applyFont="1" applyAlignment="1"/>
    <xf numFmtId="44" fontId="14" fillId="0" borderId="9" xfId="206" applyFont="1" applyBorder="1" applyAlignment="1"/>
    <xf numFmtId="0" fontId="134" fillId="0" borderId="0" xfId="204" applyFont="1" applyAlignment="1"/>
    <xf numFmtId="3" fontId="81" fillId="0" borderId="0" xfId="204" applyNumberFormat="1" applyFont="1" applyAlignment="1"/>
    <xf numFmtId="0" fontId="128" fillId="0" borderId="0" xfId="204" applyFont="1" applyAlignment="1">
      <alignment horizontal="center"/>
    </xf>
    <xf numFmtId="0" fontId="14" fillId="0" borderId="0" xfId="0" applyNumberFormat="1" applyFont="1" applyAlignment="1" applyProtection="1">
      <alignment horizontal="center" vertical="center" wrapText="1"/>
      <protection locked="0"/>
    </xf>
    <xf numFmtId="0" fontId="82" fillId="0" borderId="0" xfId="204" applyFont="1" applyAlignment="1">
      <alignment horizontal="center" vertical="center"/>
    </xf>
    <xf numFmtId="172" fontId="14" fillId="0" borderId="0" xfId="0" applyFont="1" applyFill="1" applyAlignment="1">
      <alignment wrapText="1"/>
    </xf>
    <xf numFmtId="172" fontId="14" fillId="0" borderId="0" xfId="0" applyFont="1" applyFill="1" applyAlignment="1">
      <alignment horizontal="left" wrapText="1"/>
    </xf>
    <xf numFmtId="172" fontId="14" fillId="0" borderId="0" xfId="0" applyFont="1" applyAlignment="1">
      <alignment horizontal="center"/>
    </xf>
    <xf numFmtId="174" fontId="81" fillId="0" borderId="0" xfId="204" applyNumberFormat="1" applyFont="1" applyAlignment="1">
      <alignment vertical="center"/>
    </xf>
    <xf numFmtId="3" fontId="81" fillId="0" borderId="0" xfId="204" applyNumberFormat="1" applyFont="1" applyAlignment="1">
      <alignment horizontal="center" vertical="center"/>
    </xf>
    <xf numFmtId="0" fontId="81" fillId="0" borderId="0" xfId="204" applyFont="1" applyBorder="1" applyAlignment="1">
      <alignment horizontal="center" vertical="center"/>
    </xf>
    <xf numFmtId="0" fontId="82" fillId="0" borderId="0" xfId="204" applyFont="1" applyBorder="1" applyAlignment="1">
      <alignment horizontal="center" wrapText="1"/>
    </xf>
    <xf numFmtId="0" fontId="81" fillId="0" borderId="0" xfId="204" applyFont="1" applyBorder="1" applyAlignment="1">
      <alignment vertical="center"/>
    </xf>
    <xf numFmtId="0" fontId="82" fillId="0" borderId="0" xfId="204" quotePrefix="1" applyFont="1" applyBorder="1" applyAlignment="1">
      <alignment horizontal="center" wrapText="1"/>
    </xf>
    <xf numFmtId="0" fontId="74" fillId="0" borderId="0" xfId="204" applyFont="1" applyAlignment="1">
      <alignment vertical="center"/>
    </xf>
    <xf numFmtId="3" fontId="130" fillId="0" borderId="0" xfId="204" applyNumberFormat="1" applyFont="1" applyAlignment="1">
      <alignment horizontal="center" vertical="center"/>
    </xf>
    <xf numFmtId="37" fontId="82" fillId="0" borderId="2" xfId="204" applyNumberFormat="1" applyFont="1" applyBorder="1" applyAlignment="1">
      <alignment horizontal="center" vertical="center"/>
    </xf>
    <xf numFmtId="0" fontId="135" fillId="0" borderId="0" xfId="0" applyNumberFormat="1" applyFont="1"/>
    <xf numFmtId="172" fontId="135" fillId="0" borderId="0" xfId="0" applyFont="1" applyAlignment="1"/>
    <xf numFmtId="0" fontId="14" fillId="0" borderId="0" xfId="139" applyNumberFormat="1" applyFont="1" applyFill="1" applyAlignment="1"/>
    <xf numFmtId="39" fontId="14" fillId="0" borderId="0" xfId="139" applyFont="1" applyAlignment="1"/>
    <xf numFmtId="172" fontId="14" fillId="0" borderId="29" xfId="139" applyNumberFormat="1" applyFont="1" applyBorder="1" applyAlignment="1" applyProtection="1">
      <alignment horizontal="right"/>
      <protection locked="0"/>
    </xf>
    <xf numFmtId="3" fontId="14" fillId="6" borderId="0" xfId="0" applyNumberFormat="1" applyFont="1" applyFill="1"/>
    <xf numFmtId="10" fontId="17" fillId="0" borderId="14" xfId="198" applyNumberFormat="1" applyFont="1" applyBorder="1"/>
    <xf numFmtId="177" fontId="14" fillId="0" borderId="0" xfId="1" applyNumberFormat="1" applyFont="1" applyBorder="1" applyAlignment="1"/>
    <xf numFmtId="0" fontId="22" fillId="0" borderId="0" xfId="0" applyNumberFormat="1" applyFont="1" applyFill="1" applyProtection="1">
      <protection locked="0"/>
    </xf>
    <xf numFmtId="167" fontId="131" fillId="6" borderId="0" xfId="0" applyNumberFormat="1" applyFont="1" applyFill="1" applyAlignment="1">
      <alignment horizontal="center" wrapText="1"/>
    </xf>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4" fillId="6" borderId="42" xfId="0" applyNumberFormat="1" applyFont="1" applyFill="1" applyBorder="1" applyAlignment="1"/>
    <xf numFmtId="3" fontId="14" fillId="6" borderId="42" xfId="0" applyNumberFormat="1" applyFont="1" applyFill="1" applyBorder="1" applyAlignment="1"/>
    <xf numFmtId="182" fontId="14" fillId="0" borderId="0" xfId="198" applyNumberFormat="1" applyFont="1" applyAlignment="1"/>
    <xf numFmtId="174" fontId="14" fillId="0" borderId="0" xfId="1" applyNumberFormat="1" applyFont="1" applyAlignment="1"/>
    <xf numFmtId="0" fontId="82" fillId="0" borderId="0" xfId="204" applyFont="1" applyAlignment="1">
      <alignment horizontal="center" vertical="center"/>
    </xf>
    <xf numFmtId="0" fontId="81" fillId="0" borderId="0" xfId="211" applyFont="1" applyAlignment="1">
      <alignment horizontal="center"/>
    </xf>
    <xf numFmtId="0" fontId="81" fillId="0" borderId="0" xfId="204" applyFont="1" applyAlignment="1">
      <alignment horizontal="center"/>
    </xf>
    <xf numFmtId="173" fontId="125" fillId="0" borderId="29" xfId="211" applyNumberFormat="1" applyFont="1" applyBorder="1"/>
    <xf numFmtId="0" fontId="135" fillId="0" borderId="0" xfId="204" applyFont="1"/>
    <xf numFmtId="0" fontId="135" fillId="0" borderId="0" xfId="204" applyFont="1" applyAlignment="1">
      <alignment horizontal="left"/>
    </xf>
    <xf numFmtId="37" fontId="14" fillId="0" borderId="0" xfId="0" applyNumberFormat="1" applyFont="1" applyAlignment="1"/>
    <xf numFmtId="7" fontId="14" fillId="0" borderId="0" xfId="0" applyNumberFormat="1" applyFont="1" applyAlignment="1"/>
    <xf numFmtId="7" fontId="14" fillId="0" borderId="43" xfId="0" applyNumberFormat="1" applyFont="1" applyBorder="1" applyAlignment="1"/>
    <xf numFmtId="7" fontId="14" fillId="0" borderId="0" xfId="0" applyNumberFormat="1" applyFont="1" applyBorder="1" applyAlignment="1"/>
    <xf numFmtId="7" fontId="17" fillId="0" borderId="43" xfId="0" applyNumberFormat="1" applyFont="1" applyBorder="1" applyAlignment="1"/>
    <xf numFmtId="37" fontId="125" fillId="6" borderId="0" xfId="206" applyNumberFormat="1" applyFont="1" applyFill="1" applyBorder="1" applyAlignment="1">
      <alignment horizontal="center" vertical="center" wrapText="1"/>
    </xf>
    <xf numFmtId="5" fontId="129" fillId="0" borderId="0" xfId="206" applyNumberFormat="1" applyFont="1" applyAlignment="1">
      <alignment horizontal="center" vertical="center"/>
    </xf>
    <xf numFmtId="0" fontId="139" fillId="0" borderId="0" xfId="204" applyFont="1"/>
    <xf numFmtId="0" fontId="135" fillId="0" borderId="0" xfId="211" applyFont="1"/>
    <xf numFmtId="0" fontId="135" fillId="0" borderId="0" xfId="211" applyFont="1" applyAlignment="1">
      <alignment horizontal="left" indent="1"/>
    </xf>
    <xf numFmtId="174" fontId="14" fillId="0" borderId="0" xfId="1" applyNumberFormat="1" applyFont="1"/>
    <xf numFmtId="174" fontId="140" fillId="0" borderId="0" xfId="1" applyNumberFormat="1" applyFont="1"/>
    <xf numFmtId="173" fontId="140" fillId="0" borderId="0" xfId="199" applyNumberFormat="1" applyFont="1"/>
    <xf numFmtId="174" fontId="81" fillId="0" borderId="0" xfId="1" applyNumberFormat="1" applyFont="1"/>
    <xf numFmtId="173" fontId="81" fillId="0" borderId="0" xfId="204" applyNumberFormat="1" applyFont="1"/>
    <xf numFmtId="173" fontId="81" fillId="0" borderId="0" xfId="199" applyNumberFormat="1" applyFont="1"/>
    <xf numFmtId="0" fontId="141" fillId="0" borderId="0" xfId="204" applyFont="1" applyAlignment="1"/>
    <xf numFmtId="0" fontId="125" fillId="0" borderId="0" xfId="204" applyFont="1" applyFill="1"/>
    <xf numFmtId="0" fontId="120" fillId="0" borderId="0" xfId="2" applyFont="1"/>
    <xf numFmtId="174" fontId="14" fillId="0" borderId="4" xfId="205" applyNumberFormat="1" applyFont="1" applyBorder="1"/>
    <xf numFmtId="0" fontId="142" fillId="0" borderId="0" xfId="204" applyFont="1"/>
    <xf numFmtId="3" fontId="135" fillId="0" borderId="0" xfId="204" applyNumberFormat="1" applyFont="1" applyAlignment="1"/>
    <xf numFmtId="172" fontId="14" fillId="0" borderId="0" xfId="0" applyFont="1" applyAlignment="1"/>
    <xf numFmtId="0" fontId="125" fillId="0" borderId="4" xfId="204" quotePrefix="1" applyFont="1" applyBorder="1" applyAlignment="1">
      <alignment horizontal="center"/>
    </xf>
    <xf numFmtId="7" fontId="14" fillId="6" borderId="0" xfId="206" applyNumberFormat="1" applyFont="1" applyFill="1" applyAlignment="1"/>
    <xf numFmtId="39" fontId="14" fillId="6" borderId="0" xfId="206" applyNumberFormat="1" applyFont="1" applyFill="1" applyAlignment="1"/>
    <xf numFmtId="0" fontId="81" fillId="0" borderId="0" xfId="204" quotePrefix="1" applyFont="1"/>
    <xf numFmtId="173" fontId="14" fillId="6" borderId="0" xfId="212" applyNumberFormat="1" applyFont="1" applyFill="1"/>
    <xf numFmtId="174" fontId="14" fillId="6" borderId="0" xfId="205" applyNumberFormat="1" applyFont="1" applyFill="1"/>
    <xf numFmtId="174" fontId="81" fillId="6" borderId="0" xfId="205" applyNumberFormat="1" applyFont="1" applyFill="1"/>
    <xf numFmtId="173" fontId="81" fillId="6" borderId="14" xfId="204" applyNumberFormat="1" applyFont="1" applyFill="1" applyBorder="1"/>
    <xf numFmtId="173" fontId="125" fillId="6" borderId="0" xfId="4" applyNumberFormat="1" applyFont="1" applyFill="1" applyBorder="1"/>
    <xf numFmtId="183" fontId="125"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0" fontId="143" fillId="0" borderId="0" xfId="204" applyFont="1" applyFill="1" applyAlignment="1">
      <alignment horizontal="center" vertical="center"/>
    </xf>
    <xf numFmtId="0" fontId="143" fillId="0" borderId="0" xfId="204" applyFont="1" applyAlignment="1">
      <alignment horizontal="center" vertical="center"/>
    </xf>
    <xf numFmtId="3" fontId="81" fillId="6" borderId="0" xfId="204" applyNumberFormat="1" applyFont="1" applyFill="1" applyAlignment="1">
      <alignment horizontal="center" vertical="center"/>
    </xf>
    <xf numFmtId="0" fontId="144" fillId="0" borderId="0" xfId="204" applyFont="1" applyAlignment="1">
      <alignment vertical="center"/>
    </xf>
    <xf numFmtId="37" fontId="14" fillId="0" borderId="0" xfId="2" applyNumberFormat="1" applyFont="1" applyFill="1"/>
    <xf numFmtId="37" fontId="30" fillId="6" borderId="14" xfId="3" applyNumberFormat="1" applyFont="1" applyFill="1" applyBorder="1"/>
    <xf numFmtId="37" fontId="30" fillId="6" borderId="13" xfId="3" applyNumberFormat="1" applyFont="1" applyFill="1" applyBorder="1"/>
    <xf numFmtId="174" fontId="30" fillId="6" borderId="13" xfId="3" quotePrefix="1" applyNumberFormat="1" applyFont="1" applyFill="1" applyBorder="1"/>
    <xf numFmtId="37" fontId="30" fillId="6" borderId="12" xfId="3" applyNumberFormat="1" applyFont="1" applyFill="1" applyBorder="1"/>
    <xf numFmtId="37" fontId="30" fillId="6" borderId="20" xfId="3" applyNumberFormat="1" applyFont="1" applyFill="1" applyBorder="1"/>
    <xf numFmtId="0" fontId="145" fillId="0" borderId="0" xfId="204" applyFont="1" applyAlignment="1">
      <alignment horizontal="center" vertical="center"/>
    </xf>
    <xf numFmtId="0" fontId="145" fillId="0" borderId="0" xfId="204" applyFont="1" applyFill="1" applyAlignment="1">
      <alignment horizontal="center" vertical="center"/>
    </xf>
    <xf numFmtId="172" fontId="146" fillId="0" borderId="0" xfId="0" quotePrefix="1" applyFont="1" applyAlignment="1"/>
    <xf numFmtId="4" fontId="14" fillId="6" borderId="4" xfId="0" applyNumberFormat="1" applyFont="1" applyFill="1" applyBorder="1" applyAlignment="1"/>
    <xf numFmtId="3" fontId="14" fillId="0" borderId="0" xfId="0" applyNumberFormat="1" applyFont="1" applyFill="1" applyBorder="1" applyAlignment="1" applyProtection="1">
      <protection locked="0"/>
    </xf>
    <xf numFmtId="3" fontId="14" fillId="0" borderId="1" xfId="0" applyNumberFormat="1" applyFont="1" applyFill="1" applyBorder="1" applyAlignment="1" applyProtection="1">
      <protection locked="0"/>
    </xf>
    <xf numFmtId="174" fontId="14" fillId="6" borderId="0" xfId="205" applyNumberFormat="1" applyFont="1" applyFill="1" applyBorder="1"/>
    <xf numFmtId="172" fontId="14" fillId="0" borderId="0" xfId="0" applyFont="1" applyAlignment="1"/>
    <xf numFmtId="172" fontId="14" fillId="0" borderId="0" xfId="0" applyFont="1" applyAlignment="1"/>
    <xf numFmtId="172" fontId="17" fillId="0" borderId="0" xfId="0" applyFont="1" applyBorder="1" applyAlignment="1"/>
    <xf numFmtId="0" fontId="136" fillId="0" borderId="50" xfId="263" applyFont="1" applyBorder="1" applyAlignment="1">
      <alignment horizontal="center" wrapText="1"/>
    </xf>
    <xf numFmtId="170" fontId="136" fillId="0" borderId="51" xfId="263" applyNumberFormat="1" applyFont="1" applyBorder="1" applyAlignment="1">
      <alignment horizontal="center" wrapText="1"/>
    </xf>
    <xf numFmtId="0" fontId="136" fillId="0" borderId="52" xfId="263" applyFont="1" applyFill="1" applyBorder="1" applyAlignment="1">
      <alignment horizontal="center" wrapText="1"/>
    </xf>
    <xf numFmtId="172" fontId="136" fillId="0" borderId="53" xfId="0" applyFont="1" applyBorder="1" applyAlignment="1">
      <alignment horizontal="left"/>
    </xf>
    <xf numFmtId="7" fontId="17" fillId="0" borderId="54" xfId="3" quotePrefix="1" applyNumberFormat="1" applyFont="1" applyFill="1" applyBorder="1" applyAlignment="1">
      <alignment horizontal="right"/>
    </xf>
    <xf numFmtId="43" fontId="17" fillId="0" borderId="54" xfId="3" quotePrefix="1" applyNumberFormat="1" applyFont="1" applyFill="1" applyBorder="1" applyAlignment="1">
      <alignment horizontal="center"/>
    </xf>
    <xf numFmtId="172" fontId="136" fillId="0" borderId="53" xfId="0" applyFont="1" applyFill="1" applyBorder="1" applyAlignment="1">
      <alignment horizontal="center"/>
    </xf>
    <xf numFmtId="7" fontId="17" fillId="0" borderId="54" xfId="3" applyNumberFormat="1" applyFont="1" applyBorder="1"/>
    <xf numFmtId="172" fontId="17" fillId="0" borderId="55" xfId="0" quotePrefix="1" applyFont="1" applyBorder="1" applyAlignment="1"/>
    <xf numFmtId="0" fontId="17" fillId="0" borderId="56" xfId="0" applyNumberFormat="1" applyFont="1" applyBorder="1"/>
    <xf numFmtId="172" fontId="17" fillId="0" borderId="57" xfId="0" quotePrefix="1" applyFont="1" applyBorder="1" applyAlignment="1"/>
    <xf numFmtId="172" fontId="17" fillId="0" borderId="58" xfId="0" applyFont="1" applyBorder="1" applyAlignment="1"/>
    <xf numFmtId="0" fontId="17" fillId="0" borderId="59" xfId="0" applyNumberFormat="1" applyFont="1" applyBorder="1"/>
    <xf numFmtId="0" fontId="14" fillId="0" borderId="0" xfId="0" applyNumberFormat="1" applyFont="1" applyFill="1" applyAlignment="1">
      <alignment horizontal="center"/>
    </xf>
    <xf numFmtId="0" fontId="14" fillId="0" borderId="4" xfId="0" applyNumberFormat="1" applyFont="1" applyFill="1" applyBorder="1" applyAlignment="1">
      <alignment horizontal="center" wrapText="1"/>
    </xf>
    <xf numFmtId="173" fontId="14" fillId="0" borderId="0" xfId="0" applyNumberFormat="1" applyFont="1" applyFill="1"/>
    <xf numFmtId="44" fontId="14" fillId="0" borderId="0" xfId="199" applyFont="1" applyFill="1" applyAlignment="1"/>
    <xf numFmtId="10" fontId="14" fillId="0" borderId="0" xfId="198" applyNumberFormat="1" applyFont="1" applyFill="1" applyAlignment="1">
      <alignment horizontal="center"/>
    </xf>
    <xf numFmtId="173" fontId="17" fillId="0" borderId="0" xfId="199" applyNumberFormat="1" applyFont="1" applyFill="1"/>
    <xf numFmtId="174" fontId="14" fillId="0" borderId="4" xfId="1" applyNumberFormat="1" applyFont="1" applyFill="1" applyBorder="1"/>
    <xf numFmtId="174" fontId="14" fillId="0" borderId="4" xfId="1" applyNumberFormat="1" applyFont="1" applyFill="1" applyBorder="1" applyAlignment="1"/>
    <xf numFmtId="10" fontId="14" fillId="0" borderId="4" xfId="198" applyNumberFormat="1" applyFont="1" applyFill="1" applyBorder="1" applyAlignment="1">
      <alignment horizontal="center"/>
    </xf>
    <xf numFmtId="174" fontId="17" fillId="0" borderId="4" xfId="1" applyNumberFormat="1" applyFont="1" applyFill="1" applyBorder="1"/>
    <xf numFmtId="173" fontId="14" fillId="0" borderId="9" xfId="0" applyNumberFormat="1" applyFont="1" applyFill="1" applyBorder="1"/>
    <xf numFmtId="173" fontId="17" fillId="0" borderId="0" xfId="199" applyNumberFormat="1" applyFont="1" applyFill="1" applyAlignment="1">
      <alignment horizontal="left"/>
    </xf>
    <xf numFmtId="172" fontId="14" fillId="0" borderId="0" xfId="0" quotePrefix="1" applyFont="1" applyFill="1" applyAlignment="1"/>
    <xf numFmtId="0" fontId="147" fillId="0" borderId="0" xfId="0" applyNumberFormat="1" applyFont="1" applyFill="1"/>
    <xf numFmtId="0" fontId="14" fillId="0" borderId="9" xfId="0" applyNumberFormat="1" applyFont="1" applyFill="1" applyBorder="1"/>
    <xf numFmtId="0" fontId="14" fillId="0" borderId="0" xfId="206" applyNumberFormat="1" applyFont="1" applyFill="1" applyAlignment="1">
      <alignment vertical="center"/>
    </xf>
    <xf numFmtId="0" fontId="82" fillId="0" borderId="0" xfId="204" applyFont="1" applyBorder="1" applyAlignment="1">
      <alignment horizontal="center" vertical="center" wrapText="1"/>
    </xf>
    <xf numFmtId="0" fontId="82" fillId="0" borderId="0" xfId="204" applyFont="1" applyFill="1" applyBorder="1" applyAlignment="1">
      <alignment vertical="center" wrapText="1"/>
    </xf>
    <xf numFmtId="0" fontId="82" fillId="0" borderId="4" xfId="204" applyFont="1" applyFill="1" applyBorder="1" applyAlignment="1">
      <alignment horizontal="center" wrapText="1"/>
    </xf>
    <xf numFmtId="1" fontId="81" fillId="0" borderId="0" xfId="204" applyNumberFormat="1" applyFont="1" applyFill="1" applyAlignment="1">
      <alignment horizontal="center" vertical="center"/>
    </xf>
    <xf numFmtId="173" fontId="81" fillId="0" borderId="0" xfId="199" applyNumberFormat="1" applyFont="1" applyFill="1" applyBorder="1" applyAlignment="1">
      <alignment horizontal="center" vertical="center" wrapText="1"/>
    </xf>
    <xf numFmtId="173" fontId="14" fillId="0" borderId="0" xfId="206" applyNumberFormat="1" applyFont="1" applyFill="1" applyAlignment="1">
      <alignment vertical="center"/>
    </xf>
    <xf numFmtId="174" fontId="81" fillId="0" borderId="0" xfId="1" applyNumberFormat="1" applyFont="1" applyFill="1" applyAlignment="1">
      <alignment horizontal="center" vertical="center"/>
    </xf>
    <xf numFmtId="174" fontId="81" fillId="0" borderId="0" xfId="1" applyNumberFormat="1" applyFont="1" applyFill="1" applyBorder="1" applyAlignment="1">
      <alignment horizontal="center" vertical="center"/>
    </xf>
    <xf numFmtId="173" fontId="148" fillId="0" borderId="0" xfId="206" applyNumberFormat="1" applyFont="1" applyFill="1" applyAlignment="1">
      <alignment vertical="center"/>
    </xf>
    <xf numFmtId="173" fontId="148" fillId="0" borderId="0" xfId="206" applyNumberFormat="1" applyFont="1" applyFill="1" applyBorder="1" applyAlignment="1">
      <alignment vertical="center"/>
    </xf>
    <xf numFmtId="173" fontId="17" fillId="0" borderId="0" xfId="0" applyNumberFormat="1" applyFont="1" applyAlignment="1"/>
    <xf numFmtId="173" fontId="17" fillId="0" borderId="2" xfId="0" applyNumberFormat="1" applyFont="1" applyBorder="1" applyAlignment="1"/>
    <xf numFmtId="173" fontId="17" fillId="0" borderId="0" xfId="0" applyNumberFormat="1" applyFont="1" applyFill="1" applyAlignment="1"/>
    <xf numFmtId="0" fontId="81" fillId="0" borderId="0" xfId="0" applyNumberFormat="1" applyFont="1"/>
    <xf numFmtId="0" fontId="81" fillId="0" borderId="0" xfId="0" applyNumberFormat="1" applyFont="1" applyAlignment="1">
      <alignment horizontal="left"/>
    </xf>
    <xf numFmtId="174" fontId="81" fillId="0" borderId="4" xfId="1" applyNumberFormat="1" applyFont="1" applyFill="1" applyBorder="1" applyAlignment="1">
      <alignment horizontal="center" vertical="center"/>
    </xf>
    <xf numFmtId="0" fontId="5"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0" fontId="81" fillId="0" borderId="0" xfId="204" applyFont="1" applyAlignment="1">
      <alignment horizontal="center"/>
    </xf>
    <xf numFmtId="0" fontId="4" fillId="0" borderId="0" xfId="204" applyFont="1"/>
    <xf numFmtId="43" fontId="62" fillId="0" borderId="0" xfId="1" applyFont="1"/>
    <xf numFmtId="171" fontId="14" fillId="0" borderId="42" xfId="0" applyNumberFormat="1" applyFont="1" applyFill="1" applyBorder="1" applyAlignment="1"/>
    <xf numFmtId="3" fontId="14" fillId="0" borderId="0" xfId="0" applyNumberFormat="1" applyFont="1" applyFill="1" applyAlignment="1"/>
    <xf numFmtId="172" fontId="14" fillId="0" borderId="0" xfId="0" applyFont="1" applyFill="1" applyAlignment="1"/>
    <xf numFmtId="173" fontId="69" fillId="0" borderId="0" xfId="381" applyNumberFormat="1" applyFont="1" applyAlignment="1">
      <alignment vertical="center"/>
    </xf>
    <xf numFmtId="0" fontId="69" fillId="0" borderId="0" xfId="322" applyFont="1" applyAlignment="1">
      <alignment horizontal="right" vertical="center"/>
    </xf>
    <xf numFmtId="3" fontId="14" fillId="0" borderId="0" xfId="0" applyNumberFormat="1" applyFont="1" applyAlignment="1">
      <alignment horizontal="right"/>
    </xf>
    <xf numFmtId="172" fontId="14" fillId="0" borderId="0" xfId="0" applyFont="1" applyAlignment="1"/>
    <xf numFmtId="0" fontId="11" fillId="0" borderId="0" xfId="204" applyAlignment="1">
      <alignment horizontal="center" vertical="center"/>
    </xf>
    <xf numFmtId="172" fontId="14" fillId="0" borderId="0" xfId="0" applyFont="1" applyAlignment="1"/>
    <xf numFmtId="37" fontId="14" fillId="0" borderId="0" xfId="198" applyNumberFormat="1" applyFont="1" applyFill="1" applyAlignment="1"/>
    <xf numFmtId="182" fontId="17" fillId="0" borderId="29" xfId="198" applyNumberFormat="1" applyFont="1" applyBorder="1" applyAlignment="1"/>
    <xf numFmtId="182" fontId="0" fillId="0" borderId="0" xfId="198" applyNumberFormat="1" applyFont="1" applyAlignment="1"/>
    <xf numFmtId="172" fontId="14" fillId="0" borderId="0" xfId="0" applyFont="1" applyAlignment="1"/>
    <xf numFmtId="10" fontId="14" fillId="0" borderId="0" xfId="198" applyNumberFormat="1" applyFont="1" applyAlignment="1"/>
    <xf numFmtId="0" fontId="22" fillId="0" borderId="0" xfId="204" applyFont="1" applyAlignment="1"/>
    <xf numFmtId="0" fontId="14" fillId="0" borderId="0" xfId="204" applyNumberFormat="1" applyFont="1" applyFill="1" applyBorder="1" applyAlignment="1" applyProtection="1">
      <alignment wrapText="1"/>
      <protection locked="0"/>
    </xf>
    <xf numFmtId="44" fontId="14" fillId="0" borderId="0" xfId="206" applyFont="1" applyAlignment="1">
      <alignment vertical="center"/>
    </xf>
    <xf numFmtId="3" fontId="135" fillId="0" borderId="0" xfId="204" applyNumberFormat="1" applyFont="1" applyAlignment="1">
      <alignment vertical="center"/>
    </xf>
    <xf numFmtId="173" fontId="14" fillId="0" borderId="4" xfId="199" applyNumberFormat="1" applyFont="1" applyBorder="1" applyAlignment="1">
      <alignment vertical="center"/>
    </xf>
    <xf numFmtId="172" fontId="14" fillId="0" borderId="0" xfId="0" applyFont="1" applyAlignment="1"/>
    <xf numFmtId="0" fontId="14" fillId="0" borderId="0" xfId="204" applyFont="1" applyAlignment="1">
      <alignment horizontal="left" wrapText="1" indent="1"/>
    </xf>
    <xf numFmtId="0" fontId="81" fillId="0" borderId="0" xfId="204" applyFont="1" applyFill="1" applyAlignment="1">
      <alignment horizontal="left" indent="1"/>
    </xf>
    <xf numFmtId="14" fontId="0" fillId="6" borderId="0" xfId="0" applyNumberFormat="1" applyFill="1" applyBorder="1" applyAlignment="1" applyProtection="1"/>
    <xf numFmtId="0" fontId="135" fillId="0" borderId="0" xfId="0" applyNumberFormat="1" applyFont="1" applyFill="1" applyAlignment="1"/>
    <xf numFmtId="172" fontId="14" fillId="0" borderId="0" xfId="0" applyFont="1" applyAlignment="1">
      <alignment vertical="center"/>
    </xf>
    <xf numFmtId="172" fontId="14" fillId="0" borderId="0" xfId="0" applyFont="1" applyAlignment="1">
      <alignment horizontal="center" vertical="center" wrapText="1"/>
    </xf>
    <xf numFmtId="172" fontId="14" fillId="0" borderId="0" xfId="0" applyFont="1" applyFill="1" applyAlignment="1">
      <alignment horizontal="center" vertical="center" wrapText="1"/>
    </xf>
    <xf numFmtId="3" fontId="14" fillId="6" borderId="0" xfId="0" applyNumberFormat="1" applyFont="1" applyFill="1" applyAlignment="1"/>
    <xf numFmtId="49" fontId="17" fillId="6" borderId="0" xfId="0" applyNumberFormat="1" applyFont="1" applyFill="1"/>
    <xf numFmtId="37" fontId="14" fillId="6" borderId="4" xfId="0" applyNumberFormat="1" applyFont="1" applyFill="1" applyBorder="1" applyAlignment="1"/>
    <xf numFmtId="0" fontId="123" fillId="0" borderId="0" xfId="204" applyFont="1" applyAlignment="1"/>
    <xf numFmtId="43" fontId="150" fillId="0" borderId="0" xfId="1" applyFont="1" applyAlignment="1"/>
    <xf numFmtId="171" fontId="14" fillId="6" borderId="42" xfId="0" applyNumberFormat="1" applyFont="1" applyFill="1" applyBorder="1" applyAlignment="1"/>
    <xf numFmtId="174" fontId="125" fillId="6" borderId="0" xfId="1" applyNumberFormat="1" applyFont="1" applyFill="1" applyBorder="1" applyAlignment="1">
      <alignment horizontal="center" vertical="center" wrapText="1"/>
    </xf>
    <xf numFmtId="37" fontId="14" fillId="6" borderId="0" xfId="0" applyNumberFormat="1" applyFont="1" applyFill="1" applyBorder="1" applyAlignment="1"/>
    <xf numFmtId="174" fontId="0" fillId="6" borderId="0" xfId="1" applyNumberFormat="1" applyFont="1" applyFill="1" applyAlignment="1">
      <alignment vertical="center"/>
    </xf>
    <xf numFmtId="43" fontId="151" fillId="0" borderId="0" xfId="1" applyFont="1"/>
    <xf numFmtId="43" fontId="62" fillId="0" borderId="0" xfId="1" applyFont="1" applyBorder="1"/>
    <xf numFmtId="43" fontId="150" fillId="0" borderId="0" xfId="3" applyFont="1" applyBorder="1"/>
    <xf numFmtId="184" fontId="11" fillId="0" borderId="0" xfId="204" applyNumberFormat="1"/>
    <xf numFmtId="172" fontId="14" fillId="0" borderId="4" xfId="0" applyFont="1" applyBorder="1" applyAlignment="1">
      <alignment horizontal="center"/>
    </xf>
    <xf numFmtId="172" fontId="14" fillId="0" borderId="0" xfId="0" applyFont="1" applyAlignment="1"/>
    <xf numFmtId="172" fontId="14" fillId="0" borderId="0" xfId="0" applyFont="1" applyAlignment="1">
      <alignment horizontal="center"/>
    </xf>
    <xf numFmtId="0" fontId="81" fillId="0" borderId="0" xfId="147" applyFont="1" applyAlignment="1">
      <alignment horizontal="center"/>
    </xf>
    <xf numFmtId="172" fontId="14" fillId="0" borderId="0" xfId="0" quotePrefix="1" applyFont="1" applyAlignment="1">
      <alignment wrapText="1"/>
    </xf>
    <xf numFmtId="0" fontId="14" fillId="0" borderId="0" xfId="0" applyNumberFormat="1" applyFont="1" applyAlignment="1">
      <alignment horizontal="center"/>
    </xf>
    <xf numFmtId="0" fontId="81" fillId="0" borderId="0" xfId="322" applyFont="1"/>
    <xf numFmtId="0" fontId="82" fillId="0" borderId="0" xfId="147" applyFont="1" applyFill="1" applyAlignment="1"/>
    <xf numFmtId="0" fontId="82" fillId="0" borderId="0" xfId="147" applyFont="1" applyAlignment="1"/>
    <xf numFmtId="0" fontId="17" fillId="0" borderId="0" xfId="618" applyFont="1" applyBorder="1" applyAlignment="1">
      <alignment horizontal="left"/>
    </xf>
    <xf numFmtId="0" fontId="14" fillId="0" borderId="0" xfId="0" applyNumberFormat="1" applyFont="1" applyFill="1" applyBorder="1" applyAlignment="1"/>
    <xf numFmtId="0" fontId="17" fillId="0" borderId="0" xfId="0" applyNumberFormat="1" applyFont="1" applyFill="1" applyBorder="1" applyAlignment="1">
      <alignment horizontal="center"/>
    </xf>
    <xf numFmtId="0" fontId="17" fillId="0" borderId="0" xfId="0" applyNumberFormat="1" applyFont="1" applyFill="1" applyAlignment="1"/>
    <xf numFmtId="0" fontId="14" fillId="0" borderId="0" xfId="618" applyFont="1" applyAlignment="1">
      <alignment horizontal="center"/>
    </xf>
    <xf numFmtId="42" fontId="14" fillId="0" borderId="0" xfId="1" applyNumberFormat="1" applyFont="1" applyFill="1" applyAlignment="1"/>
    <xf numFmtId="174" fontId="14" fillId="0" borderId="0" xfId="1" applyNumberFormat="1" applyFont="1" applyFill="1" applyAlignment="1"/>
    <xf numFmtId="42" fontId="14" fillId="0" borderId="9" xfId="1" applyNumberFormat="1" applyFont="1" applyFill="1" applyBorder="1" applyAlignment="1"/>
    <xf numFmtId="42" fontId="14" fillId="6" borderId="0" xfId="1" applyNumberFormat="1" applyFont="1" applyFill="1"/>
    <xf numFmtId="42" fontId="14" fillId="0" borderId="0" xfId="1" applyNumberFormat="1" applyFont="1"/>
    <xf numFmtId="0" fontId="17" fillId="0" borderId="0" xfId="0" applyNumberFormat="1" applyFont="1"/>
    <xf numFmtId="42" fontId="14" fillId="0" borderId="9" xfId="0" applyNumberFormat="1" applyFont="1" applyBorder="1"/>
    <xf numFmtId="42" fontId="14" fillId="0" borderId="0" xfId="0" applyNumberFormat="1" applyFont="1"/>
    <xf numFmtId="42" fontId="14" fillId="0" borderId="0" xfId="1" applyNumberFormat="1" applyFont="1" applyFill="1"/>
    <xf numFmtId="42" fontId="14" fillId="0" borderId="2" xfId="0" applyNumberFormat="1" applyFont="1" applyFill="1" applyBorder="1" applyAlignment="1">
      <alignment horizontal="right"/>
    </xf>
    <xf numFmtId="3" fontId="14" fillId="0" borderId="28" xfId="0" applyNumberFormat="1" applyFont="1" applyFill="1" applyBorder="1"/>
    <xf numFmtId="185" fontId="14" fillId="0" borderId="0" xfId="199" applyNumberFormat="1" applyFont="1" applyFill="1"/>
    <xf numFmtId="0" fontId="69" fillId="0" borderId="0" xfId="0" applyNumberFormat="1" applyFont="1"/>
    <xf numFmtId="0" fontId="156" fillId="0" borderId="0" xfId="0" applyNumberFormat="1" applyFont="1" applyFill="1" applyBorder="1" applyAlignment="1">
      <alignment horizontal="center"/>
    </xf>
    <xf numFmtId="0" fontId="14" fillId="0" borderId="0" xfId="618" applyFont="1" applyFill="1" applyBorder="1" applyAlignment="1">
      <alignment horizontal="center"/>
    </xf>
    <xf numFmtId="0" fontId="14" fillId="0" borderId="0" xfId="0" applyNumberFormat="1" applyFont="1" applyFill="1" applyBorder="1" applyAlignment="1">
      <alignment horizontal="center"/>
    </xf>
    <xf numFmtId="42" fontId="14" fillId="6" borderId="0" xfId="1" applyNumberFormat="1" applyFont="1" applyFill="1" applyAlignment="1"/>
    <xf numFmtId="42" fontId="14" fillId="0" borderId="0" xfId="1" applyNumberFormat="1" applyFont="1" applyFill="1" applyAlignment="1">
      <alignment horizontal="right"/>
    </xf>
    <xf numFmtId="174" fontId="14" fillId="6" borderId="0" xfId="1" applyNumberFormat="1" applyFont="1" applyFill="1" applyAlignment="1"/>
    <xf numFmtId="174" fontId="14" fillId="0" borderId="0" xfId="1" applyNumberFormat="1" applyFont="1" applyFill="1" applyAlignment="1">
      <alignment horizontal="right"/>
    </xf>
    <xf numFmtId="174" fontId="14" fillId="0" borderId="0" xfId="1" applyNumberFormat="1" applyFont="1" applyFill="1"/>
    <xf numFmtId="0" fontId="14" fillId="0" borderId="0" xfId="0" applyNumberFormat="1" applyFont="1" applyFill="1" applyAlignment="1">
      <alignment horizontal="right"/>
    </xf>
    <xf numFmtId="174" fontId="14" fillId="0" borderId="0" xfId="1" applyNumberFormat="1" applyFont="1" applyFill="1" applyBorder="1"/>
    <xf numFmtId="177" fontId="14" fillId="0" borderId="0" xfId="1" applyNumberFormat="1" applyFont="1" applyFill="1" applyBorder="1"/>
    <xf numFmtId="174" fontId="14" fillId="0" borderId="9" xfId="1" applyNumberFormat="1" applyFont="1" applyFill="1" applyBorder="1"/>
    <xf numFmtId="173" fontId="14" fillId="0" borderId="2" xfId="199" applyNumberFormat="1" applyFont="1" applyFill="1" applyBorder="1" applyAlignment="1"/>
    <xf numFmtId="173" fontId="14" fillId="0" borderId="2" xfId="0" applyNumberFormat="1" applyFont="1" applyFill="1" applyBorder="1" applyAlignment="1"/>
    <xf numFmtId="182" fontId="14" fillId="0" borderId="0" xfId="198" applyNumberFormat="1" applyFont="1" applyFill="1" applyAlignment="1"/>
    <xf numFmtId="1" fontId="14" fillId="0" borderId="0" xfId="0" applyNumberFormat="1" applyFont="1" applyFill="1" applyAlignment="1"/>
    <xf numFmtId="42" fontId="14" fillId="0" borderId="0" xfId="0" applyNumberFormat="1" applyFont="1" applyFill="1" applyAlignment="1"/>
    <xf numFmtId="173" fontId="17" fillId="0" borderId="2" xfId="0" applyNumberFormat="1" applyFont="1" applyFill="1" applyBorder="1" applyAlignment="1"/>
    <xf numFmtId="10" fontId="14" fillId="6" borderId="0" xfId="0" applyNumberFormat="1" applyFont="1" applyFill="1" applyAlignment="1"/>
    <xf numFmtId="2" fontId="14" fillId="0" borderId="0" xfId="198" quotePrefix="1" applyNumberFormat="1" applyFont="1" applyFill="1" applyBorder="1" applyAlignment="1">
      <alignment horizontal="right"/>
    </xf>
    <xf numFmtId="0" fontId="14" fillId="0" borderId="0" xfId="0" applyNumberFormat="1" applyFont="1" applyFill="1" applyAlignment="1"/>
    <xf numFmtId="0" fontId="64" fillId="0" borderId="0" xfId="2" applyFont="1" applyAlignment="1">
      <alignment horizontal="right"/>
    </xf>
    <xf numFmtId="174" fontId="67" fillId="0" borderId="0" xfId="3" applyNumberFormat="1" applyFont="1" applyFill="1" applyBorder="1"/>
    <xf numFmtId="173" fontId="64" fillId="0" borderId="9" xfId="2" applyNumberFormat="1" applyFont="1" applyBorder="1"/>
    <xf numFmtId="37" fontId="125" fillId="0" borderId="0" xfId="206" applyNumberFormat="1" applyFont="1" applyFill="1" applyBorder="1" applyAlignment="1">
      <alignment vertical="center" wrapText="1"/>
    </xf>
    <xf numFmtId="183" fontId="125" fillId="0" borderId="0" xfId="199" applyNumberFormat="1" applyFont="1" applyFill="1" applyBorder="1" applyAlignment="1">
      <alignment vertical="center" wrapText="1"/>
    </xf>
    <xf numFmtId="172" fontId="23" fillId="0" borderId="0" xfId="0" applyFont="1" applyFill="1" applyBorder="1" applyAlignment="1">
      <alignment vertical="top"/>
    </xf>
    <xf numFmtId="172" fontId="61" fillId="0" borderId="0" xfId="260" applyNumberFormat="1" applyFont="1" applyFill="1" applyBorder="1" applyAlignment="1">
      <alignment vertical="top"/>
    </xf>
    <xf numFmtId="172" fontId="109" fillId="0" borderId="0" xfId="260" applyNumberFormat="1" applyFill="1" applyBorder="1" applyAlignment="1">
      <alignment vertical="top"/>
    </xf>
    <xf numFmtId="172" fontId="0" fillId="0" borderId="0" xfId="0" applyFont="1" applyFill="1" applyBorder="1" applyAlignment="1">
      <alignment horizontal="center" vertical="top"/>
    </xf>
    <xf numFmtId="172" fontId="0" fillId="0" borderId="0" xfId="0" applyFont="1" applyFill="1" applyBorder="1" applyAlignment="1">
      <alignment vertical="top"/>
    </xf>
    <xf numFmtId="172" fontId="157" fillId="0" borderId="0" xfId="0" applyFont="1" applyAlignment="1"/>
    <xf numFmtId="0" fontId="157" fillId="0" borderId="0" xfId="0" applyNumberFormat="1" applyFont="1"/>
    <xf numFmtId="0" fontId="144" fillId="0" borderId="4" xfId="204" applyFont="1" applyBorder="1" applyAlignment="1">
      <alignment horizontal="center"/>
    </xf>
    <xf numFmtId="0" fontId="14" fillId="0" borderId="0" xfId="139" applyNumberFormat="1" applyFont="1" applyFill="1" applyAlignment="1">
      <alignment horizontal="right"/>
    </xf>
    <xf numFmtId="0" fontId="14" fillId="0" borderId="0" xfId="0" applyNumberFormat="1" applyFont="1" applyFill="1" applyAlignment="1" applyProtection="1">
      <alignment vertical="top" wrapText="1"/>
      <protection locked="0"/>
    </xf>
    <xf numFmtId="0" fontId="14" fillId="0" borderId="0" xfId="0" applyNumberFormat="1" applyFont="1" applyAlignment="1" applyProtection="1">
      <alignment vertical="top" wrapText="1"/>
      <protection locked="0"/>
    </xf>
    <xf numFmtId="0" fontId="14" fillId="0" borderId="0" xfId="0" applyNumberFormat="1" applyFont="1" applyFill="1" applyAlignment="1">
      <alignment vertical="top" wrapText="1"/>
    </xf>
    <xf numFmtId="0" fontId="17" fillId="0" borderId="47" xfId="0" applyNumberFormat="1" applyFont="1" applyBorder="1" applyAlignment="1">
      <alignment horizontal="center"/>
    </xf>
    <xf numFmtId="0" fontId="17" fillId="0" borderId="48" xfId="0" applyNumberFormat="1" applyFont="1" applyBorder="1" applyAlignment="1">
      <alignment horizontal="center"/>
    </xf>
    <xf numFmtId="0" fontId="17" fillId="0" borderId="49" xfId="0" applyNumberFormat="1" applyFont="1" applyBorder="1" applyAlignment="1">
      <alignment horizontal="center"/>
    </xf>
    <xf numFmtId="0" fontId="14" fillId="0" borderId="8" xfId="0" applyNumberFormat="1" applyFont="1" applyBorder="1" applyAlignment="1">
      <alignment horizontal="center"/>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3" fontId="14" fillId="0" borderId="0" xfId="0" applyNumberFormat="1" applyFont="1" applyAlignment="1">
      <alignment horizontal="right"/>
    </xf>
    <xf numFmtId="172" fontId="0" fillId="0" borderId="0" xfId="0" applyFont="1" applyFill="1" applyBorder="1" applyAlignment="1">
      <alignment horizontal="left" vertical="top"/>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3" fillId="0" borderId="0" xfId="0" applyFont="1" applyFill="1" applyBorder="1" applyAlignment="1">
      <alignment horizontal="left" vertical="top" wrapText="1"/>
    </xf>
    <xf numFmtId="172" fontId="23" fillId="0" borderId="0" xfId="0" applyFont="1" applyFill="1" applyBorder="1" applyAlignment="1">
      <alignment horizontal="left" vertical="top"/>
    </xf>
    <xf numFmtId="172" fontId="0" fillId="0" borderId="0" xfId="0" applyFill="1" applyBorder="1" applyAlignment="1">
      <alignment horizontal="left" vertical="top"/>
    </xf>
    <xf numFmtId="172" fontId="14" fillId="0" borderId="42" xfId="0" applyFont="1" applyBorder="1" applyAlignment="1">
      <alignment horizontal="center"/>
    </xf>
    <xf numFmtId="172" fontId="14" fillId="0" borderId="0" xfId="0" applyFont="1" applyAlignment="1">
      <alignment horizontal="center"/>
    </xf>
    <xf numFmtId="0" fontId="82" fillId="0" borderId="0" xfId="147" applyFont="1" applyAlignment="1">
      <alignment horizontal="center"/>
    </xf>
    <xf numFmtId="172" fontId="17" fillId="0" borderId="0" xfId="0" applyFont="1" applyAlignment="1">
      <alignment horizontal="center"/>
    </xf>
    <xf numFmtId="172" fontId="121" fillId="0" borderId="0" xfId="0" applyFont="1" applyAlignment="1">
      <alignment horizontal="center"/>
    </xf>
    <xf numFmtId="172" fontId="14" fillId="0" borderId="4" xfId="0" applyFont="1" applyBorder="1" applyAlignment="1">
      <alignment horizontal="center"/>
    </xf>
    <xf numFmtId="172" fontId="14" fillId="0" borderId="0" xfId="0" applyFont="1" applyAlignment="1">
      <alignment wrapText="1"/>
    </xf>
    <xf numFmtId="172" fontId="138" fillId="0" borderId="0" xfId="265" quotePrefix="1" applyNumberFormat="1" applyFont="1" applyAlignment="1" applyProtection="1"/>
    <xf numFmtId="172" fontId="14" fillId="0" borderId="0" xfId="0" applyFont="1" applyAlignment="1"/>
    <xf numFmtId="172" fontId="14" fillId="0" borderId="0" xfId="0" applyFont="1" applyFill="1" applyAlignment="1">
      <alignment wrapText="1"/>
    </xf>
    <xf numFmtId="172" fontId="14" fillId="0" borderId="0" xfId="0" applyFont="1" applyFill="1" applyAlignment="1">
      <alignment horizontal="left" wrapText="1"/>
    </xf>
    <xf numFmtId="0" fontId="14" fillId="0" borderId="0" xfId="139" applyNumberFormat="1" applyFont="1" applyFill="1" applyAlignment="1"/>
    <xf numFmtId="0" fontId="81" fillId="0" borderId="0" xfId="147" applyFont="1" applyAlignment="1">
      <alignment horizontal="center"/>
    </xf>
    <xf numFmtId="172" fontId="17" fillId="0" borderId="4" xfId="0" applyFont="1" applyBorder="1" applyAlignment="1">
      <alignment horizontal="center"/>
    </xf>
    <xf numFmtId="172" fontId="14" fillId="0" borderId="0" xfId="0" quotePrefix="1" applyFont="1" applyAlignment="1">
      <alignment horizontal="left" wrapText="1"/>
    </xf>
    <xf numFmtId="172" fontId="14" fillId="0" borderId="0" xfId="0" applyFont="1" applyBorder="1" applyAlignment="1">
      <alignment horizontal="center"/>
    </xf>
    <xf numFmtId="0" fontId="14" fillId="0" borderId="0" xfId="0" applyNumberFormat="1" applyFont="1" applyAlignment="1">
      <alignment horizontal="center"/>
    </xf>
    <xf numFmtId="0" fontId="82" fillId="0" borderId="4" xfId="204" applyFont="1" applyBorder="1" applyAlignment="1">
      <alignment horizontal="center" vertical="center" wrapText="1"/>
    </xf>
    <xf numFmtId="0" fontId="25" fillId="0" borderId="0" xfId="2" applyFont="1" applyAlignment="1">
      <alignment horizontal="center"/>
    </xf>
    <xf numFmtId="0" fontId="27" fillId="0" borderId="0" xfId="2" applyFont="1" applyAlignment="1">
      <alignment horizontal="center"/>
    </xf>
    <xf numFmtId="14" fontId="25" fillId="0" borderId="0" xfId="2" applyNumberFormat="1" applyFont="1" applyAlignment="1">
      <alignment horizontal="center"/>
    </xf>
    <xf numFmtId="0" fontId="28" fillId="0" borderId="4" xfId="2" applyFont="1" applyBorder="1" applyAlignment="1">
      <alignment horizontal="center"/>
    </xf>
    <xf numFmtId="0" fontId="28" fillId="0" borderId="4" xfId="2" applyFont="1" applyFill="1" applyBorder="1" applyAlignment="1">
      <alignment horizontal="center"/>
    </xf>
    <xf numFmtId="0" fontId="66" fillId="0" borderId="4" xfId="2" applyFont="1" applyBorder="1" applyAlignment="1">
      <alignment horizontal="center"/>
    </xf>
    <xf numFmtId="0" fontId="65" fillId="0" borderId="0" xfId="2" applyFont="1" applyAlignment="1">
      <alignment horizontal="center"/>
    </xf>
    <xf numFmtId="0" fontId="63" fillId="0" borderId="0" xfId="2" applyFont="1" applyAlignment="1">
      <alignment horizontal="center"/>
    </xf>
    <xf numFmtId="14" fontId="65" fillId="0" borderId="0" xfId="2" applyNumberFormat="1" applyFont="1" applyAlignment="1">
      <alignment horizontal="center"/>
    </xf>
    <xf numFmtId="0" fontId="88" fillId="0" borderId="0" xfId="2" applyFont="1" applyAlignment="1">
      <alignment horizontal="center"/>
    </xf>
    <xf numFmtId="14" fontId="88" fillId="0" borderId="0" xfId="2" applyNumberFormat="1" applyFont="1" applyAlignment="1">
      <alignment horizontal="center"/>
    </xf>
    <xf numFmtId="0" fontId="24" fillId="0" borderId="8" xfId="2" applyFill="1" applyBorder="1" applyAlignment="1">
      <alignment horizontal="left"/>
    </xf>
    <xf numFmtId="0" fontId="24" fillId="0" borderId="9" xfId="2" applyFill="1" applyBorder="1" applyAlignment="1">
      <alignment horizontal="left"/>
    </xf>
    <xf numFmtId="0" fontId="29" fillId="0" borderId="4" xfId="2" applyFont="1" applyBorder="1" applyAlignment="1">
      <alignment horizontal="center"/>
    </xf>
    <xf numFmtId="0" fontId="81" fillId="0" borderId="0" xfId="204" quotePrefix="1" applyFont="1" applyAlignment="1">
      <alignment vertical="center" wrapText="1"/>
    </xf>
    <xf numFmtId="0" fontId="81" fillId="0" borderId="4" xfId="204" applyFont="1" applyBorder="1" applyAlignment="1">
      <alignment horizontal="center" vertical="center"/>
    </xf>
    <xf numFmtId="0" fontId="82" fillId="0" borderId="0" xfId="204" applyFont="1" applyAlignment="1">
      <alignment horizontal="center" vertical="center"/>
    </xf>
    <xf numFmtId="0" fontId="82" fillId="0" borderId="4" xfId="204" applyFont="1" applyBorder="1" applyAlignment="1">
      <alignment horizontal="center" vertical="center"/>
    </xf>
    <xf numFmtId="0" fontId="73" fillId="0" borderId="0" xfId="204" applyFont="1" applyAlignment="1">
      <alignment horizontal="center" vertical="center"/>
    </xf>
    <xf numFmtId="0" fontId="84" fillId="0" borderId="0" xfId="204" applyFont="1" applyAlignment="1">
      <alignment horizontal="center"/>
    </xf>
    <xf numFmtId="0" fontId="81" fillId="0" borderId="0" xfId="211" applyFont="1" applyAlignment="1">
      <alignment horizontal="center"/>
    </xf>
    <xf numFmtId="0" fontId="82" fillId="0" borderId="0" xfId="211" applyFont="1" applyAlignment="1">
      <alignment horizontal="center"/>
    </xf>
    <xf numFmtId="14" fontId="82" fillId="0" borderId="0" xfId="211" applyNumberFormat="1" applyFont="1" applyAlignment="1">
      <alignment horizontal="center"/>
    </xf>
    <xf numFmtId="0" fontId="81" fillId="0" borderId="0" xfId="204" applyFont="1" applyAlignment="1">
      <alignment horizontal="center"/>
    </xf>
    <xf numFmtId="0" fontId="82" fillId="0" borderId="0" xfId="204" applyFont="1" applyAlignment="1">
      <alignment horizontal="center"/>
    </xf>
    <xf numFmtId="0" fontId="81" fillId="0" borderId="4" xfId="204" applyFont="1" applyBorder="1" applyAlignment="1">
      <alignment horizontal="center"/>
    </xf>
  </cellXfs>
  <cellStyles count="895">
    <cellStyle name="20% - Accent1" xfId="232" builtinId="30" customBuiltin="1"/>
    <cellStyle name="20% - Accent1 2" xfId="334"/>
    <cellStyle name="20% - Accent1 2 2" xfId="406"/>
    <cellStyle name="20% - Accent1 2 2 2" xfId="468"/>
    <cellStyle name="20% - Accent1 2 2 2 2" xfId="606"/>
    <cellStyle name="20% - Accent1 2 2 2 2 2" xfId="883"/>
    <cellStyle name="20% - Accent1 2 2 2 3" xfId="745"/>
    <cellStyle name="20% - Accent1 2 2 3" xfId="544"/>
    <cellStyle name="20% - Accent1 2 2 3 2" xfId="821"/>
    <cellStyle name="20% - Accent1 2 2 4" xfId="683"/>
    <cellStyle name="20% - Accent1 2 3" xfId="437"/>
    <cellStyle name="20% - Accent1 2 3 2" xfId="575"/>
    <cellStyle name="20% - Accent1 2 3 2 2" xfId="852"/>
    <cellStyle name="20% - Accent1 2 3 3" xfId="714"/>
    <cellStyle name="20% - Accent1 2 4" xfId="513"/>
    <cellStyle name="20% - Accent1 2 4 2" xfId="790"/>
    <cellStyle name="20% - Accent1 2 5" xfId="652"/>
    <cellStyle name="20% - Accent1 3" xfId="387"/>
    <cellStyle name="20% - Accent1 3 2" xfId="450"/>
    <cellStyle name="20% - Accent1 3 2 2" xfId="588"/>
    <cellStyle name="20% - Accent1 3 2 2 2" xfId="865"/>
    <cellStyle name="20% - Accent1 3 2 3" xfId="727"/>
    <cellStyle name="20% - Accent1 3 3" xfId="526"/>
    <cellStyle name="20% - Accent1 3 3 2" xfId="803"/>
    <cellStyle name="20% - Accent1 3 4" xfId="665"/>
    <cellStyle name="20% - Accent1 4" xfId="419"/>
    <cellStyle name="20% - Accent1 4 2" xfId="557"/>
    <cellStyle name="20% - Accent1 4 2 2" xfId="834"/>
    <cellStyle name="20% - Accent1 4 3" xfId="696"/>
    <cellStyle name="20% - Accent1 5" xfId="308"/>
    <cellStyle name="20% - Accent1 5 2" xfId="495"/>
    <cellStyle name="20% - Accent1 5 2 2" xfId="772"/>
    <cellStyle name="20% - Accent1 5 3" xfId="634"/>
    <cellStyle name="20% - Accent1 6" xfId="481"/>
    <cellStyle name="20% - Accent1 6 2" xfId="758"/>
    <cellStyle name="20% - Accent1 7" xfId="620"/>
    <cellStyle name="20% - Accent2" xfId="236" builtinId="34" customBuiltin="1"/>
    <cellStyle name="20% - Accent2 2" xfId="336"/>
    <cellStyle name="20% - Accent2 2 2" xfId="408"/>
    <cellStyle name="20% - Accent2 2 2 2" xfId="470"/>
    <cellStyle name="20% - Accent2 2 2 2 2" xfId="608"/>
    <cellStyle name="20% - Accent2 2 2 2 2 2" xfId="885"/>
    <cellStyle name="20% - Accent2 2 2 2 3" xfId="747"/>
    <cellStyle name="20% - Accent2 2 2 3" xfId="546"/>
    <cellStyle name="20% - Accent2 2 2 3 2" xfId="823"/>
    <cellStyle name="20% - Accent2 2 2 4" xfId="685"/>
    <cellStyle name="20% - Accent2 2 3" xfId="439"/>
    <cellStyle name="20% - Accent2 2 3 2" xfId="577"/>
    <cellStyle name="20% - Accent2 2 3 2 2" xfId="854"/>
    <cellStyle name="20% - Accent2 2 3 3" xfId="716"/>
    <cellStyle name="20% - Accent2 2 4" xfId="515"/>
    <cellStyle name="20% - Accent2 2 4 2" xfId="792"/>
    <cellStyle name="20% - Accent2 2 5" xfId="654"/>
    <cellStyle name="20% - Accent2 3" xfId="389"/>
    <cellStyle name="20% - Accent2 3 2" xfId="452"/>
    <cellStyle name="20% - Accent2 3 2 2" xfId="590"/>
    <cellStyle name="20% - Accent2 3 2 2 2" xfId="867"/>
    <cellStyle name="20% - Accent2 3 2 3" xfId="729"/>
    <cellStyle name="20% - Accent2 3 3" xfId="528"/>
    <cellStyle name="20% - Accent2 3 3 2" xfId="805"/>
    <cellStyle name="20% - Accent2 3 4" xfId="667"/>
    <cellStyle name="20% - Accent2 4" xfId="421"/>
    <cellStyle name="20% - Accent2 4 2" xfId="559"/>
    <cellStyle name="20% - Accent2 4 2 2" xfId="836"/>
    <cellStyle name="20% - Accent2 4 3" xfId="698"/>
    <cellStyle name="20% - Accent2 5" xfId="310"/>
    <cellStyle name="20% - Accent2 5 2" xfId="497"/>
    <cellStyle name="20% - Accent2 5 2 2" xfId="774"/>
    <cellStyle name="20% - Accent2 5 3" xfId="636"/>
    <cellStyle name="20% - Accent2 6" xfId="483"/>
    <cellStyle name="20% - Accent2 6 2" xfId="760"/>
    <cellStyle name="20% - Accent2 7" xfId="622"/>
    <cellStyle name="20% - Accent3" xfId="240" builtinId="38" customBuiltin="1"/>
    <cellStyle name="20% - Accent3 2" xfId="338"/>
    <cellStyle name="20% - Accent3 2 2" xfId="410"/>
    <cellStyle name="20% - Accent3 2 2 2" xfId="472"/>
    <cellStyle name="20% - Accent3 2 2 2 2" xfId="610"/>
    <cellStyle name="20% - Accent3 2 2 2 2 2" xfId="887"/>
    <cellStyle name="20% - Accent3 2 2 2 3" xfId="749"/>
    <cellStyle name="20% - Accent3 2 2 3" xfId="548"/>
    <cellStyle name="20% - Accent3 2 2 3 2" xfId="825"/>
    <cellStyle name="20% - Accent3 2 2 4" xfId="687"/>
    <cellStyle name="20% - Accent3 2 3" xfId="441"/>
    <cellStyle name="20% - Accent3 2 3 2" xfId="579"/>
    <cellStyle name="20% - Accent3 2 3 2 2" xfId="856"/>
    <cellStyle name="20% - Accent3 2 3 3" xfId="718"/>
    <cellStyle name="20% - Accent3 2 4" xfId="517"/>
    <cellStyle name="20% - Accent3 2 4 2" xfId="794"/>
    <cellStyle name="20% - Accent3 2 5" xfId="656"/>
    <cellStyle name="20% - Accent3 3" xfId="391"/>
    <cellStyle name="20% - Accent3 3 2" xfId="454"/>
    <cellStyle name="20% - Accent3 3 2 2" xfId="592"/>
    <cellStyle name="20% - Accent3 3 2 2 2" xfId="869"/>
    <cellStyle name="20% - Accent3 3 2 3" xfId="731"/>
    <cellStyle name="20% - Accent3 3 3" xfId="530"/>
    <cellStyle name="20% - Accent3 3 3 2" xfId="807"/>
    <cellStyle name="20% - Accent3 3 4" xfId="669"/>
    <cellStyle name="20% - Accent3 4" xfId="423"/>
    <cellStyle name="20% - Accent3 4 2" xfId="561"/>
    <cellStyle name="20% - Accent3 4 2 2" xfId="838"/>
    <cellStyle name="20% - Accent3 4 3" xfId="700"/>
    <cellStyle name="20% - Accent3 5" xfId="312"/>
    <cellStyle name="20% - Accent3 5 2" xfId="499"/>
    <cellStyle name="20% - Accent3 5 2 2" xfId="776"/>
    <cellStyle name="20% - Accent3 5 3" xfId="638"/>
    <cellStyle name="20% - Accent3 6" xfId="485"/>
    <cellStyle name="20% - Accent3 6 2" xfId="762"/>
    <cellStyle name="20% - Accent3 7" xfId="624"/>
    <cellStyle name="20% - Accent4" xfId="244" builtinId="42" customBuiltin="1"/>
    <cellStyle name="20% - Accent4 2" xfId="340"/>
    <cellStyle name="20% - Accent4 2 2" xfId="412"/>
    <cellStyle name="20% - Accent4 2 2 2" xfId="474"/>
    <cellStyle name="20% - Accent4 2 2 2 2" xfId="612"/>
    <cellStyle name="20% - Accent4 2 2 2 2 2" xfId="889"/>
    <cellStyle name="20% - Accent4 2 2 2 3" xfId="751"/>
    <cellStyle name="20% - Accent4 2 2 3" xfId="550"/>
    <cellStyle name="20% - Accent4 2 2 3 2" xfId="827"/>
    <cellStyle name="20% - Accent4 2 2 4" xfId="689"/>
    <cellStyle name="20% - Accent4 2 3" xfId="443"/>
    <cellStyle name="20% - Accent4 2 3 2" xfId="581"/>
    <cellStyle name="20% - Accent4 2 3 2 2" xfId="858"/>
    <cellStyle name="20% - Accent4 2 3 3" xfId="720"/>
    <cellStyle name="20% - Accent4 2 4" xfId="519"/>
    <cellStyle name="20% - Accent4 2 4 2" xfId="796"/>
    <cellStyle name="20% - Accent4 2 5" xfId="658"/>
    <cellStyle name="20% - Accent4 3" xfId="393"/>
    <cellStyle name="20% - Accent4 3 2" xfId="456"/>
    <cellStyle name="20% - Accent4 3 2 2" xfId="594"/>
    <cellStyle name="20% - Accent4 3 2 2 2" xfId="871"/>
    <cellStyle name="20% - Accent4 3 2 3" xfId="733"/>
    <cellStyle name="20% - Accent4 3 3" xfId="532"/>
    <cellStyle name="20% - Accent4 3 3 2" xfId="809"/>
    <cellStyle name="20% - Accent4 3 4" xfId="671"/>
    <cellStyle name="20% - Accent4 4" xfId="425"/>
    <cellStyle name="20% - Accent4 4 2" xfId="563"/>
    <cellStyle name="20% - Accent4 4 2 2" xfId="840"/>
    <cellStyle name="20% - Accent4 4 3" xfId="702"/>
    <cellStyle name="20% - Accent4 5" xfId="314"/>
    <cellStyle name="20% - Accent4 5 2" xfId="501"/>
    <cellStyle name="20% - Accent4 5 2 2" xfId="778"/>
    <cellStyle name="20% - Accent4 5 3" xfId="640"/>
    <cellStyle name="20% - Accent4 6" xfId="487"/>
    <cellStyle name="20% - Accent4 6 2" xfId="764"/>
    <cellStyle name="20% - Accent4 7" xfId="626"/>
    <cellStyle name="20% - Accent5" xfId="248" builtinId="46" customBuiltin="1"/>
    <cellStyle name="20% - Accent5 2" xfId="342"/>
    <cellStyle name="20% - Accent5 2 2" xfId="414"/>
    <cellStyle name="20% - Accent5 2 2 2" xfId="476"/>
    <cellStyle name="20% - Accent5 2 2 2 2" xfId="614"/>
    <cellStyle name="20% - Accent5 2 2 2 2 2" xfId="891"/>
    <cellStyle name="20% - Accent5 2 2 2 3" xfId="753"/>
    <cellStyle name="20% - Accent5 2 2 3" xfId="552"/>
    <cellStyle name="20% - Accent5 2 2 3 2" xfId="829"/>
    <cellStyle name="20% - Accent5 2 2 4" xfId="691"/>
    <cellStyle name="20% - Accent5 2 3" xfId="445"/>
    <cellStyle name="20% - Accent5 2 3 2" xfId="583"/>
    <cellStyle name="20% - Accent5 2 3 2 2" xfId="860"/>
    <cellStyle name="20% - Accent5 2 3 3" xfId="722"/>
    <cellStyle name="20% - Accent5 2 4" xfId="521"/>
    <cellStyle name="20% - Accent5 2 4 2" xfId="798"/>
    <cellStyle name="20% - Accent5 2 5" xfId="660"/>
    <cellStyle name="20% - Accent5 3" xfId="395"/>
    <cellStyle name="20% - Accent5 3 2" xfId="458"/>
    <cellStyle name="20% - Accent5 3 2 2" xfId="596"/>
    <cellStyle name="20% - Accent5 3 2 2 2" xfId="873"/>
    <cellStyle name="20% - Accent5 3 2 3" xfId="735"/>
    <cellStyle name="20% - Accent5 3 3" xfId="534"/>
    <cellStyle name="20% - Accent5 3 3 2" xfId="811"/>
    <cellStyle name="20% - Accent5 3 4" xfId="673"/>
    <cellStyle name="20% - Accent5 4" xfId="427"/>
    <cellStyle name="20% - Accent5 4 2" xfId="565"/>
    <cellStyle name="20% - Accent5 4 2 2" xfId="842"/>
    <cellStyle name="20% - Accent5 4 3" xfId="704"/>
    <cellStyle name="20% - Accent5 5" xfId="316"/>
    <cellStyle name="20% - Accent5 5 2" xfId="503"/>
    <cellStyle name="20% - Accent5 5 2 2" xfId="780"/>
    <cellStyle name="20% - Accent5 5 3" xfId="642"/>
    <cellStyle name="20% - Accent5 6" xfId="489"/>
    <cellStyle name="20% - Accent5 6 2" xfId="766"/>
    <cellStyle name="20% - Accent5 7" xfId="628"/>
    <cellStyle name="20% - Accent6" xfId="252" builtinId="50" customBuiltin="1"/>
    <cellStyle name="20% - Accent6 2" xfId="344"/>
    <cellStyle name="20% - Accent6 2 2" xfId="416"/>
    <cellStyle name="20% - Accent6 2 2 2" xfId="478"/>
    <cellStyle name="20% - Accent6 2 2 2 2" xfId="616"/>
    <cellStyle name="20% - Accent6 2 2 2 2 2" xfId="893"/>
    <cellStyle name="20% - Accent6 2 2 2 3" xfId="755"/>
    <cellStyle name="20% - Accent6 2 2 3" xfId="554"/>
    <cellStyle name="20% - Accent6 2 2 3 2" xfId="831"/>
    <cellStyle name="20% - Accent6 2 2 4" xfId="693"/>
    <cellStyle name="20% - Accent6 2 3" xfId="447"/>
    <cellStyle name="20% - Accent6 2 3 2" xfId="585"/>
    <cellStyle name="20% - Accent6 2 3 2 2" xfId="862"/>
    <cellStyle name="20% - Accent6 2 3 3" xfId="724"/>
    <cellStyle name="20% - Accent6 2 4" xfId="523"/>
    <cellStyle name="20% - Accent6 2 4 2" xfId="800"/>
    <cellStyle name="20% - Accent6 2 5" xfId="662"/>
    <cellStyle name="20% - Accent6 3" xfId="397"/>
    <cellStyle name="20% - Accent6 3 2" xfId="460"/>
    <cellStyle name="20% - Accent6 3 2 2" xfId="598"/>
    <cellStyle name="20% - Accent6 3 2 2 2" xfId="875"/>
    <cellStyle name="20% - Accent6 3 2 3" xfId="737"/>
    <cellStyle name="20% - Accent6 3 3" xfId="536"/>
    <cellStyle name="20% - Accent6 3 3 2" xfId="813"/>
    <cellStyle name="20% - Accent6 3 4" xfId="675"/>
    <cellStyle name="20% - Accent6 4" xfId="429"/>
    <cellStyle name="20% - Accent6 4 2" xfId="567"/>
    <cellStyle name="20% - Accent6 4 2 2" xfId="844"/>
    <cellStyle name="20% - Accent6 4 3" xfId="706"/>
    <cellStyle name="20% - Accent6 5" xfId="318"/>
    <cellStyle name="20% - Accent6 5 2" xfId="505"/>
    <cellStyle name="20% - Accent6 5 2 2" xfId="782"/>
    <cellStyle name="20% - Accent6 5 3" xfId="644"/>
    <cellStyle name="20% - Accent6 6" xfId="491"/>
    <cellStyle name="20% - Accent6 6 2" xfId="768"/>
    <cellStyle name="20% - Accent6 7" xfId="630"/>
    <cellStyle name="40% - Accent1" xfId="233" builtinId="31" customBuiltin="1"/>
    <cellStyle name="40% - Accent1 2" xfId="335"/>
    <cellStyle name="40% - Accent1 2 2" xfId="407"/>
    <cellStyle name="40% - Accent1 2 2 2" xfId="469"/>
    <cellStyle name="40% - Accent1 2 2 2 2" xfId="607"/>
    <cellStyle name="40% - Accent1 2 2 2 2 2" xfId="884"/>
    <cellStyle name="40% - Accent1 2 2 2 3" xfId="746"/>
    <cellStyle name="40% - Accent1 2 2 3" xfId="545"/>
    <cellStyle name="40% - Accent1 2 2 3 2" xfId="822"/>
    <cellStyle name="40% - Accent1 2 2 4" xfId="684"/>
    <cellStyle name="40% - Accent1 2 3" xfId="438"/>
    <cellStyle name="40% - Accent1 2 3 2" xfId="576"/>
    <cellStyle name="40% - Accent1 2 3 2 2" xfId="853"/>
    <cellStyle name="40% - Accent1 2 3 3" xfId="715"/>
    <cellStyle name="40% - Accent1 2 4" xfId="514"/>
    <cellStyle name="40% - Accent1 2 4 2" xfId="791"/>
    <cellStyle name="40% - Accent1 2 5" xfId="653"/>
    <cellStyle name="40% - Accent1 3" xfId="388"/>
    <cellStyle name="40% - Accent1 3 2" xfId="451"/>
    <cellStyle name="40% - Accent1 3 2 2" xfId="589"/>
    <cellStyle name="40% - Accent1 3 2 2 2" xfId="866"/>
    <cellStyle name="40% - Accent1 3 2 3" xfId="728"/>
    <cellStyle name="40% - Accent1 3 3" xfId="527"/>
    <cellStyle name="40% - Accent1 3 3 2" xfId="804"/>
    <cellStyle name="40% - Accent1 3 4" xfId="666"/>
    <cellStyle name="40% - Accent1 4" xfId="420"/>
    <cellStyle name="40% - Accent1 4 2" xfId="558"/>
    <cellStyle name="40% - Accent1 4 2 2" xfId="835"/>
    <cellStyle name="40% - Accent1 4 3" xfId="697"/>
    <cellStyle name="40% - Accent1 5" xfId="309"/>
    <cellStyle name="40% - Accent1 5 2" xfId="496"/>
    <cellStyle name="40% - Accent1 5 2 2" xfId="773"/>
    <cellStyle name="40% - Accent1 5 3" xfId="635"/>
    <cellStyle name="40% - Accent1 6" xfId="482"/>
    <cellStyle name="40% - Accent1 6 2" xfId="759"/>
    <cellStyle name="40% - Accent1 7" xfId="621"/>
    <cellStyle name="40% - Accent2" xfId="237" builtinId="35" customBuiltin="1"/>
    <cellStyle name="40% - Accent2 2" xfId="337"/>
    <cellStyle name="40% - Accent2 2 2" xfId="409"/>
    <cellStyle name="40% - Accent2 2 2 2" xfId="471"/>
    <cellStyle name="40% - Accent2 2 2 2 2" xfId="609"/>
    <cellStyle name="40% - Accent2 2 2 2 2 2" xfId="886"/>
    <cellStyle name="40% - Accent2 2 2 2 3" xfId="748"/>
    <cellStyle name="40% - Accent2 2 2 3" xfId="547"/>
    <cellStyle name="40% - Accent2 2 2 3 2" xfId="824"/>
    <cellStyle name="40% - Accent2 2 2 4" xfId="686"/>
    <cellStyle name="40% - Accent2 2 3" xfId="440"/>
    <cellStyle name="40% - Accent2 2 3 2" xfId="578"/>
    <cellStyle name="40% - Accent2 2 3 2 2" xfId="855"/>
    <cellStyle name="40% - Accent2 2 3 3" xfId="717"/>
    <cellStyle name="40% - Accent2 2 4" xfId="516"/>
    <cellStyle name="40% - Accent2 2 4 2" xfId="793"/>
    <cellStyle name="40% - Accent2 2 5" xfId="655"/>
    <cellStyle name="40% - Accent2 3" xfId="390"/>
    <cellStyle name="40% - Accent2 3 2" xfId="453"/>
    <cellStyle name="40% - Accent2 3 2 2" xfId="591"/>
    <cellStyle name="40% - Accent2 3 2 2 2" xfId="868"/>
    <cellStyle name="40% - Accent2 3 2 3" xfId="730"/>
    <cellStyle name="40% - Accent2 3 3" xfId="529"/>
    <cellStyle name="40% - Accent2 3 3 2" xfId="806"/>
    <cellStyle name="40% - Accent2 3 4" xfId="668"/>
    <cellStyle name="40% - Accent2 4" xfId="422"/>
    <cellStyle name="40% - Accent2 4 2" xfId="560"/>
    <cellStyle name="40% - Accent2 4 2 2" xfId="837"/>
    <cellStyle name="40% - Accent2 4 3" xfId="699"/>
    <cellStyle name="40% - Accent2 5" xfId="311"/>
    <cellStyle name="40% - Accent2 5 2" xfId="498"/>
    <cellStyle name="40% - Accent2 5 2 2" xfId="775"/>
    <cellStyle name="40% - Accent2 5 3" xfId="637"/>
    <cellStyle name="40% - Accent2 6" xfId="484"/>
    <cellStyle name="40% - Accent2 6 2" xfId="761"/>
    <cellStyle name="40% - Accent2 7" xfId="623"/>
    <cellStyle name="40% - Accent3" xfId="241" builtinId="39" customBuiltin="1"/>
    <cellStyle name="40% - Accent3 2" xfId="339"/>
    <cellStyle name="40% - Accent3 2 2" xfId="411"/>
    <cellStyle name="40% - Accent3 2 2 2" xfId="473"/>
    <cellStyle name="40% - Accent3 2 2 2 2" xfId="611"/>
    <cellStyle name="40% - Accent3 2 2 2 2 2" xfId="888"/>
    <cellStyle name="40% - Accent3 2 2 2 3" xfId="750"/>
    <cellStyle name="40% - Accent3 2 2 3" xfId="549"/>
    <cellStyle name="40% - Accent3 2 2 3 2" xfId="826"/>
    <cellStyle name="40% - Accent3 2 2 4" xfId="688"/>
    <cellStyle name="40% - Accent3 2 3" xfId="442"/>
    <cellStyle name="40% - Accent3 2 3 2" xfId="580"/>
    <cellStyle name="40% - Accent3 2 3 2 2" xfId="857"/>
    <cellStyle name="40% - Accent3 2 3 3" xfId="719"/>
    <cellStyle name="40% - Accent3 2 4" xfId="518"/>
    <cellStyle name="40% - Accent3 2 4 2" xfId="795"/>
    <cellStyle name="40% - Accent3 2 5" xfId="657"/>
    <cellStyle name="40% - Accent3 3" xfId="392"/>
    <cellStyle name="40% - Accent3 3 2" xfId="455"/>
    <cellStyle name="40% - Accent3 3 2 2" xfId="593"/>
    <cellStyle name="40% - Accent3 3 2 2 2" xfId="870"/>
    <cellStyle name="40% - Accent3 3 2 3" xfId="732"/>
    <cellStyle name="40% - Accent3 3 3" xfId="531"/>
    <cellStyle name="40% - Accent3 3 3 2" xfId="808"/>
    <cellStyle name="40% - Accent3 3 4" xfId="670"/>
    <cellStyle name="40% - Accent3 4" xfId="424"/>
    <cellStyle name="40% - Accent3 4 2" xfId="562"/>
    <cellStyle name="40% - Accent3 4 2 2" xfId="839"/>
    <cellStyle name="40% - Accent3 4 3" xfId="701"/>
    <cellStyle name="40% - Accent3 5" xfId="313"/>
    <cellStyle name="40% - Accent3 5 2" xfId="500"/>
    <cellStyle name="40% - Accent3 5 2 2" xfId="777"/>
    <cellStyle name="40% - Accent3 5 3" xfId="639"/>
    <cellStyle name="40% - Accent3 6" xfId="486"/>
    <cellStyle name="40% - Accent3 6 2" xfId="763"/>
    <cellStyle name="40% - Accent3 7" xfId="625"/>
    <cellStyle name="40% - Accent4" xfId="245" builtinId="43" customBuiltin="1"/>
    <cellStyle name="40% - Accent4 2" xfId="341"/>
    <cellStyle name="40% - Accent4 2 2" xfId="413"/>
    <cellStyle name="40% - Accent4 2 2 2" xfId="475"/>
    <cellStyle name="40% - Accent4 2 2 2 2" xfId="613"/>
    <cellStyle name="40% - Accent4 2 2 2 2 2" xfId="890"/>
    <cellStyle name="40% - Accent4 2 2 2 3" xfId="752"/>
    <cellStyle name="40% - Accent4 2 2 3" xfId="551"/>
    <cellStyle name="40% - Accent4 2 2 3 2" xfId="828"/>
    <cellStyle name="40% - Accent4 2 2 4" xfId="690"/>
    <cellStyle name="40% - Accent4 2 3" xfId="444"/>
    <cellStyle name="40% - Accent4 2 3 2" xfId="582"/>
    <cellStyle name="40% - Accent4 2 3 2 2" xfId="859"/>
    <cellStyle name="40% - Accent4 2 3 3" xfId="721"/>
    <cellStyle name="40% - Accent4 2 4" xfId="520"/>
    <cellStyle name="40% - Accent4 2 4 2" xfId="797"/>
    <cellStyle name="40% - Accent4 2 5" xfId="659"/>
    <cellStyle name="40% - Accent4 3" xfId="394"/>
    <cellStyle name="40% - Accent4 3 2" xfId="457"/>
    <cellStyle name="40% - Accent4 3 2 2" xfId="595"/>
    <cellStyle name="40% - Accent4 3 2 2 2" xfId="872"/>
    <cellStyle name="40% - Accent4 3 2 3" xfId="734"/>
    <cellStyle name="40% - Accent4 3 3" xfId="533"/>
    <cellStyle name="40% - Accent4 3 3 2" xfId="810"/>
    <cellStyle name="40% - Accent4 3 4" xfId="672"/>
    <cellStyle name="40% - Accent4 4" xfId="426"/>
    <cellStyle name="40% - Accent4 4 2" xfId="564"/>
    <cellStyle name="40% - Accent4 4 2 2" xfId="841"/>
    <cellStyle name="40% - Accent4 4 3" xfId="703"/>
    <cellStyle name="40% - Accent4 5" xfId="315"/>
    <cellStyle name="40% - Accent4 5 2" xfId="502"/>
    <cellStyle name="40% - Accent4 5 2 2" xfId="779"/>
    <cellStyle name="40% - Accent4 5 3" xfId="641"/>
    <cellStyle name="40% - Accent4 6" xfId="488"/>
    <cellStyle name="40% - Accent4 6 2" xfId="765"/>
    <cellStyle name="40% - Accent4 7" xfId="627"/>
    <cellStyle name="40% - Accent5" xfId="249" builtinId="47" customBuiltin="1"/>
    <cellStyle name="40% - Accent5 2" xfId="343"/>
    <cellStyle name="40% - Accent5 2 2" xfId="415"/>
    <cellStyle name="40% - Accent5 2 2 2" xfId="477"/>
    <cellStyle name="40% - Accent5 2 2 2 2" xfId="615"/>
    <cellStyle name="40% - Accent5 2 2 2 2 2" xfId="892"/>
    <cellStyle name="40% - Accent5 2 2 2 3" xfId="754"/>
    <cellStyle name="40% - Accent5 2 2 3" xfId="553"/>
    <cellStyle name="40% - Accent5 2 2 3 2" xfId="830"/>
    <cellStyle name="40% - Accent5 2 2 4" xfId="692"/>
    <cellStyle name="40% - Accent5 2 3" xfId="446"/>
    <cellStyle name="40% - Accent5 2 3 2" xfId="584"/>
    <cellStyle name="40% - Accent5 2 3 2 2" xfId="861"/>
    <cellStyle name="40% - Accent5 2 3 3" xfId="723"/>
    <cellStyle name="40% - Accent5 2 4" xfId="522"/>
    <cellStyle name="40% - Accent5 2 4 2" xfId="799"/>
    <cellStyle name="40% - Accent5 2 5" xfId="661"/>
    <cellStyle name="40% - Accent5 3" xfId="396"/>
    <cellStyle name="40% - Accent5 3 2" xfId="459"/>
    <cellStyle name="40% - Accent5 3 2 2" xfId="597"/>
    <cellStyle name="40% - Accent5 3 2 2 2" xfId="874"/>
    <cellStyle name="40% - Accent5 3 2 3" xfId="736"/>
    <cellStyle name="40% - Accent5 3 3" xfId="535"/>
    <cellStyle name="40% - Accent5 3 3 2" xfId="812"/>
    <cellStyle name="40% - Accent5 3 4" xfId="674"/>
    <cellStyle name="40% - Accent5 4" xfId="428"/>
    <cellStyle name="40% - Accent5 4 2" xfId="566"/>
    <cellStyle name="40% - Accent5 4 2 2" xfId="843"/>
    <cellStyle name="40% - Accent5 4 3" xfId="705"/>
    <cellStyle name="40% - Accent5 5" xfId="317"/>
    <cellStyle name="40% - Accent5 5 2" xfId="504"/>
    <cellStyle name="40% - Accent5 5 2 2" xfId="781"/>
    <cellStyle name="40% - Accent5 5 3" xfId="643"/>
    <cellStyle name="40% - Accent5 6" xfId="490"/>
    <cellStyle name="40% - Accent5 6 2" xfId="767"/>
    <cellStyle name="40% - Accent5 7" xfId="629"/>
    <cellStyle name="40% - Accent6" xfId="253" builtinId="51" customBuiltin="1"/>
    <cellStyle name="40% - Accent6 2" xfId="345"/>
    <cellStyle name="40% - Accent6 2 2" xfId="417"/>
    <cellStyle name="40% - Accent6 2 2 2" xfId="479"/>
    <cellStyle name="40% - Accent6 2 2 2 2" xfId="617"/>
    <cellStyle name="40% - Accent6 2 2 2 2 2" xfId="894"/>
    <cellStyle name="40% - Accent6 2 2 2 3" xfId="756"/>
    <cellStyle name="40% - Accent6 2 2 3" xfId="555"/>
    <cellStyle name="40% - Accent6 2 2 3 2" xfId="832"/>
    <cellStyle name="40% - Accent6 2 2 4" xfId="694"/>
    <cellStyle name="40% - Accent6 2 3" xfId="448"/>
    <cellStyle name="40% - Accent6 2 3 2" xfId="586"/>
    <cellStyle name="40% - Accent6 2 3 2 2" xfId="863"/>
    <cellStyle name="40% - Accent6 2 3 3" xfId="725"/>
    <cellStyle name="40% - Accent6 2 4" xfId="524"/>
    <cellStyle name="40% - Accent6 2 4 2" xfId="801"/>
    <cellStyle name="40% - Accent6 2 5" xfId="663"/>
    <cellStyle name="40% - Accent6 3" xfId="398"/>
    <cellStyle name="40% - Accent6 3 2" xfId="461"/>
    <cellStyle name="40% - Accent6 3 2 2" xfId="599"/>
    <cellStyle name="40% - Accent6 3 2 2 2" xfId="876"/>
    <cellStyle name="40% - Accent6 3 2 3" xfId="738"/>
    <cellStyle name="40% - Accent6 3 3" xfId="537"/>
    <cellStyle name="40% - Accent6 3 3 2" xfId="814"/>
    <cellStyle name="40% - Accent6 3 4" xfId="676"/>
    <cellStyle name="40% - Accent6 4" xfId="430"/>
    <cellStyle name="40% - Accent6 4 2" xfId="568"/>
    <cellStyle name="40% - Accent6 4 2 2" xfId="845"/>
    <cellStyle name="40% - Accent6 4 3" xfId="707"/>
    <cellStyle name="40% - Accent6 5" xfId="319"/>
    <cellStyle name="40% - Accent6 5 2" xfId="506"/>
    <cellStyle name="40% - Accent6 5 2 2" xfId="783"/>
    <cellStyle name="40% - Accent6 5 3" xfId="645"/>
    <cellStyle name="40% - Accent6 6" xfId="492"/>
    <cellStyle name="40% - Accent6 6 2" xfId="769"/>
    <cellStyle name="40% - Accent6 7" xfId="631"/>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2 2 2" xfId="602"/>
    <cellStyle name="Comma 90 2 2 2 2" xfId="879"/>
    <cellStyle name="Comma 90 2 2 3" xfId="741"/>
    <cellStyle name="Comma 90 2 3" xfId="540"/>
    <cellStyle name="Comma 90 2 3 2" xfId="817"/>
    <cellStyle name="Comma 90 2 4" xfId="679"/>
    <cellStyle name="Comma 90 3" xfId="433"/>
    <cellStyle name="Comma 90 3 2" xfId="571"/>
    <cellStyle name="Comma 90 3 2 2" xfId="848"/>
    <cellStyle name="Comma 90 3 3" xfId="710"/>
    <cellStyle name="Comma 90 4" xfId="509"/>
    <cellStyle name="Comma 90 4 2" xfId="786"/>
    <cellStyle name="Comma 90 5" xfId="648"/>
    <cellStyle name="Comma 91" xfId="333"/>
    <cellStyle name="Comma 91 2" xfId="405"/>
    <cellStyle name="Comma 91 2 2" xfId="467"/>
    <cellStyle name="Comma 91 2 2 2" xfId="605"/>
    <cellStyle name="Comma 91 2 2 2 2" xfId="882"/>
    <cellStyle name="Comma 91 2 2 3" xfId="744"/>
    <cellStyle name="Comma 91 2 3" xfId="543"/>
    <cellStyle name="Comma 91 2 3 2" xfId="820"/>
    <cellStyle name="Comma 91 2 4" xfId="682"/>
    <cellStyle name="Comma 91 3" xfId="436"/>
    <cellStyle name="Comma 91 3 2" xfId="574"/>
    <cellStyle name="Comma 91 3 2 2" xfId="851"/>
    <cellStyle name="Comma 91 3 3" xfId="713"/>
    <cellStyle name="Comma 91 4" xfId="512"/>
    <cellStyle name="Comma 91 4 2" xfId="789"/>
    <cellStyle name="Comma 91 5" xfId="651"/>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2 2 2" xfId="587"/>
    <cellStyle name="Normal 12 2 2 2 2" xfId="864"/>
    <cellStyle name="Normal 12 2 2 3" xfId="726"/>
    <cellStyle name="Normal 12 2 3" xfId="525"/>
    <cellStyle name="Normal 12 2 3 2" xfId="802"/>
    <cellStyle name="Normal 12 2 4" xfId="664"/>
    <cellStyle name="Normal 12 3" xfId="418"/>
    <cellStyle name="Normal 12 3 2" xfId="556"/>
    <cellStyle name="Normal 12 3 2 2" xfId="833"/>
    <cellStyle name="Normal 12 3 3" xfId="695"/>
    <cellStyle name="Normal 12 4" xfId="307"/>
    <cellStyle name="Normal 12 4 2" xfId="494"/>
    <cellStyle name="Normal 12 4 2 2" xfId="771"/>
    <cellStyle name="Normal 12 4 3" xfId="633"/>
    <cellStyle name="Normal 12 5" xfId="480"/>
    <cellStyle name="Normal 12 5 2" xfId="757"/>
    <cellStyle name="Normal 12 6" xfId="619"/>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2 2 2" xfId="601"/>
    <cellStyle name="Normal 18 2 2 2 2" xfId="878"/>
    <cellStyle name="Normal 18 2 2 3" xfId="740"/>
    <cellStyle name="Normal 18 2 3" xfId="539"/>
    <cellStyle name="Normal 18 2 3 2" xfId="816"/>
    <cellStyle name="Normal 18 2 4" xfId="678"/>
    <cellStyle name="Normal 18 3" xfId="432"/>
    <cellStyle name="Normal 18 3 2" xfId="570"/>
    <cellStyle name="Normal 18 3 2 2" xfId="847"/>
    <cellStyle name="Normal 18 3 3" xfId="709"/>
    <cellStyle name="Normal 18 4" xfId="508"/>
    <cellStyle name="Normal 18 4 2" xfId="785"/>
    <cellStyle name="Normal 18 5" xfId="647"/>
    <cellStyle name="Normal 19" xfId="331"/>
    <cellStyle name="Normal 19 2" xfId="403"/>
    <cellStyle name="Normal 19 2 2" xfId="465"/>
    <cellStyle name="Normal 19 2 2 2" xfId="603"/>
    <cellStyle name="Normal 19 2 2 2 2" xfId="880"/>
    <cellStyle name="Normal 19 2 2 3" xfId="742"/>
    <cellStyle name="Normal 19 2 3" xfId="541"/>
    <cellStyle name="Normal 19 2 3 2" xfId="818"/>
    <cellStyle name="Normal 19 2 4" xfId="680"/>
    <cellStyle name="Normal 19 3" xfId="434"/>
    <cellStyle name="Normal 19 3 2" xfId="572"/>
    <cellStyle name="Normal 19 3 2 2" xfId="849"/>
    <cellStyle name="Normal 19 3 3" xfId="711"/>
    <cellStyle name="Normal 19 4" xfId="510"/>
    <cellStyle name="Normal 19 4 2" xfId="787"/>
    <cellStyle name="Normal 19 5" xfId="649"/>
    <cellStyle name="Normal 2" xfId="2"/>
    <cellStyle name="Normal 2 2" xfId="6"/>
    <cellStyle name="Normal 2 2 2" xfId="326"/>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0112 No Link Exp" xfId="618"/>
    <cellStyle name="Normal_Debt Service" xfId="208"/>
    <cellStyle name="Normal_GRE_Rate_Zones_Allocation_11042004" xfId="263"/>
    <cellStyle name="Note 2" xfId="257"/>
    <cellStyle name="Note 2 2" xfId="399"/>
    <cellStyle name="Note 2 2 2" xfId="462"/>
    <cellStyle name="Note 2 2 2 2" xfId="600"/>
    <cellStyle name="Note 2 2 2 2 2" xfId="877"/>
    <cellStyle name="Note 2 2 2 3" xfId="739"/>
    <cellStyle name="Note 2 2 3" xfId="538"/>
    <cellStyle name="Note 2 2 3 2" xfId="815"/>
    <cellStyle name="Note 2 2 4" xfId="677"/>
    <cellStyle name="Note 2 3" xfId="431"/>
    <cellStyle name="Note 2 3 2" xfId="569"/>
    <cellStyle name="Note 2 3 2 2" xfId="846"/>
    <cellStyle name="Note 2 3 3" xfId="708"/>
    <cellStyle name="Note 2 4" xfId="320"/>
    <cellStyle name="Note 2 4 2" xfId="507"/>
    <cellStyle name="Note 2 4 2 2" xfId="784"/>
    <cellStyle name="Note 2 4 3" xfId="646"/>
    <cellStyle name="Note 2 5" xfId="493"/>
    <cellStyle name="Note 2 5 2" xfId="770"/>
    <cellStyle name="Note 2 6" xfId="632"/>
    <cellStyle name="Note 3" xfId="332"/>
    <cellStyle name="Note 3 2" xfId="404"/>
    <cellStyle name="Note 3 2 2" xfId="466"/>
    <cellStyle name="Note 3 2 2 2" xfId="604"/>
    <cellStyle name="Note 3 2 2 2 2" xfId="881"/>
    <cellStyle name="Note 3 2 2 3" xfId="743"/>
    <cellStyle name="Note 3 2 3" xfId="542"/>
    <cellStyle name="Note 3 2 3 2" xfId="819"/>
    <cellStyle name="Note 3 2 4" xfId="681"/>
    <cellStyle name="Note 3 3" xfId="435"/>
    <cellStyle name="Note 3 3 2" xfId="573"/>
    <cellStyle name="Note 3 3 2 2" xfId="850"/>
    <cellStyle name="Note 3 3 3" xfId="712"/>
    <cellStyle name="Note 3 4" xfId="511"/>
    <cellStyle name="Note 3 4 2" xfId="788"/>
    <cellStyle name="Note 3 5" xfId="650"/>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8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zoomScaleNormal="100" workbookViewId="0"/>
  </sheetViews>
  <sheetFormatPr defaultColWidth="8.88671875" defaultRowHeight="15"/>
  <cols>
    <col min="1" max="1" width="8.88671875" style="316"/>
    <col min="2" max="2" width="40.77734375" style="316" customWidth="1"/>
    <col min="3" max="16384" width="8.88671875" style="316"/>
  </cols>
  <sheetData>
    <row r="3" spans="1:8" ht="18.75">
      <c r="B3" s="314" t="s">
        <v>633</v>
      </c>
      <c r="C3" s="315"/>
    </row>
    <row r="4" spans="1:8" ht="18.75">
      <c r="B4" s="314" t="s">
        <v>465</v>
      </c>
      <c r="C4" s="315"/>
    </row>
    <row r="5" spans="1:8" ht="18.75">
      <c r="B5" s="314" t="str">
        <f>IF('Att O_RPU'!$I$19&gt;0.5,CONCATENATE("FLTY Forecast for 12 Months Ended December 31, ",'Att O_RPU'!E319),CONCATENATE("True-up Actual for 12 Months Ended December 31, ",'Att O_RPU'!E319))</f>
        <v>FLTY Forecast for 12 Months Ended December 31, 2017</v>
      </c>
      <c r="C5" s="521"/>
    </row>
    <row r="10" spans="1:8">
      <c r="B10" s="945" t="s">
        <v>967</v>
      </c>
      <c r="C10" s="945"/>
      <c r="D10" s="945"/>
      <c r="E10" s="945"/>
    </row>
    <row r="11" spans="1:8">
      <c r="A11" s="828" t="s">
        <v>784</v>
      </c>
      <c r="B11" s="734" t="s">
        <v>968</v>
      </c>
      <c r="C11" s="734"/>
      <c r="D11" s="734"/>
      <c r="E11" s="734"/>
      <c r="H11" s="843"/>
    </row>
    <row r="13" spans="1:8">
      <c r="A13" s="828" t="s">
        <v>784</v>
      </c>
      <c r="B13" s="734" t="s">
        <v>969</v>
      </c>
      <c r="C13" s="734"/>
      <c r="D13" s="734"/>
      <c r="E13" s="734"/>
    </row>
    <row r="14" spans="1:8">
      <c r="B14" s="734" t="s">
        <v>970</v>
      </c>
      <c r="C14" s="734"/>
      <c r="D14" s="734"/>
      <c r="E14" s="734"/>
    </row>
    <row r="16" spans="1:8">
      <c r="A16" s="828" t="s">
        <v>784</v>
      </c>
      <c r="B16" s="734" t="s">
        <v>971</v>
      </c>
      <c r="C16" s="734"/>
      <c r="D16" s="734"/>
      <c r="E16" s="734"/>
    </row>
    <row r="17" spans="1:5">
      <c r="B17" s="734" t="s">
        <v>972</v>
      </c>
      <c r="C17" s="734"/>
      <c r="D17" s="734"/>
      <c r="E17" s="734"/>
    </row>
    <row r="19" spans="1:5">
      <c r="A19" s="828" t="s">
        <v>784</v>
      </c>
      <c r="B19" s="734" t="s">
        <v>973</v>
      </c>
      <c r="C19" s="734"/>
      <c r="D19" s="734"/>
      <c r="E19" s="734"/>
    </row>
    <row r="20" spans="1:5">
      <c r="B20" s="734" t="s">
        <v>974</v>
      </c>
      <c r="C20" s="734"/>
      <c r="D20" s="734"/>
      <c r="E20" s="734"/>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3"/>
  <sheetViews>
    <sheetView topLeftCell="D16" zoomScaleNormal="100" workbookViewId="0">
      <selection activeCell="I32" sqref="I32"/>
    </sheetView>
  </sheetViews>
  <sheetFormatPr defaultColWidth="8.88671875" defaultRowHeight="12.75"/>
  <cols>
    <col min="1" max="1" width="5.21875" style="273" customWidth="1"/>
    <col min="2" max="2" width="24.77734375" style="273" customWidth="1"/>
    <col min="3" max="7" width="12.21875" style="273" customWidth="1"/>
    <col min="8" max="8" width="0.77734375" style="273" customWidth="1"/>
    <col min="9" max="9" width="12.77734375" style="273" customWidth="1"/>
    <col min="10" max="10" width="0.77734375" style="273" customWidth="1"/>
    <col min="11" max="11" width="13.44140625" style="273" customWidth="1"/>
    <col min="12" max="12" width="0.77734375" style="273" customWidth="1"/>
    <col min="13" max="13" width="11.6640625" style="273" bestFit="1" customWidth="1"/>
    <col min="14" max="14" width="10.33203125" style="273" bestFit="1" customWidth="1"/>
    <col min="15" max="16" width="11.5546875" style="273" bestFit="1" customWidth="1"/>
    <col min="17" max="17" width="10.77734375" style="273" bestFit="1" customWidth="1"/>
    <col min="18" max="16384" width="8.88671875" style="273"/>
  </cols>
  <sheetData>
    <row r="1" spans="1:12" ht="15.75">
      <c r="A1" s="987" t="str">
        <f>Coversheet!B3</f>
        <v>Rochester Public Utilities</v>
      </c>
      <c r="B1" s="987"/>
      <c r="C1" s="987"/>
      <c r="D1" s="987"/>
      <c r="E1" s="987"/>
      <c r="F1" s="987"/>
      <c r="G1" s="987"/>
      <c r="H1" s="987"/>
      <c r="I1" s="987"/>
      <c r="J1" s="987"/>
      <c r="K1" s="987"/>
    </row>
    <row r="2" spans="1:12" ht="15.75">
      <c r="A2" s="988" t="s">
        <v>276</v>
      </c>
      <c r="B2" s="988"/>
      <c r="C2" s="988"/>
      <c r="D2" s="988"/>
      <c r="E2" s="988"/>
      <c r="F2" s="988"/>
      <c r="G2" s="988"/>
      <c r="H2" s="988"/>
      <c r="I2" s="988"/>
      <c r="J2" s="988"/>
      <c r="K2" s="988"/>
    </row>
    <row r="3" spans="1:12" ht="15.75">
      <c r="A3" s="988" t="s">
        <v>391</v>
      </c>
      <c r="B3" s="988"/>
      <c r="C3" s="988"/>
      <c r="D3" s="988"/>
      <c r="E3" s="988"/>
      <c r="F3" s="988"/>
      <c r="G3" s="988"/>
      <c r="H3" s="988"/>
      <c r="I3" s="988"/>
      <c r="J3" s="988"/>
      <c r="K3" s="988"/>
    </row>
    <row r="4" spans="1:12" ht="15.75">
      <c r="A4" s="989" t="str">
        <f>'Income Sched 3'!A4:C4</f>
        <v>FLTY Forecast for 12 Months Ended December 31, 2017</v>
      </c>
      <c r="B4" s="989"/>
      <c r="C4" s="989"/>
      <c r="D4" s="989"/>
      <c r="E4" s="989"/>
      <c r="F4" s="989"/>
      <c r="G4" s="989"/>
      <c r="H4" s="989"/>
      <c r="I4" s="989"/>
      <c r="J4" s="989"/>
      <c r="K4" s="989"/>
    </row>
    <row r="5" spans="1:12">
      <c r="A5" s="274"/>
      <c r="B5" s="274"/>
      <c r="C5" s="274"/>
    </row>
    <row r="6" spans="1:12" ht="15">
      <c r="A6" s="986" t="s">
        <v>284</v>
      </c>
      <c r="B6" s="986"/>
      <c r="C6" s="986"/>
      <c r="D6" s="986"/>
      <c r="E6" s="986"/>
      <c r="F6" s="986"/>
      <c r="G6" s="986"/>
    </row>
    <row r="7" spans="1:12">
      <c r="A7" s="275" t="s">
        <v>4</v>
      </c>
      <c r="B7" s="276"/>
      <c r="C7" s="276" t="s">
        <v>392</v>
      </c>
      <c r="D7" s="276"/>
      <c r="E7" s="276"/>
      <c r="F7" s="276"/>
      <c r="G7" s="276" t="s">
        <v>393</v>
      </c>
      <c r="I7" s="275" t="s">
        <v>394</v>
      </c>
      <c r="K7" s="275" t="str">
        <f>CONCATENATE('Att O_RPU'!E319," Depreciation")</f>
        <v>2017 Depreciation</v>
      </c>
    </row>
    <row r="8" spans="1:12">
      <c r="A8" s="277" t="s">
        <v>6</v>
      </c>
      <c r="B8" s="278"/>
      <c r="C8" s="278" t="s">
        <v>395</v>
      </c>
      <c r="D8" s="278" t="s">
        <v>396</v>
      </c>
      <c r="E8" s="278" t="s">
        <v>397</v>
      </c>
      <c r="F8" s="278" t="s">
        <v>398</v>
      </c>
      <c r="G8" s="278" t="s">
        <v>395</v>
      </c>
      <c r="I8" s="279" t="s">
        <v>399</v>
      </c>
      <c r="K8" s="279" t="s">
        <v>400</v>
      </c>
    </row>
    <row r="9" spans="1:12" ht="20.100000000000001" customHeight="1">
      <c r="A9" s="280">
        <v>1</v>
      </c>
      <c r="B9" s="281" t="s">
        <v>401</v>
      </c>
      <c r="C9" s="560">
        <v>0</v>
      </c>
      <c r="D9" s="282">
        <v>0</v>
      </c>
      <c r="E9" s="282">
        <v>0</v>
      </c>
      <c r="F9" s="282">
        <v>0</v>
      </c>
      <c r="G9" s="283">
        <f>+C9+D9-E9+F9</f>
        <v>0</v>
      </c>
      <c r="I9" s="564">
        <v>0</v>
      </c>
      <c r="K9" s="564">
        <v>0</v>
      </c>
    </row>
    <row r="10" spans="1:12" ht="12.75" customHeight="1">
      <c r="A10" s="280"/>
      <c r="B10" s="281"/>
      <c r="C10" s="561"/>
      <c r="D10" s="284"/>
      <c r="E10" s="284"/>
      <c r="F10" s="284"/>
      <c r="G10" s="283"/>
      <c r="I10" s="565"/>
      <c r="K10" s="565"/>
    </row>
    <row r="11" spans="1:12" ht="20.100000000000001" customHeight="1">
      <c r="A11" s="280">
        <v>2</v>
      </c>
      <c r="B11" s="281" t="s">
        <v>402</v>
      </c>
      <c r="C11" s="562">
        <v>71864416</v>
      </c>
      <c r="D11" s="562">
        <v>0</v>
      </c>
      <c r="E11" s="562">
        <v>0</v>
      </c>
      <c r="F11" s="562">
        <v>0</v>
      </c>
      <c r="G11" s="285">
        <f>+C11+D11-E11+F11</f>
        <v>71864416</v>
      </c>
      <c r="I11" s="590">
        <v>69561462</v>
      </c>
      <c r="J11" s="591"/>
      <c r="K11" s="590">
        <v>208814</v>
      </c>
    </row>
    <row r="12" spans="1:12" ht="20.100000000000001" customHeight="1">
      <c r="A12" s="280">
        <v>3</v>
      </c>
      <c r="B12" s="281" t="s">
        <v>403</v>
      </c>
      <c r="C12" s="562">
        <v>0</v>
      </c>
      <c r="D12" s="562">
        <v>0</v>
      </c>
      <c r="E12" s="562">
        <v>0</v>
      </c>
      <c r="F12" s="562">
        <v>0</v>
      </c>
      <c r="G12" s="285">
        <f>+C12+D12-E12+F12</f>
        <v>0</v>
      </c>
      <c r="H12" s="287"/>
      <c r="I12" s="590">
        <v>0</v>
      </c>
      <c r="J12" s="592"/>
      <c r="K12" s="590">
        <v>0</v>
      </c>
      <c r="L12" s="287"/>
    </row>
    <row r="13" spans="1:12" ht="20.100000000000001" customHeight="1">
      <c r="A13" s="280">
        <v>4</v>
      </c>
      <c r="B13" s="281" t="s">
        <v>404</v>
      </c>
      <c r="C13" s="562">
        <v>3632008</v>
      </c>
      <c r="D13" s="562">
        <v>0</v>
      </c>
      <c r="E13" s="562">
        <v>0</v>
      </c>
      <c r="F13" s="562">
        <v>0</v>
      </c>
      <c r="G13" s="285">
        <f>+C13+D13-E13+F13</f>
        <v>3632008</v>
      </c>
      <c r="H13" s="287"/>
      <c r="I13" s="590">
        <v>2731650</v>
      </c>
      <c r="J13" s="592"/>
      <c r="K13" s="590">
        <v>28098</v>
      </c>
      <c r="L13" s="287"/>
    </row>
    <row r="14" spans="1:12" ht="20.100000000000001" customHeight="1" thickBot="1">
      <c r="A14" s="280">
        <v>5</v>
      </c>
      <c r="B14" s="281" t="s">
        <v>405</v>
      </c>
      <c r="C14" s="562">
        <v>33773759</v>
      </c>
      <c r="D14" s="563">
        <v>0</v>
      </c>
      <c r="E14" s="563"/>
      <c r="F14" s="563"/>
      <c r="G14" s="285">
        <f>+C14+D14-E14+F14</f>
        <v>33773759</v>
      </c>
      <c r="H14" s="287"/>
      <c r="I14" s="590">
        <v>16525830</v>
      </c>
      <c r="J14" s="592"/>
      <c r="K14" s="590">
        <v>996498</v>
      </c>
      <c r="L14" s="287"/>
    </row>
    <row r="15" spans="1:12" ht="20.100000000000001" customHeight="1" thickBot="1">
      <c r="A15" s="280">
        <v>6</v>
      </c>
      <c r="B15" s="291" t="s">
        <v>406</v>
      </c>
      <c r="C15" s="292">
        <f>SUM(C11:C14)</f>
        <v>109270183</v>
      </c>
      <c r="D15" s="293">
        <f>SUM(D11:D14)</f>
        <v>0</v>
      </c>
      <c r="E15" s="293">
        <f>SUM(E11:E14)</f>
        <v>0</v>
      </c>
      <c r="F15" s="293">
        <f>SUM(F11:F14)</f>
        <v>0</v>
      </c>
      <c r="G15" s="294">
        <f>+C15+D15-E15+F15</f>
        <v>109270183</v>
      </c>
      <c r="H15" s="287"/>
      <c r="I15" s="295">
        <f>SUM(I11:I14)</f>
        <v>88818942</v>
      </c>
      <c r="J15" s="287"/>
      <c r="K15" s="292">
        <f>SUM(K11:K14)</f>
        <v>1233410</v>
      </c>
      <c r="L15" s="287"/>
    </row>
    <row r="16" spans="1:12" ht="12" customHeight="1">
      <c r="A16" s="280"/>
      <c r="B16" s="296"/>
      <c r="C16" s="297"/>
      <c r="D16" s="297"/>
      <c r="E16" s="297"/>
      <c r="F16" s="297"/>
      <c r="G16" s="297"/>
      <c r="H16" s="287"/>
      <c r="I16" s="298"/>
      <c r="J16" s="287"/>
      <c r="K16" s="312"/>
      <c r="L16" s="287"/>
    </row>
    <row r="17" spans="1:17" ht="20.100000000000001" customHeight="1">
      <c r="A17" s="280">
        <v>7</v>
      </c>
      <c r="B17" s="281" t="s">
        <v>407</v>
      </c>
      <c r="C17" s="562">
        <v>61485431</v>
      </c>
      <c r="D17" s="562">
        <v>0</v>
      </c>
      <c r="E17" s="562">
        <v>0</v>
      </c>
      <c r="F17" s="562">
        <v>0</v>
      </c>
      <c r="G17" s="285">
        <f t="shared" ref="G17:G19" si="0">+C17+D17-E17+F17</f>
        <v>61485431</v>
      </c>
      <c r="H17" s="287"/>
      <c r="I17" s="288">
        <f>Plant!J36</f>
        <v>15246955.35714286</v>
      </c>
      <c r="J17" s="287"/>
      <c r="K17" s="590">
        <v>1501966</v>
      </c>
      <c r="L17" s="287"/>
    </row>
    <row r="18" spans="1:17" ht="20.100000000000001" customHeight="1">
      <c r="A18" s="280">
        <v>8</v>
      </c>
      <c r="B18" s="281" t="s">
        <v>408</v>
      </c>
      <c r="C18" s="562">
        <v>140281177</v>
      </c>
      <c r="D18" s="562">
        <v>0</v>
      </c>
      <c r="E18" s="562">
        <v>0</v>
      </c>
      <c r="F18" s="562">
        <v>0</v>
      </c>
      <c r="G18" s="285">
        <f t="shared" si="0"/>
        <v>140281177</v>
      </c>
      <c r="H18" s="287">
        <v>0</v>
      </c>
      <c r="I18" s="288">
        <f>Plant!K36</f>
        <v>72277346.310000047</v>
      </c>
      <c r="J18" s="287">
        <v>0</v>
      </c>
      <c r="K18" s="590">
        <v>3942245</v>
      </c>
      <c r="L18" s="287"/>
      <c r="O18" s="272"/>
      <c r="P18" s="272"/>
      <c r="Q18" s="272"/>
    </row>
    <row r="19" spans="1:17" ht="20.100000000000001" customHeight="1" thickBot="1">
      <c r="A19" s="280">
        <v>9</v>
      </c>
      <c r="B19" s="281" t="s">
        <v>409</v>
      </c>
      <c r="C19" s="562">
        <v>45720810</v>
      </c>
      <c r="D19" s="562">
        <v>0</v>
      </c>
      <c r="E19" s="562">
        <v>0</v>
      </c>
      <c r="F19" s="562">
        <v>0</v>
      </c>
      <c r="G19" s="285">
        <f t="shared" si="0"/>
        <v>45720810</v>
      </c>
      <c r="H19" s="287"/>
      <c r="I19" s="290">
        <f>Plant!L36</f>
        <v>32285137.430000022</v>
      </c>
      <c r="J19" s="287"/>
      <c r="K19" s="590">
        <v>2466192</v>
      </c>
      <c r="L19" s="287"/>
    </row>
    <row r="20" spans="1:17" ht="20.100000000000001" customHeight="1" thickBot="1">
      <c r="A20" s="280">
        <v>10</v>
      </c>
      <c r="B20" s="291" t="s">
        <v>410</v>
      </c>
      <c r="C20" s="292">
        <f>SUM(C15:C19)+C9</f>
        <v>356757601</v>
      </c>
      <c r="D20" s="292">
        <f>SUM(D15:D19)+D9</f>
        <v>0</v>
      </c>
      <c r="E20" s="292">
        <f>SUM(E15:E19)+E9</f>
        <v>0</v>
      </c>
      <c r="F20" s="292">
        <f>SUM(F15:F19)+F9</f>
        <v>0</v>
      </c>
      <c r="G20" s="294">
        <f>+C20+D20-E20+F20</f>
        <v>356757601</v>
      </c>
      <c r="H20" s="287"/>
      <c r="I20" s="292">
        <f>SUM(I15:I19)+I9</f>
        <v>208628381.09714293</v>
      </c>
      <c r="J20" s="287"/>
      <c r="K20" s="292">
        <f>SUM(K15:K19)+K9</f>
        <v>9143813</v>
      </c>
      <c r="L20" s="287"/>
      <c r="N20" s="299"/>
    </row>
    <row r="21" spans="1:17" ht="11.25" customHeight="1">
      <c r="A21" s="280"/>
      <c r="B21" s="296"/>
      <c r="C21" s="297"/>
      <c r="D21" s="297"/>
      <c r="E21" s="297"/>
      <c r="F21" s="297"/>
      <c r="G21" s="297"/>
      <c r="H21" s="287"/>
      <c r="I21" s="300"/>
      <c r="J21" s="287"/>
      <c r="K21" s="313"/>
      <c r="L21" s="287"/>
    </row>
    <row r="22" spans="1:17" ht="20.100000000000001" customHeight="1">
      <c r="A22" s="280">
        <v>11</v>
      </c>
      <c r="B22" s="281" t="s">
        <v>411</v>
      </c>
      <c r="C22" s="562">
        <v>0</v>
      </c>
      <c r="D22" s="562">
        <v>0</v>
      </c>
      <c r="E22" s="562">
        <v>0</v>
      </c>
      <c r="F22" s="562">
        <v>0</v>
      </c>
      <c r="G22" s="286">
        <f>+C22+D22+E22+F22</f>
        <v>0</v>
      </c>
      <c r="H22" s="287"/>
      <c r="I22" s="565">
        <v>0</v>
      </c>
      <c r="J22" s="287"/>
      <c r="K22" s="593">
        <v>0</v>
      </c>
      <c r="L22" s="287"/>
    </row>
    <row r="23" spans="1:17" ht="20.100000000000001" customHeight="1">
      <c r="A23" s="280">
        <v>12</v>
      </c>
      <c r="B23" s="281" t="s">
        <v>412</v>
      </c>
      <c r="C23" s="562">
        <v>0</v>
      </c>
      <c r="D23" s="562">
        <v>0</v>
      </c>
      <c r="E23" s="562">
        <v>0</v>
      </c>
      <c r="F23" s="562">
        <v>0</v>
      </c>
      <c r="G23" s="286">
        <f>+C23+D23+E23+F23</f>
        <v>0</v>
      </c>
      <c r="H23" s="287"/>
      <c r="I23" s="565">
        <v>0</v>
      </c>
      <c r="J23" s="287"/>
      <c r="K23" s="593">
        <v>0</v>
      </c>
      <c r="L23" s="287"/>
    </row>
    <row r="24" spans="1:17" ht="20.100000000000001" customHeight="1" thickBot="1">
      <c r="A24" s="280">
        <v>13</v>
      </c>
      <c r="B24" s="281" t="s">
        <v>413</v>
      </c>
      <c r="C24" s="563">
        <v>0</v>
      </c>
      <c r="D24" s="563">
        <v>0</v>
      </c>
      <c r="E24" s="563">
        <v>0</v>
      </c>
      <c r="F24" s="563">
        <v>0</v>
      </c>
      <c r="G24" s="289">
        <f>+C24+D24+E24+F24</f>
        <v>0</v>
      </c>
      <c r="H24" s="287"/>
      <c r="I24" s="566">
        <v>0</v>
      </c>
      <c r="J24" s="287"/>
      <c r="K24" s="594">
        <v>0</v>
      </c>
      <c r="L24" s="287"/>
    </row>
    <row r="25" spans="1:17" ht="20.100000000000001" customHeight="1" thickBot="1">
      <c r="A25" s="280">
        <v>14</v>
      </c>
      <c r="B25" s="291" t="s">
        <v>286</v>
      </c>
      <c r="C25" s="292">
        <f>SUM(C20:C24)</f>
        <v>356757601</v>
      </c>
      <c r="D25" s="293">
        <f>SUM(D20:D24)</f>
        <v>0</v>
      </c>
      <c r="E25" s="293">
        <f>SUM(E20:E24)</f>
        <v>0</v>
      </c>
      <c r="F25" s="293">
        <f>SUM(F20:F24)</f>
        <v>0</v>
      </c>
      <c r="G25" s="294">
        <f>+C25+D25-E25+F25</f>
        <v>356757601</v>
      </c>
      <c r="H25" s="287"/>
      <c r="I25" s="295">
        <f>SUM(I20:I24)</f>
        <v>208628381.09714293</v>
      </c>
      <c r="J25" s="287"/>
      <c r="K25" s="292">
        <f>SUM(K20:K24)</f>
        <v>9143813</v>
      </c>
      <c r="L25" s="287"/>
    </row>
    <row r="26" spans="1:17" ht="11.25" customHeight="1" thickBot="1">
      <c r="A26" s="280"/>
      <c r="B26" s="296"/>
      <c r="C26" s="301"/>
      <c r="D26" s="301"/>
      <c r="E26" s="301"/>
      <c r="F26" s="301"/>
      <c r="G26" s="301"/>
      <c r="H26" s="287"/>
      <c r="I26" s="300"/>
      <c r="J26" s="287"/>
      <c r="K26" s="313"/>
      <c r="L26" s="287"/>
    </row>
    <row r="27" spans="1:17" ht="20.100000000000001" customHeight="1" thickBot="1">
      <c r="A27" s="280">
        <v>15</v>
      </c>
      <c r="B27" s="281" t="s">
        <v>414</v>
      </c>
      <c r="C27" s="562">
        <v>17661509</v>
      </c>
      <c r="D27" s="563">
        <v>66500000</v>
      </c>
      <c r="E27" s="563">
        <v>0</v>
      </c>
      <c r="F27" s="562">
        <v>0</v>
      </c>
      <c r="G27" s="294">
        <f>+C27+D27-E27+F27</f>
        <v>84161509</v>
      </c>
      <c r="H27" s="287"/>
      <c r="I27" s="290"/>
      <c r="J27" s="287"/>
      <c r="K27" s="311"/>
      <c r="L27" s="287"/>
    </row>
    <row r="28" spans="1:17" ht="20.100000000000001" customHeight="1" thickBot="1">
      <c r="A28" s="280">
        <v>16</v>
      </c>
      <c r="B28" s="291" t="s">
        <v>415</v>
      </c>
      <c r="C28" s="292">
        <f>SUM(C25:C27)</f>
        <v>374419110</v>
      </c>
      <c r="D28" s="293">
        <f>SUM(D25:D27)</f>
        <v>66500000</v>
      </c>
      <c r="E28" s="293">
        <f>SUM(E25:E27)</f>
        <v>0</v>
      </c>
      <c r="F28" s="293">
        <f>SUM(F25:F27)</f>
        <v>0</v>
      </c>
      <c r="G28" s="294">
        <f>+C28+D28-E28+F28</f>
        <v>440919110</v>
      </c>
      <c r="H28" s="287"/>
      <c r="I28" s="295">
        <f>SUM(I25:I27)</f>
        <v>208628381.09714293</v>
      </c>
      <c r="J28" s="287"/>
      <c r="K28" s="292">
        <f>SUM(K25:K27)</f>
        <v>9143813</v>
      </c>
      <c r="L28" s="287"/>
      <c r="N28" s="299"/>
    </row>
    <row r="29" spans="1:17" ht="20.100000000000001" customHeight="1">
      <c r="G29" s="302" t="s">
        <v>2</v>
      </c>
      <c r="I29" s="881">
        <f>ROUND(I28-'Balance sheet Sched 2'!C15,0)</f>
        <v>0</v>
      </c>
    </row>
    <row r="30" spans="1:17">
      <c r="I30" s="933" t="s">
        <v>1081</v>
      </c>
      <c r="K30" s="934">
        <v>292557</v>
      </c>
    </row>
    <row r="31" spans="1:17">
      <c r="I31" s="933" t="s">
        <v>1082</v>
      </c>
      <c r="K31" s="934">
        <v>407644</v>
      </c>
    </row>
    <row r="32" spans="1:17">
      <c r="I32" s="773" t="s">
        <v>1087</v>
      </c>
      <c r="K32" s="935">
        <f>SUM(K28:K31)</f>
        <v>9844014</v>
      </c>
    </row>
    <row r="33" spans="11:11">
      <c r="K33" s="881">
        <f>ROUND(K32-'Income Sched 3'!C12,0)</f>
        <v>0</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2017 Work Papers&amp;R&amp;"Arial MT,Bold"Exhibit RPU-8
Page 3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sqref="A1:D1"/>
    </sheetView>
  </sheetViews>
  <sheetFormatPr defaultColWidth="8.88671875" defaultRowHeight="12.75"/>
  <cols>
    <col min="1" max="1" width="4.109375" style="138" bestFit="1" customWidth="1"/>
    <col min="2" max="2" width="38.6640625" style="138" customWidth="1"/>
    <col min="3" max="3" width="9.44140625" style="138" customWidth="1"/>
    <col min="4" max="16384" width="8.88671875" style="138"/>
  </cols>
  <sheetData>
    <row r="1" spans="1:4" ht="15.75">
      <c r="A1" s="990" t="str">
        <f>Coversheet!B3</f>
        <v>Rochester Public Utilities</v>
      </c>
      <c r="B1" s="990"/>
      <c r="C1" s="990"/>
      <c r="D1" s="990"/>
    </row>
    <row r="2" spans="1:4" ht="15">
      <c r="A2" s="982" t="s">
        <v>276</v>
      </c>
      <c r="B2" s="982"/>
      <c r="C2" s="982"/>
      <c r="D2" s="982"/>
    </row>
    <row r="3" spans="1:4" ht="15">
      <c r="A3" s="982" t="s">
        <v>447</v>
      </c>
      <c r="B3" s="982"/>
      <c r="C3" s="982"/>
      <c r="D3" s="982"/>
    </row>
    <row r="4" spans="1:4" ht="15.75">
      <c r="A4" s="991" t="str">
        <f>'Balance sheet Sched 2'!A4:F4</f>
        <v>FLTY Forecast for 12 Months Ended December 31, 2017</v>
      </c>
      <c r="B4" s="991"/>
      <c r="C4" s="991"/>
      <c r="D4" s="991"/>
    </row>
    <row r="5" spans="1:4">
      <c r="A5" s="355"/>
      <c r="B5" s="355"/>
      <c r="C5" s="355"/>
    </row>
    <row r="6" spans="1:4" ht="15.75">
      <c r="A6" s="654" t="s">
        <v>448</v>
      </c>
      <c r="B6" s="655"/>
      <c r="C6" s="655"/>
    </row>
    <row r="7" spans="1:4" ht="15.75">
      <c r="A7" s="656" t="s">
        <v>282</v>
      </c>
      <c r="B7" s="655"/>
      <c r="C7" s="655"/>
    </row>
    <row r="8" spans="1:4" ht="15.75">
      <c r="A8" s="654">
        <v>1</v>
      </c>
      <c r="B8" s="655" t="s">
        <v>449</v>
      </c>
      <c r="C8" s="767">
        <f>ROUND('Taxes other than inc tax'!D11,0)</f>
        <v>8676000</v>
      </c>
    </row>
    <row r="9" spans="1:4" ht="15.75">
      <c r="A9" s="655"/>
      <c r="B9" s="655"/>
      <c r="C9" s="655"/>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2017 Work Papers&amp;R&amp;"Arial MT,Bold"Exhibit RPU-8
Page 4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zoomScaleNormal="100" workbookViewId="0">
      <selection sqref="A1:F1"/>
    </sheetView>
  </sheetViews>
  <sheetFormatPr defaultColWidth="8.88671875" defaultRowHeight="12.75"/>
  <cols>
    <col min="1" max="1" width="5.21875" style="138" customWidth="1"/>
    <col min="2" max="2" width="24.5546875" style="138" customWidth="1"/>
    <col min="3" max="3" width="12.21875" style="138" customWidth="1"/>
    <col min="4" max="4" width="13.109375" style="138" bestFit="1" customWidth="1"/>
    <col min="5" max="5" width="12.21875" style="138" customWidth="1"/>
    <col min="6" max="6" width="13.109375" style="137" bestFit="1" customWidth="1"/>
    <col min="7" max="7" width="8.88671875" style="138"/>
    <col min="8" max="8" width="12.44140625" style="138" bestFit="1" customWidth="1"/>
    <col min="9" max="9" width="15.6640625" style="138" bestFit="1" customWidth="1"/>
    <col min="10" max="16384" width="8.88671875" style="138"/>
  </cols>
  <sheetData>
    <row r="1" spans="1:8" s="137" customFormat="1" ht="15.75">
      <c r="A1" s="981" t="str">
        <f>Coversheet!B3</f>
        <v>Rochester Public Utilities</v>
      </c>
      <c r="B1" s="981"/>
      <c r="C1" s="981"/>
      <c r="D1" s="981"/>
      <c r="E1" s="981"/>
      <c r="F1" s="981"/>
      <c r="G1" s="218"/>
    </row>
    <row r="2" spans="1:8" s="137" customFormat="1" ht="15">
      <c r="A2" s="982" t="s">
        <v>276</v>
      </c>
      <c r="B2" s="982"/>
      <c r="C2" s="982"/>
      <c r="D2" s="982"/>
      <c r="E2" s="982"/>
      <c r="F2" s="982"/>
      <c r="G2" s="218"/>
      <c r="H2" s="219"/>
    </row>
    <row r="3" spans="1:8" s="137" customFormat="1" ht="15">
      <c r="A3" s="982" t="s">
        <v>416</v>
      </c>
      <c r="B3" s="982"/>
      <c r="C3" s="982"/>
      <c r="D3" s="982"/>
      <c r="E3" s="982"/>
      <c r="F3" s="982"/>
      <c r="G3" s="218"/>
    </row>
    <row r="4" spans="1:8" s="137" customFormat="1" ht="15.75">
      <c r="A4" s="983" t="str">
        <f>'Plant Sched 4'!A4:G4</f>
        <v>FLTY Forecast for 12 Months Ended December 31, 2017</v>
      </c>
      <c r="B4" s="983"/>
      <c r="C4" s="983"/>
      <c r="D4" s="983"/>
      <c r="E4" s="983"/>
      <c r="F4" s="983"/>
      <c r="G4" s="220"/>
    </row>
    <row r="5" spans="1:8" s="137" customFormat="1"/>
    <row r="6" spans="1:8">
      <c r="A6" s="994" t="s">
        <v>417</v>
      </c>
      <c r="B6" s="994"/>
      <c r="C6" s="994"/>
      <c r="D6" s="994"/>
      <c r="E6" s="994"/>
      <c r="F6" s="994"/>
    </row>
    <row r="7" spans="1:8">
      <c r="A7" s="139" t="s">
        <v>4</v>
      </c>
      <c r="B7" s="141"/>
      <c r="C7" s="141"/>
      <c r="D7" s="141"/>
      <c r="E7" s="141"/>
      <c r="F7" s="237"/>
    </row>
    <row r="8" spans="1:8">
      <c r="A8" s="142" t="s">
        <v>282</v>
      </c>
      <c r="B8" s="143"/>
      <c r="C8" s="141" t="s">
        <v>418</v>
      </c>
      <c r="D8" s="143" t="s">
        <v>419</v>
      </c>
      <c r="E8" s="143" t="s">
        <v>420</v>
      </c>
      <c r="F8" s="235" t="s">
        <v>9</v>
      </c>
    </row>
    <row r="9" spans="1:8">
      <c r="A9" s="145">
        <v>1</v>
      </c>
      <c r="B9" s="194" t="s">
        <v>421</v>
      </c>
      <c r="C9" s="221"/>
      <c r="D9" s="222"/>
      <c r="E9" s="222"/>
      <c r="F9" s="238"/>
    </row>
    <row r="10" spans="1:8">
      <c r="A10" s="142"/>
      <c r="B10" s="223" t="s">
        <v>422</v>
      </c>
      <c r="C10" s="568">
        <v>0</v>
      </c>
      <c r="D10" s="569">
        <v>0</v>
      </c>
      <c r="E10" s="569">
        <v>0</v>
      </c>
      <c r="F10" s="239">
        <f>SUM(C10:E10)</f>
        <v>0</v>
      </c>
    </row>
    <row r="11" spans="1:8">
      <c r="A11" s="142">
        <v>2</v>
      </c>
      <c r="B11" s="223" t="s">
        <v>423</v>
      </c>
      <c r="C11" s="570">
        <v>0</v>
      </c>
      <c r="D11" s="571">
        <v>0</v>
      </c>
      <c r="E11" s="571">
        <v>0</v>
      </c>
      <c r="F11" s="240">
        <f>SUM(C11:E11)</f>
        <v>0</v>
      </c>
    </row>
    <row r="12" spans="1:8">
      <c r="A12" s="145">
        <v>3</v>
      </c>
      <c r="B12" s="194" t="s">
        <v>424</v>
      </c>
      <c r="C12" s="572"/>
      <c r="D12" s="573"/>
      <c r="E12" s="573"/>
      <c r="F12" s="241"/>
    </row>
    <row r="13" spans="1:8">
      <c r="A13" s="142"/>
      <c r="B13" s="224" t="s">
        <v>425</v>
      </c>
      <c r="C13" s="570">
        <v>0</v>
      </c>
      <c r="D13" s="571">
        <v>0</v>
      </c>
      <c r="E13" s="571">
        <v>87100</v>
      </c>
      <c r="F13" s="256">
        <f>SUM(C13:E13)</f>
        <v>87100</v>
      </c>
    </row>
    <row r="14" spans="1:8">
      <c r="A14" s="152">
        <v>4</v>
      </c>
      <c r="B14" s="196" t="s">
        <v>426</v>
      </c>
      <c r="C14" s="572"/>
      <c r="D14" s="573"/>
      <c r="E14" s="573"/>
      <c r="F14" s="257"/>
    </row>
    <row r="15" spans="1:8">
      <c r="A15" s="142"/>
      <c r="B15" s="224" t="s">
        <v>427</v>
      </c>
      <c r="C15" s="570">
        <v>486200</v>
      </c>
      <c r="D15" s="571">
        <v>0</v>
      </c>
      <c r="E15" s="571">
        <v>1353500</v>
      </c>
      <c r="F15" s="256">
        <f>SUM(C15:E15)</f>
        <v>1839700</v>
      </c>
    </row>
    <row r="16" spans="1:8">
      <c r="A16" s="160">
        <v>5</v>
      </c>
      <c r="B16" s="225" t="s">
        <v>428</v>
      </c>
      <c r="C16" s="574">
        <v>0</v>
      </c>
      <c r="D16" s="575">
        <v>94419000</v>
      </c>
      <c r="E16" s="575">
        <v>0</v>
      </c>
      <c r="F16" s="258">
        <f>+C16+D16+E16</f>
        <v>94419000</v>
      </c>
    </row>
    <row r="17" spans="1:9">
      <c r="A17" s="145">
        <v>6</v>
      </c>
      <c r="B17" s="196" t="s">
        <v>429</v>
      </c>
      <c r="C17" s="572"/>
      <c r="D17" s="573"/>
      <c r="E17" s="573"/>
      <c r="F17" s="257"/>
    </row>
    <row r="18" spans="1:9" ht="13.5" thickBot="1">
      <c r="A18" s="142"/>
      <c r="B18" s="224" t="s">
        <v>430</v>
      </c>
      <c r="C18" s="572">
        <v>0</v>
      </c>
      <c r="D18" s="576">
        <v>0</v>
      </c>
      <c r="E18" s="573">
        <v>0</v>
      </c>
      <c r="F18" s="257">
        <f>SUM(C18:E18)</f>
        <v>0</v>
      </c>
    </row>
    <row r="19" spans="1:9" ht="13.5" thickBot="1">
      <c r="A19" s="158">
        <v>7</v>
      </c>
      <c r="B19" s="225" t="s">
        <v>431</v>
      </c>
      <c r="C19" s="226">
        <f>SUM(C10:C18)</f>
        <v>486200</v>
      </c>
      <c r="D19" s="227">
        <f>SUM(D10:D18)</f>
        <v>94419000</v>
      </c>
      <c r="E19" s="227">
        <f>SUM(E10:E18)</f>
        <v>1440600</v>
      </c>
      <c r="F19" s="259">
        <f>SUM(C19:E19)</f>
        <v>96345800</v>
      </c>
    </row>
    <row r="20" spans="1:9">
      <c r="A20" s="145">
        <v>8</v>
      </c>
      <c r="B20" s="208" t="s">
        <v>432</v>
      </c>
      <c r="C20" s="228"/>
      <c r="D20" s="228"/>
      <c r="E20" s="228"/>
      <c r="F20" s="260"/>
    </row>
    <row r="21" spans="1:9">
      <c r="A21" s="142"/>
      <c r="B21" s="261" t="s">
        <v>433</v>
      </c>
      <c r="C21" s="229" t="s">
        <v>434</v>
      </c>
      <c r="D21" s="206">
        <f>'Transmission O&amp;M'!C23</f>
        <v>8316300</v>
      </c>
      <c r="E21" s="206">
        <f>'Transmission O&amp;M'!C35</f>
        <v>135100</v>
      </c>
      <c r="F21" s="262">
        <f>SUM(D21:E21)</f>
        <v>8451400</v>
      </c>
    </row>
    <row r="22" spans="1:9">
      <c r="A22" s="145">
        <v>9</v>
      </c>
      <c r="B22" s="208" t="s">
        <v>435</v>
      </c>
      <c r="C22" s="230"/>
      <c r="D22" s="573"/>
      <c r="E22" s="573"/>
      <c r="F22" s="263"/>
    </row>
    <row r="23" spans="1:9">
      <c r="A23" s="142"/>
      <c r="B23" s="261" t="s">
        <v>436</v>
      </c>
      <c r="C23" s="229" t="s">
        <v>434</v>
      </c>
      <c r="D23" s="571">
        <v>2232200</v>
      </c>
      <c r="E23" s="571">
        <v>3726700</v>
      </c>
      <c r="F23" s="262">
        <f>+D23+E23</f>
        <v>5958900</v>
      </c>
    </row>
    <row r="24" spans="1:9">
      <c r="A24" s="145">
        <v>10</v>
      </c>
      <c r="B24" s="208" t="s">
        <v>437</v>
      </c>
      <c r="C24" s="230"/>
      <c r="D24" s="573"/>
      <c r="E24" s="573"/>
      <c r="F24" s="263"/>
      <c r="I24" s="271"/>
    </row>
    <row r="25" spans="1:9">
      <c r="A25" s="142"/>
      <c r="B25" s="261" t="s">
        <v>438</v>
      </c>
      <c r="C25" s="229" t="s">
        <v>434</v>
      </c>
      <c r="D25" s="206">
        <f>'Admin &amp; General'!C14</f>
        <v>1764500</v>
      </c>
      <c r="E25" s="571">
        <v>0</v>
      </c>
      <c r="F25" s="262">
        <f>+D25+E25</f>
        <v>1764500</v>
      </c>
      <c r="I25" s="271"/>
    </row>
    <row r="26" spans="1:9">
      <c r="A26" s="145">
        <v>11</v>
      </c>
      <c r="B26" s="208" t="s">
        <v>439</v>
      </c>
      <c r="C26" s="230"/>
      <c r="D26" s="209"/>
      <c r="E26" s="573"/>
      <c r="F26" s="263"/>
      <c r="I26" s="271"/>
    </row>
    <row r="27" spans="1:9">
      <c r="A27" s="142"/>
      <c r="B27" s="261" t="s">
        <v>440</v>
      </c>
      <c r="C27" s="229" t="s">
        <v>434</v>
      </c>
      <c r="D27" s="206">
        <f>'Admin &amp; General'!C21</f>
        <v>1680700</v>
      </c>
      <c r="E27" s="571">
        <v>0</v>
      </c>
      <c r="F27" s="262">
        <f>+D27+E27</f>
        <v>1680700</v>
      </c>
      <c r="I27" s="270"/>
    </row>
    <row r="28" spans="1:9">
      <c r="A28" s="158">
        <v>12</v>
      </c>
      <c r="B28" s="207" t="s">
        <v>441</v>
      </c>
      <c r="C28" s="231" t="s">
        <v>434</v>
      </c>
      <c r="D28" s="206">
        <f>'Admin &amp; General'!C28</f>
        <v>549901</v>
      </c>
      <c r="E28" s="571">
        <v>0</v>
      </c>
      <c r="F28" s="262">
        <f>+D28+E28</f>
        <v>549901</v>
      </c>
      <c r="I28" s="270"/>
    </row>
    <row r="29" spans="1:9">
      <c r="A29" s="158">
        <v>13</v>
      </c>
      <c r="B29" s="207" t="s">
        <v>442</v>
      </c>
      <c r="C29" s="231" t="s">
        <v>434</v>
      </c>
      <c r="D29" s="206">
        <f>SUM('Admin &amp; General'!C30:C43)</f>
        <v>10772400</v>
      </c>
      <c r="E29" s="206">
        <f>'Admin &amp; General'!C44</f>
        <v>453079</v>
      </c>
      <c r="F29" s="262">
        <f>+D29+E29</f>
        <v>11225479</v>
      </c>
      <c r="I29" s="270"/>
    </row>
    <row r="30" spans="1:9" ht="13.5" thickBot="1">
      <c r="A30" s="145">
        <v>14</v>
      </c>
      <c r="B30" s="208" t="s">
        <v>443</v>
      </c>
      <c r="C30" s="232"/>
      <c r="D30" s="228"/>
      <c r="E30" s="228"/>
      <c r="F30" s="260"/>
      <c r="I30" s="270"/>
    </row>
    <row r="31" spans="1:9" ht="13.5" thickBot="1">
      <c r="A31" s="142"/>
      <c r="B31" s="224" t="s">
        <v>444</v>
      </c>
      <c r="C31" s="226">
        <f>SUM(C19:C29)</f>
        <v>486200</v>
      </c>
      <c r="D31" s="227">
        <f>SUM(D19:D29)</f>
        <v>119735001</v>
      </c>
      <c r="E31" s="227">
        <f>SUM(E19:E29)</f>
        <v>5755479</v>
      </c>
      <c r="F31" s="259">
        <f>SUM(F19:F30)</f>
        <v>125976680</v>
      </c>
      <c r="I31" s="270"/>
    </row>
    <row r="32" spans="1:9">
      <c r="B32" s="185"/>
      <c r="C32" s="233"/>
      <c r="D32" s="233"/>
      <c r="E32" s="233"/>
      <c r="F32" s="264"/>
      <c r="I32" s="270"/>
    </row>
    <row r="33" spans="2:9">
      <c r="B33" s="992" t="s">
        <v>445</v>
      </c>
      <c r="C33" s="993"/>
      <c r="D33" s="267">
        <v>180</v>
      </c>
      <c r="E33" s="233"/>
      <c r="F33" s="264"/>
      <c r="I33" s="270"/>
    </row>
    <row r="34" spans="2:9">
      <c r="B34" s="265" t="s">
        <v>446</v>
      </c>
      <c r="C34" s="266"/>
      <c r="D34" s="268"/>
      <c r="E34" s="304"/>
      <c r="F34" s="269"/>
      <c r="I34" s="270"/>
    </row>
    <row r="35" spans="2:9">
      <c r="B35" s="185"/>
      <c r="C35" s="233"/>
      <c r="D35" s="233"/>
      <c r="E35" s="233"/>
      <c r="F35" s="264"/>
      <c r="I35" s="270"/>
    </row>
    <row r="36" spans="2:9" ht="15">
      <c r="B36" s="359" t="s">
        <v>656</v>
      </c>
      <c r="C36" s="359"/>
      <c r="D36" s="359"/>
      <c r="E36" s="359"/>
      <c r="F36" s="359"/>
      <c r="I36" s="270"/>
    </row>
    <row r="37" spans="2:9" ht="15">
      <c r="B37" s="359"/>
      <c r="C37" s="359"/>
      <c r="D37" s="359"/>
      <c r="E37" s="359"/>
      <c r="F37" s="359"/>
      <c r="I37" s="270"/>
    </row>
    <row r="38" spans="2:9" ht="15">
      <c r="B38" s="360" t="s">
        <v>651</v>
      </c>
      <c r="C38" s="361" t="s">
        <v>434</v>
      </c>
      <c r="D38" s="577">
        <v>198600</v>
      </c>
      <c r="E38" s="578">
        <v>0</v>
      </c>
      <c r="F38" s="362">
        <f>+D38+E38</f>
        <v>198600</v>
      </c>
      <c r="I38" s="270"/>
    </row>
    <row r="39" spans="2:9" ht="15">
      <c r="B39" s="363" t="s">
        <v>657</v>
      </c>
      <c r="C39" s="363"/>
      <c r="D39" s="363"/>
      <c r="E39" s="363"/>
      <c r="F39" s="364"/>
      <c r="I39" s="270"/>
    </row>
    <row r="40" spans="2:9" ht="15">
      <c r="B40" s="359"/>
      <c r="C40" s="359"/>
      <c r="D40" s="359"/>
      <c r="E40" s="359"/>
      <c r="F40" s="359"/>
      <c r="I40" s="270"/>
    </row>
    <row r="41" spans="2:9" ht="15">
      <c r="B41" s="365" t="s">
        <v>443</v>
      </c>
      <c r="C41" s="359"/>
      <c r="D41" s="359"/>
      <c r="E41" s="359"/>
      <c r="F41" s="359"/>
      <c r="I41" s="270"/>
    </row>
    <row r="42" spans="2:9" ht="15">
      <c r="B42" s="366" t="s">
        <v>444</v>
      </c>
      <c r="C42" s="359"/>
      <c r="D42" s="367">
        <f>C19+D31+D38</f>
        <v>120419801</v>
      </c>
      <c r="E42" s="367">
        <f>E38+E31</f>
        <v>5755479</v>
      </c>
      <c r="F42" s="367">
        <f>F38+F31</f>
        <v>126175280</v>
      </c>
      <c r="I42" s="270"/>
    </row>
    <row r="43" spans="2:9" ht="15">
      <c r="B43" s="359"/>
      <c r="C43" s="359"/>
      <c r="D43" s="368"/>
      <c r="E43" s="368"/>
      <c r="F43" s="359"/>
    </row>
    <row r="44" spans="2:9">
      <c r="D44" s="844">
        <f>D42-'Income Sched 3'!C10</f>
        <v>0</v>
      </c>
      <c r="E44" s="844">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2017 Work Papers&amp;R&amp;"Arial MT,Bold"Exhibit RPU-8
Page 5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30"/>
  <sheetViews>
    <sheetView showGridLines="0" zoomScaleNormal="100" workbookViewId="0">
      <selection sqref="A1:D1"/>
    </sheetView>
  </sheetViews>
  <sheetFormatPr defaultColWidth="8.88671875" defaultRowHeight="15"/>
  <cols>
    <col min="1" max="1" width="1.77734375" style="317" customWidth="1"/>
    <col min="2" max="2" width="5.6640625" style="317" customWidth="1"/>
    <col min="3" max="3" width="1.21875" style="317" customWidth="1"/>
    <col min="4" max="4" width="10.77734375" style="317" customWidth="1"/>
    <col min="5" max="5" width="1.88671875" style="317" customWidth="1"/>
    <col min="6" max="6" width="8.6640625" style="317" customWidth="1"/>
    <col min="7" max="8" width="1.21875" style="317" customWidth="1"/>
    <col min="9" max="9" width="14.5546875" style="317" customWidth="1"/>
    <col min="10" max="10" width="1.109375" style="317" customWidth="1"/>
    <col min="11" max="11" width="13.21875" style="317" customWidth="1"/>
    <col min="12" max="12" width="1.44140625" style="317" customWidth="1"/>
    <col min="13" max="13" width="9.44140625" style="317" customWidth="1"/>
    <col min="14" max="16384" width="8.88671875" style="317"/>
  </cols>
  <sheetData>
    <row r="1" spans="2:15" ht="5.25" customHeight="1"/>
    <row r="2" spans="2:15" ht="5.25" customHeight="1"/>
    <row r="3" spans="2:15" ht="15.75">
      <c r="B3" s="997" t="str">
        <f>Coversheet!B3</f>
        <v>Rochester Public Utilities</v>
      </c>
      <c r="C3" s="997"/>
      <c r="D3" s="997"/>
      <c r="E3" s="997"/>
      <c r="F3" s="997"/>
      <c r="G3" s="997"/>
      <c r="H3" s="997"/>
      <c r="I3" s="997"/>
      <c r="J3" s="997"/>
      <c r="K3" s="997"/>
      <c r="L3" s="997"/>
      <c r="M3" s="997"/>
    </row>
    <row r="4" spans="2:15" ht="15.75">
      <c r="B4" s="997" t="s">
        <v>898</v>
      </c>
      <c r="C4" s="997"/>
      <c r="D4" s="997"/>
      <c r="E4" s="997"/>
      <c r="F4" s="997"/>
      <c r="G4" s="997"/>
      <c r="H4" s="997"/>
      <c r="I4" s="997"/>
      <c r="J4" s="997"/>
      <c r="K4" s="997"/>
      <c r="L4" s="997"/>
      <c r="M4" s="997"/>
    </row>
    <row r="5" spans="2:15" ht="15.75">
      <c r="B5" s="997" t="str">
        <f>IF('Att O_RPU'!$I$19&gt;0.5,CONCATENATE("FLTY Forecast for 12 Months Ended December 31, ",'Att O_RPU'!E319),CONCATENATE("True-up Actual for 12 Months Ended December 31, ",'Att O_RPU'!E319))</f>
        <v>FLTY Forecast for 12 Months Ended December 31, 2017</v>
      </c>
      <c r="C5" s="997"/>
      <c r="D5" s="997"/>
      <c r="E5" s="997"/>
      <c r="F5" s="997"/>
      <c r="G5" s="997"/>
      <c r="H5" s="997"/>
      <c r="I5" s="997"/>
      <c r="J5" s="997"/>
      <c r="K5" s="997"/>
      <c r="L5" s="997"/>
      <c r="M5" s="997"/>
    </row>
    <row r="6" spans="2:15" ht="15.75">
      <c r="B6" s="691"/>
      <c r="C6" s="691"/>
      <c r="D6" s="691"/>
      <c r="E6" s="691"/>
      <c r="F6" s="691"/>
      <c r="G6" s="691"/>
      <c r="H6" s="691"/>
      <c r="I6" s="691"/>
      <c r="J6" s="691"/>
    </row>
    <row r="7" spans="2:15" ht="15.75">
      <c r="B7" s="318"/>
      <c r="C7" s="318"/>
      <c r="D7" s="318"/>
      <c r="E7" s="318"/>
      <c r="F7" s="318"/>
      <c r="G7" s="998" t="s">
        <v>894</v>
      </c>
      <c r="H7" s="998"/>
      <c r="I7" s="998"/>
      <c r="J7" s="998"/>
      <c r="K7" s="998"/>
      <c r="L7" s="998"/>
      <c r="M7" s="998"/>
    </row>
    <row r="8" spans="2:15" s="321" customFormat="1" ht="63">
      <c r="B8" s="657" t="s">
        <v>466</v>
      </c>
      <c r="C8" s="698"/>
      <c r="D8" s="657" t="s">
        <v>467</v>
      </c>
      <c r="E8" s="698"/>
      <c r="F8" s="657" t="s">
        <v>468</v>
      </c>
      <c r="G8" s="698"/>
      <c r="H8" s="698"/>
      <c r="I8" s="657" t="s">
        <v>892</v>
      </c>
      <c r="J8" s="698"/>
      <c r="K8" s="657" t="s">
        <v>893</v>
      </c>
      <c r="M8" s="657" t="s">
        <v>895</v>
      </c>
      <c r="N8" s="317"/>
      <c r="O8" s="356"/>
    </row>
    <row r="9" spans="2:15" s="321" customFormat="1" ht="15.75">
      <c r="B9" s="698"/>
      <c r="C9" s="698"/>
      <c r="D9" s="700" t="s">
        <v>824</v>
      </c>
      <c r="E9" s="698"/>
      <c r="F9" s="700" t="s">
        <v>825</v>
      </c>
      <c r="G9" s="698"/>
      <c r="H9" s="698"/>
      <c r="I9" s="700" t="s">
        <v>872</v>
      </c>
      <c r="J9" s="698"/>
      <c r="K9" s="700" t="s">
        <v>827</v>
      </c>
      <c r="M9" s="700" t="s">
        <v>828</v>
      </c>
      <c r="N9" s="317"/>
      <c r="O9" s="356"/>
    </row>
    <row r="10" spans="2:15" s="321" customFormat="1" ht="15.75">
      <c r="B10" s="698"/>
      <c r="C10" s="698"/>
      <c r="D10" s="700"/>
      <c r="E10" s="698"/>
      <c r="F10" s="700"/>
      <c r="G10" s="698"/>
      <c r="H10" s="698"/>
      <c r="I10" s="700"/>
      <c r="J10" s="698"/>
      <c r="K10" s="700"/>
      <c r="M10" s="700"/>
      <c r="N10" s="317"/>
      <c r="O10" s="356"/>
    </row>
    <row r="11" spans="2:15" ht="14.65" customHeight="1">
      <c r="B11" s="630">
        <v>1</v>
      </c>
      <c r="C11" s="697"/>
      <c r="D11" s="630" t="s">
        <v>453</v>
      </c>
      <c r="E11" s="630"/>
      <c r="F11" s="640">
        <f>'Att O_RPU'!E319</f>
        <v>2017</v>
      </c>
      <c r="G11" s="640"/>
      <c r="H11" s="695"/>
      <c r="I11" s="765">
        <v>198000</v>
      </c>
      <c r="J11" s="696"/>
      <c r="K11" s="765">
        <v>0</v>
      </c>
      <c r="M11" s="695">
        <f t="shared" ref="M11:M22" si="0">SUM(I11:K11)</f>
        <v>198000</v>
      </c>
      <c r="O11" s="357"/>
    </row>
    <row r="12" spans="2:15" ht="15.75">
      <c r="B12" s="630">
        <v>2</v>
      </c>
      <c r="C12" s="697"/>
      <c r="D12" s="630" t="s">
        <v>454</v>
      </c>
      <c r="E12" s="630"/>
      <c r="F12" s="630">
        <f>F11</f>
        <v>2017</v>
      </c>
      <c r="G12" s="630"/>
      <c r="H12" s="695"/>
      <c r="I12" s="765">
        <v>189000</v>
      </c>
      <c r="J12" s="696"/>
      <c r="K12" s="765">
        <v>0</v>
      </c>
      <c r="M12" s="695">
        <f t="shared" si="0"/>
        <v>189000</v>
      </c>
      <c r="O12" s="357"/>
    </row>
    <row r="13" spans="2:15" ht="15.75">
      <c r="B13" s="630">
        <v>3</v>
      </c>
      <c r="C13" s="630"/>
      <c r="D13" s="630" t="s">
        <v>455</v>
      </c>
      <c r="E13" s="630"/>
      <c r="F13" s="630">
        <f>F12</f>
        <v>2017</v>
      </c>
      <c r="G13" s="630"/>
      <c r="H13" s="695"/>
      <c r="I13" s="765">
        <v>182000</v>
      </c>
      <c r="J13" s="696"/>
      <c r="K13" s="765">
        <v>0</v>
      </c>
      <c r="M13" s="695">
        <f t="shared" si="0"/>
        <v>182000</v>
      </c>
      <c r="O13" s="357"/>
    </row>
    <row r="14" spans="2:15" ht="15.75">
      <c r="B14" s="630">
        <v>4</v>
      </c>
      <c r="C14" s="630"/>
      <c r="D14" s="630" t="s">
        <v>456</v>
      </c>
      <c r="E14" s="630"/>
      <c r="F14" s="630">
        <f t="shared" ref="F14:F22" si="1">F13</f>
        <v>2017</v>
      </c>
      <c r="G14" s="630"/>
      <c r="H14" s="695"/>
      <c r="I14" s="765">
        <v>174000</v>
      </c>
      <c r="J14" s="696"/>
      <c r="K14" s="765">
        <v>0</v>
      </c>
      <c r="M14" s="695">
        <f t="shared" si="0"/>
        <v>174000</v>
      </c>
      <c r="O14" s="357"/>
    </row>
    <row r="15" spans="2:15" ht="15.75">
      <c r="B15" s="630">
        <v>5</v>
      </c>
      <c r="C15" s="630"/>
      <c r="D15" s="630" t="s">
        <v>457</v>
      </c>
      <c r="E15" s="630"/>
      <c r="F15" s="630">
        <f t="shared" si="1"/>
        <v>2017</v>
      </c>
      <c r="G15" s="630"/>
      <c r="H15" s="695"/>
      <c r="I15" s="765">
        <v>174000</v>
      </c>
      <c r="J15" s="696"/>
      <c r="K15" s="765">
        <v>0</v>
      </c>
      <c r="M15" s="695">
        <f t="shared" si="0"/>
        <v>174000</v>
      </c>
      <c r="O15" s="357"/>
    </row>
    <row r="16" spans="2:15" ht="15.75">
      <c r="B16" s="630">
        <v>6</v>
      </c>
      <c r="C16" s="630"/>
      <c r="D16" s="630" t="s">
        <v>458</v>
      </c>
      <c r="E16" s="630"/>
      <c r="F16" s="630">
        <f t="shared" si="1"/>
        <v>2017</v>
      </c>
      <c r="G16" s="630"/>
      <c r="H16" s="695"/>
      <c r="I16" s="765">
        <v>216000</v>
      </c>
      <c r="J16" s="696"/>
      <c r="K16" s="765">
        <v>47000</v>
      </c>
      <c r="M16" s="695">
        <f t="shared" si="0"/>
        <v>263000</v>
      </c>
      <c r="O16" s="357"/>
    </row>
    <row r="17" spans="2:18" ht="15.75">
      <c r="B17" s="630">
        <v>7</v>
      </c>
      <c r="C17" s="630"/>
      <c r="D17" s="630" t="s">
        <v>459</v>
      </c>
      <c r="E17" s="630"/>
      <c r="F17" s="630">
        <f t="shared" si="1"/>
        <v>2017</v>
      </c>
      <c r="G17" s="630"/>
      <c r="H17" s="695"/>
      <c r="I17" s="765">
        <v>216000</v>
      </c>
      <c r="J17" s="696"/>
      <c r="K17" s="765">
        <v>58000</v>
      </c>
      <c r="M17" s="695">
        <f t="shared" si="0"/>
        <v>274000</v>
      </c>
      <c r="O17" s="357"/>
    </row>
    <row r="18" spans="2:18" ht="15.75">
      <c r="B18" s="630">
        <v>8</v>
      </c>
      <c r="C18" s="630"/>
      <c r="D18" s="630" t="s">
        <v>460</v>
      </c>
      <c r="E18" s="630"/>
      <c r="F18" s="630">
        <f t="shared" si="1"/>
        <v>2017</v>
      </c>
      <c r="G18" s="630"/>
      <c r="H18" s="695"/>
      <c r="I18" s="765">
        <v>216000</v>
      </c>
      <c r="J18" s="696"/>
      <c r="K18" s="765">
        <v>64000</v>
      </c>
      <c r="M18" s="695">
        <f t="shared" si="0"/>
        <v>280000</v>
      </c>
      <c r="O18" s="357"/>
    </row>
    <row r="19" spans="2:18" ht="15.75">
      <c r="B19" s="630">
        <v>9</v>
      </c>
      <c r="C19" s="630"/>
      <c r="D19" s="630" t="s">
        <v>461</v>
      </c>
      <c r="E19" s="630"/>
      <c r="F19" s="630">
        <f t="shared" si="1"/>
        <v>2017</v>
      </c>
      <c r="G19" s="630"/>
      <c r="H19" s="695"/>
      <c r="I19" s="765">
        <v>216000</v>
      </c>
      <c r="J19" s="696"/>
      <c r="K19" s="765">
        <v>44000</v>
      </c>
      <c r="M19" s="695">
        <f t="shared" si="0"/>
        <v>260000</v>
      </c>
      <c r="O19" s="357"/>
    </row>
    <row r="20" spans="2:18" ht="15.75">
      <c r="B20" s="630">
        <v>10</v>
      </c>
      <c r="C20" s="630"/>
      <c r="D20" s="630" t="s">
        <v>462</v>
      </c>
      <c r="E20" s="630"/>
      <c r="F20" s="630">
        <f t="shared" si="1"/>
        <v>2017</v>
      </c>
      <c r="G20" s="630"/>
      <c r="H20" s="695"/>
      <c r="I20" s="765">
        <v>196000</v>
      </c>
      <c r="J20" s="696"/>
      <c r="K20" s="765">
        <v>0</v>
      </c>
      <c r="M20" s="695">
        <f t="shared" si="0"/>
        <v>196000</v>
      </c>
      <c r="O20" s="357"/>
    </row>
    <row r="21" spans="2:18" ht="15.75">
      <c r="B21" s="630">
        <v>11</v>
      </c>
      <c r="C21" s="630"/>
      <c r="D21" s="630" t="s">
        <v>463</v>
      </c>
      <c r="E21" s="630"/>
      <c r="F21" s="630">
        <f t="shared" si="1"/>
        <v>2017</v>
      </c>
      <c r="G21" s="630"/>
      <c r="H21" s="695"/>
      <c r="I21" s="765">
        <v>193000</v>
      </c>
      <c r="J21" s="696"/>
      <c r="K21" s="765">
        <v>0</v>
      </c>
      <c r="M21" s="695">
        <f t="shared" si="0"/>
        <v>193000</v>
      </c>
      <c r="O21" s="357"/>
    </row>
    <row r="22" spans="2:18" ht="15.75">
      <c r="B22" s="630">
        <v>12</v>
      </c>
      <c r="C22" s="630"/>
      <c r="D22" s="630" t="s">
        <v>464</v>
      </c>
      <c r="E22" s="630"/>
      <c r="F22" s="630">
        <f t="shared" si="1"/>
        <v>2017</v>
      </c>
      <c r="G22" s="630"/>
      <c r="H22" s="695"/>
      <c r="I22" s="765">
        <v>205000</v>
      </c>
      <c r="J22" s="696"/>
      <c r="K22" s="765">
        <v>0</v>
      </c>
      <c r="M22" s="695">
        <f t="shared" si="0"/>
        <v>205000</v>
      </c>
      <c r="O22" s="357"/>
    </row>
    <row r="23" spans="2:18" ht="15.75">
      <c r="B23" s="630"/>
      <c r="C23" s="630"/>
      <c r="D23" s="644"/>
      <c r="E23" s="644"/>
      <c r="F23" s="644"/>
      <c r="G23" s="644"/>
      <c r="H23" s="699"/>
      <c r="I23" s="630"/>
      <c r="J23" s="644"/>
      <c r="K23" s="696"/>
      <c r="M23" s="651"/>
    </row>
    <row r="24" spans="2:18" ht="18.75" thickBot="1">
      <c r="B24" s="630">
        <f>B22+1</f>
        <v>13</v>
      </c>
      <c r="C24" s="630"/>
      <c r="D24" s="633" t="s">
        <v>469</v>
      </c>
      <c r="E24" s="691"/>
      <c r="F24" s="620"/>
      <c r="G24" s="620"/>
      <c r="H24" s="652"/>
      <c r="I24" s="703">
        <f>SUM(I11:I22)/12</f>
        <v>197916.66666666666</v>
      </c>
      <c r="J24" s="652"/>
      <c r="K24" s="702">
        <f>SUM(K11:K22)/12</f>
        <v>17750</v>
      </c>
      <c r="M24" s="652">
        <f>SUM(M11:M22)/12</f>
        <v>215666.66666666666</v>
      </c>
      <c r="O24" s="766" t="s">
        <v>896</v>
      </c>
      <c r="P24" s="701"/>
      <c r="Q24" s="701"/>
      <c r="R24" s="701"/>
    </row>
    <row r="25" spans="2:18" ht="16.5" thickTop="1">
      <c r="B25" s="644"/>
      <c r="C25" s="644"/>
      <c r="D25" s="644"/>
      <c r="E25" s="644"/>
      <c r="F25" s="644"/>
      <c r="G25" s="644"/>
      <c r="H25" s="644"/>
      <c r="I25" s="644"/>
      <c r="J25" s="644"/>
      <c r="K25" s="644"/>
    </row>
    <row r="26" spans="2:18" ht="15.75">
      <c r="B26" s="644"/>
      <c r="C26" s="644"/>
      <c r="D26" s="644"/>
      <c r="E26" s="644"/>
      <c r="F26" s="644"/>
      <c r="G26" s="644"/>
      <c r="H26" s="653"/>
      <c r="I26" s="644"/>
      <c r="J26" s="644"/>
      <c r="K26" s="644"/>
    </row>
    <row r="27" spans="2:18" ht="6.75" customHeight="1"/>
    <row r="28" spans="2:18" ht="20.65" customHeight="1">
      <c r="B28" s="996" t="s">
        <v>844</v>
      </c>
      <c r="C28" s="996"/>
      <c r="D28" s="996"/>
      <c r="E28" s="996"/>
      <c r="F28" s="996"/>
      <c r="G28" s="996"/>
      <c r="H28" s="996"/>
      <c r="I28" s="996"/>
      <c r="J28" s="996"/>
      <c r="K28" s="996"/>
      <c r="L28" s="996"/>
      <c r="M28" s="996"/>
    </row>
    <row r="29" spans="2:18" ht="30.95" customHeight="1">
      <c r="B29" s="995" t="s">
        <v>891</v>
      </c>
      <c r="C29" s="995"/>
      <c r="D29" s="995"/>
      <c r="E29" s="995"/>
      <c r="F29" s="995"/>
      <c r="G29" s="995"/>
      <c r="H29" s="995"/>
      <c r="I29" s="995"/>
      <c r="J29" s="995"/>
      <c r="K29" s="995"/>
      <c r="L29" s="995"/>
      <c r="M29" s="995"/>
    </row>
    <row r="30" spans="2:18" ht="15.75">
      <c r="B30" s="995" t="s">
        <v>897</v>
      </c>
      <c r="C30" s="995"/>
      <c r="D30" s="995"/>
      <c r="E30" s="995"/>
      <c r="F30" s="995"/>
      <c r="G30" s="995"/>
      <c r="H30" s="995"/>
      <c r="I30" s="995"/>
      <c r="J30" s="995"/>
      <c r="K30" s="995"/>
    </row>
  </sheetData>
  <mergeCells count="7">
    <mergeCell ref="B30:K30"/>
    <mergeCell ref="B29:M29"/>
    <mergeCell ref="B28:M28"/>
    <mergeCell ref="B3:M3"/>
    <mergeCell ref="B4:M4"/>
    <mergeCell ref="B5:M5"/>
    <mergeCell ref="G7:M7"/>
  </mergeCells>
  <pageMargins left="0.7" right="0.45" top="0.75" bottom="0.5" header="0.3" footer="0.3"/>
  <pageSetup scale="93" orientation="portrait" r:id="rId1"/>
  <headerFooter>
    <oddHeader>&amp;L&amp;"Arial MT,Bold"Rochester Public Utilities
2017 Work Papers&amp;R&amp;"Arial MT,Bold"Exhibit RPU-8
Page 6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66"/>
  <sheetViews>
    <sheetView showGridLines="0" topLeftCell="A34" zoomScale="80" zoomScaleNormal="80" workbookViewId="0">
      <selection sqref="A1:O1"/>
    </sheetView>
  </sheetViews>
  <sheetFormatPr defaultColWidth="8.88671875" defaultRowHeight="15"/>
  <cols>
    <col min="1" max="1" width="8.88671875" style="317"/>
    <col min="2" max="2" width="1.109375" style="317" customWidth="1"/>
    <col min="3" max="3" width="3.44140625" style="317" customWidth="1"/>
    <col min="4" max="4" width="14.109375" style="317" bestFit="1" customWidth="1"/>
    <col min="5" max="5" width="4.109375" style="317" customWidth="1"/>
    <col min="6" max="15" width="14.33203125" style="317" customWidth="1"/>
    <col min="16" max="16" width="21" style="317" bestFit="1" customWidth="1"/>
    <col min="17" max="16384" width="8.88671875" style="317"/>
  </cols>
  <sheetData>
    <row r="1" spans="3:16" ht="15.75">
      <c r="C1" s="999" t="str">
        <f>Coversheet!B3</f>
        <v>Rochester Public Utilities</v>
      </c>
      <c r="D1" s="999"/>
      <c r="E1" s="999"/>
      <c r="F1" s="999"/>
      <c r="G1" s="999"/>
      <c r="H1" s="999"/>
      <c r="I1" s="999"/>
      <c r="J1" s="999"/>
      <c r="K1" s="999"/>
      <c r="L1" s="999"/>
      <c r="M1" s="999"/>
      <c r="N1" s="999"/>
      <c r="O1" s="999"/>
    </row>
    <row r="2" spans="3:16" ht="15.75">
      <c r="C2" s="999" t="s">
        <v>939</v>
      </c>
      <c r="D2" s="999"/>
      <c r="E2" s="999"/>
      <c r="F2" s="999"/>
      <c r="G2" s="999"/>
      <c r="H2" s="999"/>
      <c r="I2" s="999"/>
      <c r="J2" s="999"/>
      <c r="K2" s="999"/>
      <c r="L2" s="999"/>
      <c r="M2" s="999"/>
      <c r="N2" s="999"/>
      <c r="O2" s="999"/>
    </row>
    <row r="3" spans="3:16" ht="15.75">
      <c r="C3" s="999" t="str">
        <f>IF('Att O_RPU'!$I$19&gt;0.5,CONCATENATE("FLTY Forecast for 13 Months Ended December 31, ",'Att O_RPU'!E319),CONCATENATE("True-up Actual for 13 Months Ended December 31, ",'Att O_RPU'!E319))</f>
        <v>FLTY Forecast for 13 Months Ended December 31, 2017</v>
      </c>
      <c r="D3" s="999"/>
      <c r="E3" s="999"/>
      <c r="F3" s="999"/>
      <c r="G3" s="999"/>
      <c r="H3" s="999"/>
      <c r="I3" s="999"/>
      <c r="J3" s="999"/>
      <c r="K3" s="999"/>
      <c r="L3" s="999"/>
      <c r="M3" s="999"/>
      <c r="N3" s="999"/>
      <c r="O3" s="999"/>
    </row>
    <row r="5" spans="3:16" ht="44.25" customHeight="1">
      <c r="C5" s="320" t="s">
        <v>466</v>
      </c>
      <c r="D5" s="320" t="s">
        <v>470</v>
      </c>
      <c r="E5" s="320" t="s">
        <v>468</v>
      </c>
      <c r="F5" s="320" t="s">
        <v>471</v>
      </c>
      <c r="G5" s="320" t="s">
        <v>664</v>
      </c>
      <c r="H5" s="320" t="s">
        <v>665</v>
      </c>
      <c r="I5" s="539" t="s">
        <v>1023</v>
      </c>
      <c r="J5" s="320" t="s">
        <v>39</v>
      </c>
      <c r="K5" s="320" t="s">
        <v>451</v>
      </c>
      <c r="L5" s="320" t="s">
        <v>472</v>
      </c>
      <c r="M5" s="320" t="s">
        <v>473</v>
      </c>
      <c r="N5" s="320" t="s">
        <v>474</v>
      </c>
      <c r="O5" s="320" t="s">
        <v>475</v>
      </c>
    </row>
    <row r="6" spans="3:16">
      <c r="C6" s="540">
        <v>1</v>
      </c>
      <c r="D6" s="538" t="s">
        <v>464</v>
      </c>
      <c r="E6" s="554">
        <f>'Att O_RPU'!E318</f>
        <v>2016</v>
      </c>
      <c r="F6" s="760">
        <f>'Plant Sched 4'!C15</f>
        <v>109270183</v>
      </c>
      <c r="G6" s="762">
        <v>39428529.43</v>
      </c>
      <c r="H6" s="762">
        <v>20128550.57</v>
      </c>
      <c r="I6" s="376">
        <f>H64</f>
        <v>1928351</v>
      </c>
      <c r="J6" s="376">
        <f>'Plant Sched 4'!C17</f>
        <v>61485431</v>
      </c>
      <c r="K6" s="760">
        <f>'Plant Sched 4'!C18</f>
        <v>140281177</v>
      </c>
      <c r="L6" s="760">
        <f>'Plant Sched 4'!C19</f>
        <v>45720810</v>
      </c>
      <c r="M6" s="376">
        <v>0</v>
      </c>
      <c r="N6" s="324">
        <v>0</v>
      </c>
      <c r="O6" s="472">
        <f t="shared" ref="O6:O18" si="0">F6+J6+K6+L6+M6+N6</f>
        <v>356757601</v>
      </c>
      <c r="P6" s="876"/>
    </row>
    <row r="7" spans="3:16">
      <c r="C7" s="540">
        <v>2</v>
      </c>
      <c r="D7" s="540" t="s">
        <v>453</v>
      </c>
      <c r="E7" s="555">
        <f>'Att O_RPU'!E319</f>
        <v>2017</v>
      </c>
      <c r="F7" s="761">
        <f>F6</f>
        <v>109270183</v>
      </c>
      <c r="G7" s="880">
        <f t="shared" ref="G7:G18" si="1">G6</f>
        <v>39428529.43</v>
      </c>
      <c r="H7" s="880">
        <f t="shared" ref="H7:H18" si="2">H6</f>
        <v>20128550.57</v>
      </c>
      <c r="I7" s="541">
        <f>I6</f>
        <v>1928351</v>
      </c>
      <c r="J7" s="541">
        <f>G7+H7+I7</f>
        <v>61485431</v>
      </c>
      <c r="K7" s="880">
        <f t="shared" ref="K7:K17" si="3">K6</f>
        <v>140281177</v>
      </c>
      <c r="L7" s="880">
        <f t="shared" ref="L7:L17" si="4">L6</f>
        <v>45720810</v>
      </c>
      <c r="M7" s="541">
        <v>0</v>
      </c>
      <c r="N7" s="324">
        <f t="shared" ref="N7:N18" si="5">N6</f>
        <v>0</v>
      </c>
      <c r="O7" s="472">
        <f t="shared" si="0"/>
        <v>356757601</v>
      </c>
      <c r="P7" s="876"/>
    </row>
    <row r="8" spans="3:16" ht="15.75">
      <c r="C8" s="540">
        <v>3</v>
      </c>
      <c r="D8" s="322" t="s">
        <v>454</v>
      </c>
      <c r="E8" s="555">
        <f>E7</f>
        <v>2017</v>
      </c>
      <c r="F8" s="880">
        <f t="shared" ref="F8:F17" si="6">F7</f>
        <v>109270183</v>
      </c>
      <c r="G8" s="880">
        <f t="shared" si="1"/>
        <v>39428529.43</v>
      </c>
      <c r="H8" s="880">
        <f t="shared" si="2"/>
        <v>20128550.57</v>
      </c>
      <c r="I8" s="541">
        <f t="shared" ref="I8:I18" si="7">I7</f>
        <v>1928351</v>
      </c>
      <c r="J8" s="541">
        <f t="shared" ref="J8:J17" si="8">G8+H8+I8</f>
        <v>61485431</v>
      </c>
      <c r="K8" s="880">
        <f t="shared" si="3"/>
        <v>140281177</v>
      </c>
      <c r="L8" s="880">
        <f t="shared" si="4"/>
        <v>45720810</v>
      </c>
      <c r="M8" s="541">
        <v>0</v>
      </c>
      <c r="N8" s="324">
        <f t="shared" si="5"/>
        <v>0</v>
      </c>
      <c r="O8" s="472">
        <f t="shared" si="0"/>
        <v>356757601</v>
      </c>
      <c r="P8" s="876"/>
    </row>
    <row r="9" spans="3:16" s="321" customFormat="1" ht="15.75">
      <c r="C9" s="540">
        <v>4</v>
      </c>
      <c r="D9" s="322" t="s">
        <v>455</v>
      </c>
      <c r="E9" s="555">
        <f t="shared" ref="E9:E18" si="9">E8</f>
        <v>2017</v>
      </c>
      <c r="F9" s="880">
        <f t="shared" si="6"/>
        <v>109270183</v>
      </c>
      <c r="G9" s="880">
        <f t="shared" si="1"/>
        <v>39428529.43</v>
      </c>
      <c r="H9" s="880">
        <f t="shared" si="2"/>
        <v>20128550.57</v>
      </c>
      <c r="I9" s="541">
        <f t="shared" si="7"/>
        <v>1928351</v>
      </c>
      <c r="J9" s="541">
        <f t="shared" si="8"/>
        <v>61485431</v>
      </c>
      <c r="K9" s="880">
        <f t="shared" si="3"/>
        <v>140281177</v>
      </c>
      <c r="L9" s="880">
        <f t="shared" si="4"/>
        <v>45720810</v>
      </c>
      <c r="M9" s="541">
        <v>0</v>
      </c>
      <c r="N9" s="324">
        <f t="shared" si="5"/>
        <v>0</v>
      </c>
      <c r="O9" s="472">
        <f t="shared" si="0"/>
        <v>356757601</v>
      </c>
      <c r="P9" s="876"/>
    </row>
    <row r="10" spans="3:16" s="321" customFormat="1" ht="15.75">
      <c r="C10" s="540">
        <v>5</v>
      </c>
      <c r="D10" s="322" t="s">
        <v>456</v>
      </c>
      <c r="E10" s="555">
        <f t="shared" si="9"/>
        <v>2017</v>
      </c>
      <c r="F10" s="880">
        <f t="shared" si="6"/>
        <v>109270183</v>
      </c>
      <c r="G10" s="880">
        <f t="shared" si="1"/>
        <v>39428529.43</v>
      </c>
      <c r="H10" s="880">
        <f t="shared" si="2"/>
        <v>20128550.57</v>
      </c>
      <c r="I10" s="541">
        <f t="shared" si="7"/>
        <v>1928351</v>
      </c>
      <c r="J10" s="541">
        <f t="shared" si="8"/>
        <v>61485431</v>
      </c>
      <c r="K10" s="880">
        <f t="shared" si="3"/>
        <v>140281177</v>
      </c>
      <c r="L10" s="880">
        <f t="shared" si="4"/>
        <v>45720810</v>
      </c>
      <c r="M10" s="541">
        <v>0</v>
      </c>
      <c r="N10" s="324">
        <f t="shared" si="5"/>
        <v>0</v>
      </c>
      <c r="O10" s="472">
        <f t="shared" si="0"/>
        <v>356757601</v>
      </c>
      <c r="P10" s="876"/>
    </row>
    <row r="11" spans="3:16" ht="15.75">
      <c r="C11" s="540">
        <v>6</v>
      </c>
      <c r="D11" s="322" t="s">
        <v>457</v>
      </c>
      <c r="E11" s="555">
        <f t="shared" si="9"/>
        <v>2017</v>
      </c>
      <c r="F11" s="880">
        <f t="shared" si="6"/>
        <v>109270183</v>
      </c>
      <c r="G11" s="880">
        <f t="shared" si="1"/>
        <v>39428529.43</v>
      </c>
      <c r="H11" s="880">
        <f t="shared" si="2"/>
        <v>20128550.57</v>
      </c>
      <c r="I11" s="541">
        <f t="shared" si="7"/>
        <v>1928351</v>
      </c>
      <c r="J11" s="541">
        <f t="shared" si="8"/>
        <v>61485431</v>
      </c>
      <c r="K11" s="880">
        <f t="shared" si="3"/>
        <v>140281177</v>
      </c>
      <c r="L11" s="880">
        <f t="shared" si="4"/>
        <v>45720810</v>
      </c>
      <c r="M11" s="541">
        <v>0</v>
      </c>
      <c r="N11" s="324">
        <f t="shared" si="5"/>
        <v>0</v>
      </c>
      <c r="O11" s="472">
        <f t="shared" si="0"/>
        <v>356757601</v>
      </c>
      <c r="P11" s="876"/>
    </row>
    <row r="12" spans="3:16" ht="15.75">
      <c r="C12" s="540">
        <v>7</v>
      </c>
      <c r="D12" s="322" t="s">
        <v>458</v>
      </c>
      <c r="E12" s="555">
        <f t="shared" si="9"/>
        <v>2017</v>
      </c>
      <c r="F12" s="880">
        <f t="shared" si="6"/>
        <v>109270183</v>
      </c>
      <c r="G12" s="880">
        <f t="shared" si="1"/>
        <v>39428529.43</v>
      </c>
      <c r="H12" s="880">
        <f t="shared" si="2"/>
        <v>20128550.57</v>
      </c>
      <c r="I12" s="541">
        <f t="shared" si="7"/>
        <v>1928351</v>
      </c>
      <c r="J12" s="541">
        <f t="shared" si="8"/>
        <v>61485431</v>
      </c>
      <c r="K12" s="880">
        <f t="shared" si="3"/>
        <v>140281177</v>
      </c>
      <c r="L12" s="880">
        <f t="shared" si="4"/>
        <v>45720810</v>
      </c>
      <c r="M12" s="541">
        <v>0</v>
      </c>
      <c r="N12" s="324">
        <f t="shared" si="5"/>
        <v>0</v>
      </c>
      <c r="O12" s="472">
        <f t="shared" si="0"/>
        <v>356757601</v>
      </c>
      <c r="P12" s="876"/>
    </row>
    <row r="13" spans="3:16" ht="15.75">
      <c r="C13" s="540">
        <v>8</v>
      </c>
      <c r="D13" s="322" t="s">
        <v>459</v>
      </c>
      <c r="E13" s="555">
        <f t="shared" si="9"/>
        <v>2017</v>
      </c>
      <c r="F13" s="880">
        <f t="shared" si="6"/>
        <v>109270183</v>
      </c>
      <c r="G13" s="880">
        <f t="shared" si="1"/>
        <v>39428529.43</v>
      </c>
      <c r="H13" s="880">
        <f t="shared" si="2"/>
        <v>20128550.57</v>
      </c>
      <c r="I13" s="541">
        <f t="shared" si="7"/>
        <v>1928351</v>
      </c>
      <c r="J13" s="541">
        <f t="shared" si="8"/>
        <v>61485431</v>
      </c>
      <c r="K13" s="880">
        <f t="shared" si="3"/>
        <v>140281177</v>
      </c>
      <c r="L13" s="880">
        <f t="shared" si="4"/>
        <v>45720810</v>
      </c>
      <c r="M13" s="541">
        <v>0</v>
      </c>
      <c r="N13" s="324">
        <f t="shared" si="5"/>
        <v>0</v>
      </c>
      <c r="O13" s="472">
        <f t="shared" si="0"/>
        <v>356757601</v>
      </c>
      <c r="P13" s="876"/>
    </row>
    <row r="14" spans="3:16" ht="15.75">
      <c r="C14" s="540">
        <v>9</v>
      </c>
      <c r="D14" s="322" t="s">
        <v>460</v>
      </c>
      <c r="E14" s="555">
        <f t="shared" si="9"/>
        <v>2017</v>
      </c>
      <c r="F14" s="880">
        <f t="shared" si="6"/>
        <v>109270183</v>
      </c>
      <c r="G14" s="880">
        <f t="shared" si="1"/>
        <v>39428529.43</v>
      </c>
      <c r="H14" s="880">
        <f t="shared" si="2"/>
        <v>20128550.57</v>
      </c>
      <c r="I14" s="541">
        <f t="shared" si="7"/>
        <v>1928351</v>
      </c>
      <c r="J14" s="541">
        <f t="shared" si="8"/>
        <v>61485431</v>
      </c>
      <c r="K14" s="880">
        <f t="shared" si="3"/>
        <v>140281177</v>
      </c>
      <c r="L14" s="880">
        <f t="shared" si="4"/>
        <v>45720810</v>
      </c>
      <c r="M14" s="541">
        <v>0</v>
      </c>
      <c r="N14" s="324">
        <f t="shared" si="5"/>
        <v>0</v>
      </c>
      <c r="O14" s="472">
        <f t="shared" si="0"/>
        <v>356757601</v>
      </c>
      <c r="P14" s="876"/>
    </row>
    <row r="15" spans="3:16" ht="15.75">
      <c r="C15" s="540">
        <v>10</v>
      </c>
      <c r="D15" s="322" t="s">
        <v>461</v>
      </c>
      <c r="E15" s="555">
        <f t="shared" si="9"/>
        <v>2017</v>
      </c>
      <c r="F15" s="880">
        <f t="shared" si="6"/>
        <v>109270183</v>
      </c>
      <c r="G15" s="880">
        <f t="shared" si="1"/>
        <v>39428529.43</v>
      </c>
      <c r="H15" s="880">
        <f t="shared" si="2"/>
        <v>20128550.57</v>
      </c>
      <c r="I15" s="541">
        <f t="shared" si="7"/>
        <v>1928351</v>
      </c>
      <c r="J15" s="541">
        <f t="shared" si="8"/>
        <v>61485431</v>
      </c>
      <c r="K15" s="880">
        <f t="shared" si="3"/>
        <v>140281177</v>
      </c>
      <c r="L15" s="880">
        <f t="shared" si="4"/>
        <v>45720810</v>
      </c>
      <c r="M15" s="541">
        <v>0</v>
      </c>
      <c r="N15" s="324">
        <f t="shared" si="5"/>
        <v>0</v>
      </c>
      <c r="O15" s="472">
        <f t="shared" si="0"/>
        <v>356757601</v>
      </c>
      <c r="P15" s="876"/>
    </row>
    <row r="16" spans="3:16" ht="15.75">
      <c r="C16" s="540">
        <v>11</v>
      </c>
      <c r="D16" s="322" t="s">
        <v>462</v>
      </c>
      <c r="E16" s="555">
        <f t="shared" si="9"/>
        <v>2017</v>
      </c>
      <c r="F16" s="880">
        <f t="shared" si="6"/>
        <v>109270183</v>
      </c>
      <c r="G16" s="880">
        <f t="shared" si="1"/>
        <v>39428529.43</v>
      </c>
      <c r="H16" s="880">
        <f t="shared" si="2"/>
        <v>20128550.57</v>
      </c>
      <c r="I16" s="541">
        <f t="shared" si="7"/>
        <v>1928351</v>
      </c>
      <c r="J16" s="541">
        <f t="shared" si="8"/>
        <v>61485431</v>
      </c>
      <c r="K16" s="880">
        <f t="shared" si="3"/>
        <v>140281177</v>
      </c>
      <c r="L16" s="880">
        <f t="shared" si="4"/>
        <v>45720810</v>
      </c>
      <c r="M16" s="541">
        <v>0</v>
      </c>
      <c r="N16" s="324">
        <f t="shared" si="5"/>
        <v>0</v>
      </c>
      <c r="O16" s="472">
        <f t="shared" si="0"/>
        <v>356757601</v>
      </c>
      <c r="P16" s="876"/>
    </row>
    <row r="17" spans="3:16" ht="15.75">
      <c r="C17" s="540">
        <v>12</v>
      </c>
      <c r="D17" s="322" t="s">
        <v>463</v>
      </c>
      <c r="E17" s="555">
        <f t="shared" si="9"/>
        <v>2017</v>
      </c>
      <c r="F17" s="880">
        <f t="shared" si="6"/>
        <v>109270183</v>
      </c>
      <c r="G17" s="880">
        <f t="shared" si="1"/>
        <v>39428529.43</v>
      </c>
      <c r="H17" s="880">
        <f t="shared" si="2"/>
        <v>20128550.57</v>
      </c>
      <c r="I17" s="541">
        <f t="shared" si="7"/>
        <v>1928351</v>
      </c>
      <c r="J17" s="541">
        <f t="shared" si="8"/>
        <v>61485431</v>
      </c>
      <c r="K17" s="880">
        <f t="shared" si="3"/>
        <v>140281177</v>
      </c>
      <c r="L17" s="880">
        <f t="shared" si="4"/>
        <v>45720810</v>
      </c>
      <c r="M17" s="541">
        <v>0</v>
      </c>
      <c r="N17" s="324">
        <f t="shared" si="5"/>
        <v>0</v>
      </c>
      <c r="O17" s="472">
        <f t="shared" si="0"/>
        <v>356757601</v>
      </c>
      <c r="P17" s="876"/>
    </row>
    <row r="18" spans="3:16" ht="15.75">
      <c r="C18" s="540">
        <v>13</v>
      </c>
      <c r="D18" s="322" t="s">
        <v>464</v>
      </c>
      <c r="E18" s="555">
        <f t="shared" si="9"/>
        <v>2017</v>
      </c>
      <c r="F18" s="761">
        <f>'Plant Sched 4'!G15</f>
        <v>109270183</v>
      </c>
      <c r="G18" s="880">
        <f t="shared" si="1"/>
        <v>39428529.43</v>
      </c>
      <c r="H18" s="880">
        <f t="shared" si="2"/>
        <v>20128550.57</v>
      </c>
      <c r="I18" s="541">
        <f t="shared" si="7"/>
        <v>1928351</v>
      </c>
      <c r="J18" s="541">
        <f>'Plant Sched 4'!G17</f>
        <v>61485431</v>
      </c>
      <c r="K18" s="761">
        <f>'Plant Sched 4'!G18</f>
        <v>140281177</v>
      </c>
      <c r="L18" s="761">
        <f>'Plant Sched 4'!G19</f>
        <v>45720810</v>
      </c>
      <c r="M18" s="541">
        <v>0</v>
      </c>
      <c r="N18" s="324">
        <f t="shared" si="5"/>
        <v>0</v>
      </c>
      <c r="O18" s="472">
        <f t="shared" si="0"/>
        <v>356757601</v>
      </c>
      <c r="P18" s="876"/>
    </row>
    <row r="19" spans="3:16">
      <c r="C19" s="540">
        <v>14</v>
      </c>
      <c r="D19" s="542"/>
      <c r="E19" s="542"/>
      <c r="F19" s="543"/>
      <c r="G19" s="543"/>
      <c r="H19" s="543"/>
      <c r="I19" s="543"/>
      <c r="J19" s="543"/>
      <c r="K19" s="543"/>
      <c r="L19" s="543"/>
      <c r="M19" s="543"/>
      <c r="N19" s="542"/>
      <c r="O19" s="542"/>
      <c r="P19"/>
    </row>
    <row r="20" spans="3:16" ht="17.25">
      <c r="C20" s="540">
        <v>15</v>
      </c>
      <c r="D20" s="520" t="s">
        <v>476</v>
      </c>
      <c r="E20" s="323"/>
      <c r="F20" s="544">
        <f>SUM(F6:F18)/13</f>
        <v>109270183</v>
      </c>
      <c r="G20" s="544">
        <f t="shared" ref="G20" si="10">SUM(G6:G18)/13</f>
        <v>39428529.43</v>
      </c>
      <c r="H20" s="544">
        <f t="shared" ref="H20:O20" si="11">SUM(H6:H18)/13</f>
        <v>20128550.569999997</v>
      </c>
      <c r="I20" s="544">
        <f t="shared" si="11"/>
        <v>1928351</v>
      </c>
      <c r="J20" s="544">
        <f t="shared" si="11"/>
        <v>61485431</v>
      </c>
      <c r="K20" s="544">
        <f t="shared" si="11"/>
        <v>140281177</v>
      </c>
      <c r="L20" s="544">
        <f t="shared" si="11"/>
        <v>45720810</v>
      </c>
      <c r="M20" s="544">
        <f t="shared" si="11"/>
        <v>0</v>
      </c>
      <c r="N20" s="326">
        <f t="shared" si="11"/>
        <v>0</v>
      </c>
      <c r="O20" s="326">
        <f t="shared" si="11"/>
        <v>356757601</v>
      </c>
      <c r="P20"/>
    </row>
    <row r="21" spans="3:16">
      <c r="C21" s="542"/>
      <c r="D21" s="327" t="s">
        <v>477</v>
      </c>
      <c r="E21" s="327"/>
      <c r="F21" s="763" t="s">
        <v>478</v>
      </c>
      <c r="G21" s="374"/>
      <c r="H21" s="763" t="s">
        <v>666</v>
      </c>
      <c r="I21" s="374"/>
      <c r="J21" s="763" t="s">
        <v>479</v>
      </c>
      <c r="K21" s="763" t="s">
        <v>480</v>
      </c>
      <c r="L21" s="763" t="s">
        <v>481</v>
      </c>
      <c r="M21" s="763" t="s">
        <v>481</v>
      </c>
      <c r="N21" s="764" t="s">
        <v>482</v>
      </c>
      <c r="O21" s="327"/>
      <c r="P21"/>
    </row>
    <row r="22" spans="3:16">
      <c r="C22" s="542"/>
      <c r="D22" s="542"/>
      <c r="E22" s="542"/>
      <c r="F22" s="543"/>
      <c r="G22" s="543"/>
      <c r="H22" s="763" t="s">
        <v>667</v>
      </c>
      <c r="I22" s="374"/>
      <c r="J22" s="543"/>
      <c r="K22" s="543"/>
      <c r="L22" s="543"/>
      <c r="M22" s="543"/>
      <c r="N22" s="542"/>
      <c r="O22" s="542"/>
      <c r="P22"/>
    </row>
    <row r="23" spans="3:16" ht="45">
      <c r="C23" s="320" t="s">
        <v>466</v>
      </c>
      <c r="D23" s="320" t="s">
        <v>483</v>
      </c>
      <c r="E23" s="320" t="s">
        <v>468</v>
      </c>
      <c r="F23" s="545" t="s">
        <v>471</v>
      </c>
      <c r="G23" s="545" t="s">
        <v>664</v>
      </c>
      <c r="H23" s="545" t="s">
        <v>665</v>
      </c>
      <c r="I23" s="539" t="s">
        <v>929</v>
      </c>
      <c r="J23" s="545" t="s">
        <v>668</v>
      </c>
      <c r="K23" s="545" t="s">
        <v>451</v>
      </c>
      <c r="L23" s="545" t="s">
        <v>472</v>
      </c>
      <c r="M23" s="545" t="s">
        <v>473</v>
      </c>
      <c r="N23" s="320" t="s">
        <v>474</v>
      </c>
      <c r="O23" s="320" t="s">
        <v>484</v>
      </c>
      <c r="P23"/>
    </row>
    <row r="24" spans="3:16">
      <c r="C24" s="540">
        <v>16</v>
      </c>
      <c r="D24" s="538" t="s">
        <v>464</v>
      </c>
      <c r="E24" s="554">
        <f>E6</f>
        <v>2016</v>
      </c>
      <c r="F24" s="760">
        <v>87585531.859999999</v>
      </c>
      <c r="G24" s="760">
        <v>12340958.734780258</v>
      </c>
      <c r="H24" s="760">
        <v>661955.70000000007</v>
      </c>
      <c r="I24" s="760">
        <v>742074.77379117243</v>
      </c>
      <c r="J24" s="376">
        <f>G24+H24+I24</f>
        <v>13744989.208571428</v>
      </c>
      <c r="K24" s="760">
        <v>68335101.670000002</v>
      </c>
      <c r="L24" s="760">
        <v>29818945.920000002</v>
      </c>
      <c r="M24" s="376">
        <v>0</v>
      </c>
      <c r="N24" s="324">
        <v>0</v>
      </c>
      <c r="O24" s="472">
        <f t="shared" ref="O24:O36" si="12">F24+J24+K24+L24+M24+N24</f>
        <v>199484568.65857142</v>
      </c>
      <c r="P24"/>
    </row>
    <row r="25" spans="3:16">
      <c r="C25" s="540">
        <v>17</v>
      </c>
      <c r="D25" s="540" t="s">
        <v>453</v>
      </c>
      <c r="E25" s="555">
        <f>E7</f>
        <v>2017</v>
      </c>
      <c r="F25" s="761">
        <v>87688316.039166659</v>
      </c>
      <c r="G25" s="880">
        <v>12427641.535463251</v>
      </c>
      <c r="H25" s="880">
        <v>696165.51750000007</v>
      </c>
      <c r="I25" s="880">
        <v>746346.00132246362</v>
      </c>
      <c r="J25" s="376">
        <f t="shared" ref="J25:J36" si="13">G25+H25+I25</f>
        <v>13870153.054285714</v>
      </c>
      <c r="K25" s="880">
        <v>68663622.056666672</v>
      </c>
      <c r="L25" s="880">
        <v>30024461.87916667</v>
      </c>
      <c r="M25" s="546">
        <v>0</v>
      </c>
      <c r="N25" s="324">
        <v>0</v>
      </c>
      <c r="O25" s="472">
        <f t="shared" si="12"/>
        <v>200246553.02928573</v>
      </c>
      <c r="P25"/>
    </row>
    <row r="26" spans="3:16" ht="15.75">
      <c r="C26" s="540">
        <v>18</v>
      </c>
      <c r="D26" s="322" t="s">
        <v>454</v>
      </c>
      <c r="E26" s="555">
        <f t="shared" ref="E26:E36" si="14">E8</f>
        <v>2017</v>
      </c>
      <c r="F26" s="880">
        <v>87791100.218333319</v>
      </c>
      <c r="G26" s="880">
        <v>12514324.336146245</v>
      </c>
      <c r="H26" s="880">
        <v>730375.33500000008</v>
      </c>
      <c r="I26" s="880">
        <v>750617.22885375482</v>
      </c>
      <c r="J26" s="376">
        <f t="shared" si="13"/>
        <v>13995316.9</v>
      </c>
      <c r="K26" s="880">
        <v>68992142.443333343</v>
      </c>
      <c r="L26" s="880">
        <v>30229977.838333338</v>
      </c>
      <c r="M26" s="546">
        <v>0</v>
      </c>
      <c r="N26" s="324">
        <v>0</v>
      </c>
      <c r="O26" s="472">
        <f t="shared" si="12"/>
        <v>201008537.40000001</v>
      </c>
      <c r="P26"/>
    </row>
    <row r="27" spans="3:16" ht="15.75">
      <c r="C27" s="540">
        <v>19</v>
      </c>
      <c r="D27" s="322" t="s">
        <v>455</v>
      </c>
      <c r="E27" s="555">
        <f t="shared" si="14"/>
        <v>2017</v>
      </c>
      <c r="F27" s="880">
        <v>87893884.397499979</v>
      </c>
      <c r="G27" s="880">
        <v>12601007.13682924</v>
      </c>
      <c r="H27" s="880">
        <v>764585.15250000008</v>
      </c>
      <c r="I27" s="880">
        <v>754888.45638504601</v>
      </c>
      <c r="J27" s="376">
        <f t="shared" si="13"/>
        <v>14120480.745714286</v>
      </c>
      <c r="K27" s="880">
        <v>69320662.830000013</v>
      </c>
      <c r="L27" s="880">
        <v>30435493.797500007</v>
      </c>
      <c r="M27" s="546">
        <v>0</v>
      </c>
      <c r="N27" s="324">
        <v>0</v>
      </c>
      <c r="O27" s="472">
        <f t="shared" si="12"/>
        <v>201770521.77071428</v>
      </c>
      <c r="P27"/>
    </row>
    <row r="28" spans="3:16" ht="15.75">
      <c r="C28" s="540">
        <v>20</v>
      </c>
      <c r="D28" s="322" t="s">
        <v>456</v>
      </c>
      <c r="E28" s="555">
        <f t="shared" si="14"/>
        <v>2017</v>
      </c>
      <c r="F28" s="880">
        <v>87996668.576666638</v>
      </c>
      <c r="G28" s="880">
        <v>12687689.937512234</v>
      </c>
      <c r="H28" s="880">
        <v>798794.97000000009</v>
      </c>
      <c r="I28" s="880">
        <v>759159.68391633721</v>
      </c>
      <c r="J28" s="376">
        <f t="shared" si="13"/>
        <v>14245644.591428572</v>
      </c>
      <c r="K28" s="880">
        <v>69649183.216666684</v>
      </c>
      <c r="L28" s="880">
        <v>30641009.756666675</v>
      </c>
      <c r="M28" s="546">
        <v>0</v>
      </c>
      <c r="N28" s="324">
        <v>0</v>
      </c>
      <c r="O28" s="472">
        <f t="shared" si="12"/>
        <v>202532506.14142859</v>
      </c>
      <c r="P28"/>
    </row>
    <row r="29" spans="3:16" ht="15.75">
      <c r="C29" s="540">
        <v>21</v>
      </c>
      <c r="D29" s="322" t="s">
        <v>457</v>
      </c>
      <c r="E29" s="555">
        <f t="shared" si="14"/>
        <v>2017</v>
      </c>
      <c r="F29" s="880">
        <v>88099452.755833298</v>
      </c>
      <c r="G29" s="880">
        <v>12774372.738195229</v>
      </c>
      <c r="H29" s="880">
        <v>833004.78750000009</v>
      </c>
      <c r="I29" s="880">
        <v>763430.9114476284</v>
      </c>
      <c r="J29" s="376">
        <f t="shared" si="13"/>
        <v>14370808.437142856</v>
      </c>
      <c r="K29" s="880">
        <v>69977703.603333354</v>
      </c>
      <c r="L29" s="880">
        <v>30846525.715833344</v>
      </c>
      <c r="M29" s="546">
        <v>0</v>
      </c>
      <c r="N29" s="324">
        <v>0</v>
      </c>
      <c r="O29" s="472">
        <f t="shared" si="12"/>
        <v>203294490.51214284</v>
      </c>
      <c r="P29"/>
    </row>
    <row r="30" spans="3:16" ht="15.75">
      <c r="C30" s="540">
        <v>22</v>
      </c>
      <c r="D30" s="322" t="s">
        <v>458</v>
      </c>
      <c r="E30" s="555">
        <f t="shared" si="14"/>
        <v>2017</v>
      </c>
      <c r="F30" s="880">
        <v>88202236.934999958</v>
      </c>
      <c r="G30" s="880">
        <v>12861055.538878225</v>
      </c>
      <c r="H30" s="880">
        <v>867214.6050000001</v>
      </c>
      <c r="I30" s="880">
        <v>767702.1389789196</v>
      </c>
      <c r="J30" s="376">
        <f t="shared" si="13"/>
        <v>14495972.282857144</v>
      </c>
      <c r="K30" s="880">
        <v>70306223.990000024</v>
      </c>
      <c r="L30" s="880">
        <v>31052041.675000012</v>
      </c>
      <c r="M30" s="546">
        <v>0</v>
      </c>
      <c r="N30" s="324">
        <v>0</v>
      </c>
      <c r="O30" s="472">
        <f t="shared" si="12"/>
        <v>204056474.88285714</v>
      </c>
      <c r="P30"/>
    </row>
    <row r="31" spans="3:16" ht="15.75">
      <c r="C31" s="540">
        <v>23</v>
      </c>
      <c r="D31" s="322" t="s">
        <v>459</v>
      </c>
      <c r="E31" s="555">
        <f t="shared" si="14"/>
        <v>2017</v>
      </c>
      <c r="F31" s="880">
        <v>88305021.114166617</v>
      </c>
      <c r="G31" s="880">
        <v>12947738.33956122</v>
      </c>
      <c r="H31" s="880">
        <v>901424.4225000001</v>
      </c>
      <c r="I31" s="880">
        <v>771973.36651021079</v>
      </c>
      <c r="J31" s="376">
        <f t="shared" si="13"/>
        <v>14621136.12857143</v>
      </c>
      <c r="K31" s="880">
        <v>70634744.376666695</v>
      </c>
      <c r="L31" s="880">
        <v>31257557.63416668</v>
      </c>
      <c r="M31" s="546">
        <v>0</v>
      </c>
      <c r="N31" s="324">
        <v>0</v>
      </c>
      <c r="O31" s="472">
        <f t="shared" si="12"/>
        <v>204818459.25357142</v>
      </c>
      <c r="P31"/>
    </row>
    <row r="32" spans="3:16" ht="15.75">
      <c r="C32" s="540">
        <v>24</v>
      </c>
      <c r="D32" s="322" t="s">
        <v>460</v>
      </c>
      <c r="E32" s="555">
        <f t="shared" si="14"/>
        <v>2017</v>
      </c>
      <c r="F32" s="880">
        <v>88407805.293333277</v>
      </c>
      <c r="G32" s="880">
        <v>13034421.140244214</v>
      </c>
      <c r="H32" s="880">
        <v>935634.24000000011</v>
      </c>
      <c r="I32" s="880">
        <v>776244.59404150199</v>
      </c>
      <c r="J32" s="376">
        <f t="shared" si="13"/>
        <v>14746299.974285716</v>
      </c>
      <c r="K32" s="880">
        <v>70963264.763333365</v>
      </c>
      <c r="L32" s="880">
        <v>31463073.593333349</v>
      </c>
      <c r="M32" s="546">
        <v>0</v>
      </c>
      <c r="N32" s="324">
        <v>0</v>
      </c>
      <c r="O32" s="472">
        <f t="shared" si="12"/>
        <v>205580443.6242857</v>
      </c>
      <c r="P32"/>
    </row>
    <row r="33" spans="3:16" ht="15.75">
      <c r="C33" s="540">
        <v>25</v>
      </c>
      <c r="D33" s="322" t="s">
        <v>461</v>
      </c>
      <c r="E33" s="555">
        <f t="shared" si="14"/>
        <v>2017</v>
      </c>
      <c r="F33" s="880">
        <v>88510589.472499937</v>
      </c>
      <c r="G33" s="880">
        <v>13121103.940927209</v>
      </c>
      <c r="H33" s="880">
        <v>969844.05750000011</v>
      </c>
      <c r="I33" s="880">
        <v>780515.82157279318</v>
      </c>
      <c r="J33" s="376">
        <f t="shared" si="13"/>
        <v>14871463.820000002</v>
      </c>
      <c r="K33" s="880">
        <v>71291785.150000036</v>
      </c>
      <c r="L33" s="880">
        <v>31668589.552500017</v>
      </c>
      <c r="M33" s="546">
        <v>0</v>
      </c>
      <c r="N33" s="324">
        <v>0</v>
      </c>
      <c r="O33" s="472">
        <f t="shared" si="12"/>
        <v>206342427.995</v>
      </c>
      <c r="P33"/>
    </row>
    <row r="34" spans="3:16" ht="15.75">
      <c r="C34" s="540">
        <v>26</v>
      </c>
      <c r="D34" s="322" t="s">
        <v>462</v>
      </c>
      <c r="E34" s="555">
        <f t="shared" si="14"/>
        <v>2017</v>
      </c>
      <c r="F34" s="880">
        <v>88613373.651666597</v>
      </c>
      <c r="G34" s="880">
        <v>13207786.741610203</v>
      </c>
      <c r="H34" s="880">
        <v>1004053.8750000001</v>
      </c>
      <c r="I34" s="880">
        <v>784787.04910408438</v>
      </c>
      <c r="J34" s="376">
        <f t="shared" si="13"/>
        <v>14996627.665714288</v>
      </c>
      <c r="K34" s="880">
        <v>71620305.536666706</v>
      </c>
      <c r="L34" s="880">
        <v>31874105.511666685</v>
      </c>
      <c r="M34" s="546">
        <v>0</v>
      </c>
      <c r="N34" s="324">
        <v>0</v>
      </c>
      <c r="O34" s="472">
        <f t="shared" si="12"/>
        <v>207104412.36571428</v>
      </c>
      <c r="P34"/>
    </row>
    <row r="35" spans="3:16" ht="15.75">
      <c r="C35" s="540">
        <v>27</v>
      </c>
      <c r="D35" s="322" t="s">
        <v>463</v>
      </c>
      <c r="E35" s="555">
        <f t="shared" si="14"/>
        <v>2017</v>
      </c>
      <c r="F35" s="880">
        <v>88716157.830833256</v>
      </c>
      <c r="G35" s="880">
        <v>13294469.542293198</v>
      </c>
      <c r="H35" s="880">
        <v>1038263.6925000001</v>
      </c>
      <c r="I35" s="880">
        <v>789058.27663537557</v>
      </c>
      <c r="J35" s="376">
        <f t="shared" si="13"/>
        <v>15121791.511428574</v>
      </c>
      <c r="K35" s="880">
        <v>71948825.923333377</v>
      </c>
      <c r="L35" s="880">
        <v>32079621.470833354</v>
      </c>
      <c r="M35" s="546">
        <v>0</v>
      </c>
      <c r="N35" s="324">
        <v>0</v>
      </c>
      <c r="O35" s="472">
        <f t="shared" si="12"/>
        <v>207866396.73642856</v>
      </c>
      <c r="P35"/>
    </row>
    <row r="36" spans="3:16" ht="15.75">
      <c r="C36" s="540">
        <v>28</v>
      </c>
      <c r="D36" s="322" t="s">
        <v>464</v>
      </c>
      <c r="E36" s="555">
        <f t="shared" si="14"/>
        <v>2017</v>
      </c>
      <c r="F36" s="880">
        <v>88818942.009999916</v>
      </c>
      <c r="G36" s="880">
        <v>13381152.342976194</v>
      </c>
      <c r="H36" s="880">
        <v>1072473.5100000002</v>
      </c>
      <c r="I36" s="880">
        <v>793329.50416666677</v>
      </c>
      <c r="J36" s="376">
        <f t="shared" si="13"/>
        <v>15246955.35714286</v>
      </c>
      <c r="K36" s="880">
        <v>72277346.310000047</v>
      </c>
      <c r="L36" s="880">
        <v>32285137.430000022</v>
      </c>
      <c r="M36" s="546">
        <v>0</v>
      </c>
      <c r="N36" s="324">
        <v>0</v>
      </c>
      <c r="O36" s="472">
        <f t="shared" si="12"/>
        <v>208628381.10714287</v>
      </c>
      <c r="P36"/>
    </row>
    <row r="37" spans="3:16">
      <c r="C37" s="540">
        <v>29</v>
      </c>
      <c r="D37" s="542"/>
      <c r="E37" s="542"/>
      <c r="F37" s="542"/>
      <c r="G37" s="542"/>
      <c r="H37" s="542"/>
      <c r="I37" s="542"/>
      <c r="J37" s="542"/>
      <c r="K37" s="542"/>
      <c r="L37" s="542"/>
      <c r="M37" s="542"/>
      <c r="N37" s="542"/>
      <c r="O37" s="542"/>
      <c r="P37"/>
    </row>
    <row r="38" spans="3:16" ht="17.25">
      <c r="C38" s="540">
        <v>30</v>
      </c>
      <c r="D38" s="520" t="s">
        <v>476</v>
      </c>
      <c r="E38" s="323"/>
      <c r="F38" s="326">
        <f>SUM(F24:F36)/13</f>
        <v>88202236.934999958</v>
      </c>
      <c r="G38" s="326">
        <f t="shared" ref="G38" si="15">SUM(G24:G36)/13</f>
        <v>12861055.538878223</v>
      </c>
      <c r="H38" s="326">
        <f t="shared" ref="H38:O38" si="16">SUM(H24:H36)/13</f>
        <v>867214.60500000021</v>
      </c>
      <c r="I38" s="326">
        <f t="shared" si="16"/>
        <v>767702.1389789196</v>
      </c>
      <c r="J38" s="326">
        <f t="shared" si="16"/>
        <v>14495972.282857146</v>
      </c>
      <c r="K38" s="326">
        <f t="shared" si="16"/>
        <v>70306223.990000024</v>
      </c>
      <c r="L38" s="326">
        <f t="shared" si="16"/>
        <v>31052041.675000016</v>
      </c>
      <c r="M38" s="326">
        <f t="shared" si="16"/>
        <v>0</v>
      </c>
      <c r="N38" s="326">
        <f t="shared" si="16"/>
        <v>0</v>
      </c>
      <c r="O38" s="326">
        <f t="shared" si="16"/>
        <v>204056474.88285714</v>
      </c>
      <c r="P38"/>
    </row>
    <row r="39" spans="3:16">
      <c r="C39" s="542"/>
      <c r="D39" s="327" t="s">
        <v>477</v>
      </c>
      <c r="E39" s="327"/>
      <c r="F39" s="764" t="s">
        <v>485</v>
      </c>
      <c r="G39" s="764" t="s">
        <v>1000</v>
      </c>
      <c r="H39" s="764" t="s">
        <v>1000</v>
      </c>
      <c r="K39" s="764" t="s">
        <v>486</v>
      </c>
      <c r="L39" s="764" t="s">
        <v>487</v>
      </c>
      <c r="M39" s="764" t="s">
        <v>487</v>
      </c>
      <c r="N39" s="764" t="s">
        <v>488</v>
      </c>
      <c r="O39" s="542"/>
      <c r="P39"/>
    </row>
    <row r="40" spans="3:16" ht="45">
      <c r="C40" s="320" t="s">
        <v>466</v>
      </c>
      <c r="D40" s="320" t="s">
        <v>489</v>
      </c>
      <c r="E40" s="320" t="s">
        <v>468</v>
      </c>
      <c r="F40" s="320" t="s">
        <v>471</v>
      </c>
      <c r="G40" s="320" t="s">
        <v>664</v>
      </c>
      <c r="H40" s="320" t="s">
        <v>665</v>
      </c>
      <c r="I40" s="545" t="s">
        <v>929</v>
      </c>
      <c r="J40" s="320" t="s">
        <v>668</v>
      </c>
      <c r="K40" s="320" t="s">
        <v>451</v>
      </c>
      <c r="L40" s="320" t="s">
        <v>472</v>
      </c>
      <c r="M40" s="320" t="s">
        <v>473</v>
      </c>
      <c r="N40" s="320" t="s">
        <v>474</v>
      </c>
      <c r="O40" s="320" t="s">
        <v>490</v>
      </c>
      <c r="P40"/>
    </row>
    <row r="41" spans="3:16">
      <c r="C41" s="540">
        <v>31</v>
      </c>
      <c r="D41" s="538" t="s">
        <v>464</v>
      </c>
      <c r="E41" s="554" t="str">
        <f>E23</f>
        <v>Year</v>
      </c>
      <c r="F41" s="324">
        <f>F6-F24</f>
        <v>21684651.140000001</v>
      </c>
      <c r="G41" s="324">
        <f t="shared" ref="G41:I53" si="17">G6-G24</f>
        <v>27087570.69521974</v>
      </c>
      <c r="H41" s="324">
        <f t="shared" si="17"/>
        <v>19466594.870000001</v>
      </c>
      <c r="I41" s="324">
        <f t="shared" si="17"/>
        <v>1186276.2262088275</v>
      </c>
      <c r="J41" s="324">
        <f>G41+H41+I41</f>
        <v>47740441.791428573</v>
      </c>
      <c r="K41" s="324">
        <f t="shared" ref="K41:O53" si="18">K6-K24</f>
        <v>71946075.329999998</v>
      </c>
      <c r="L41" s="324">
        <f t="shared" si="18"/>
        <v>15901864.079999998</v>
      </c>
      <c r="M41" s="324">
        <f t="shared" si="18"/>
        <v>0</v>
      </c>
      <c r="N41" s="324">
        <f t="shared" si="18"/>
        <v>0</v>
      </c>
      <c r="O41" s="324">
        <f t="shared" si="18"/>
        <v>157273032.34142858</v>
      </c>
      <c r="P41"/>
    </row>
    <row r="42" spans="3:16">
      <c r="C42" s="540">
        <v>32</v>
      </c>
      <c r="D42" s="540" t="s">
        <v>453</v>
      </c>
      <c r="E42" s="555">
        <f>E24</f>
        <v>2016</v>
      </c>
      <c r="F42" s="324">
        <f t="shared" ref="F42:O53" si="19">F7-F25</f>
        <v>21581866.960833341</v>
      </c>
      <c r="G42" s="324">
        <f t="shared" si="17"/>
        <v>27000887.894536749</v>
      </c>
      <c r="H42" s="324">
        <f t="shared" si="17"/>
        <v>19432385.052500002</v>
      </c>
      <c r="I42" s="324">
        <f t="shared" si="17"/>
        <v>1182004.9986775364</v>
      </c>
      <c r="J42" s="324">
        <f t="shared" ref="J42:J53" si="20">G42+H42+I42</f>
        <v>47615277.945714287</v>
      </c>
      <c r="K42" s="324">
        <f t="shared" si="19"/>
        <v>71617554.943333328</v>
      </c>
      <c r="L42" s="324">
        <f t="shared" si="19"/>
        <v>15696348.12083333</v>
      </c>
      <c r="M42" s="324">
        <f t="shared" si="18"/>
        <v>0</v>
      </c>
      <c r="N42" s="324">
        <f t="shared" si="19"/>
        <v>0</v>
      </c>
      <c r="O42" s="324">
        <f t="shared" si="19"/>
        <v>156511047.97071427</v>
      </c>
      <c r="P42"/>
    </row>
    <row r="43" spans="3:16" ht="15.75">
      <c r="C43" s="540">
        <v>33</v>
      </c>
      <c r="D43" s="322" t="s">
        <v>454</v>
      </c>
      <c r="E43" s="555">
        <f t="shared" ref="E43:E53" si="21">E25</f>
        <v>2017</v>
      </c>
      <c r="F43" s="324">
        <f t="shared" si="19"/>
        <v>21479082.781666681</v>
      </c>
      <c r="G43" s="324">
        <f t="shared" si="17"/>
        <v>26914205.093853757</v>
      </c>
      <c r="H43" s="324">
        <f t="shared" si="17"/>
        <v>19398175.234999999</v>
      </c>
      <c r="I43" s="324">
        <f t="shared" si="17"/>
        <v>1177733.7711462453</v>
      </c>
      <c r="J43" s="324">
        <f t="shared" si="20"/>
        <v>47490114.100000001</v>
      </c>
      <c r="K43" s="324">
        <f t="shared" si="19"/>
        <v>71289034.556666657</v>
      </c>
      <c r="L43" s="324">
        <f t="shared" si="19"/>
        <v>15490832.161666662</v>
      </c>
      <c r="M43" s="324">
        <f t="shared" si="18"/>
        <v>0</v>
      </c>
      <c r="N43" s="324">
        <f t="shared" si="19"/>
        <v>0</v>
      </c>
      <c r="O43" s="324">
        <f t="shared" si="19"/>
        <v>155749063.59999999</v>
      </c>
      <c r="P43"/>
    </row>
    <row r="44" spans="3:16" ht="15.75">
      <c r="C44" s="540">
        <v>34</v>
      </c>
      <c r="D44" s="322" t="s">
        <v>455</v>
      </c>
      <c r="E44" s="555">
        <f t="shared" si="21"/>
        <v>2017</v>
      </c>
      <c r="F44" s="324">
        <f t="shared" si="19"/>
        <v>21376298.602500021</v>
      </c>
      <c r="G44" s="324">
        <f t="shared" si="17"/>
        <v>26827522.293170758</v>
      </c>
      <c r="H44" s="324">
        <f t="shared" si="17"/>
        <v>19363965.4175</v>
      </c>
      <c r="I44" s="324">
        <f t="shared" si="17"/>
        <v>1173462.543614954</v>
      </c>
      <c r="J44" s="324">
        <f t="shared" si="20"/>
        <v>47364950.254285708</v>
      </c>
      <c r="K44" s="324">
        <f t="shared" si="19"/>
        <v>70960514.169999987</v>
      </c>
      <c r="L44" s="324">
        <f t="shared" si="19"/>
        <v>15285316.202499993</v>
      </c>
      <c r="M44" s="324">
        <f t="shared" si="18"/>
        <v>0</v>
      </c>
      <c r="N44" s="324">
        <f t="shared" si="19"/>
        <v>0</v>
      </c>
      <c r="O44" s="324">
        <f t="shared" si="19"/>
        <v>154987079.22928572</v>
      </c>
      <c r="P44"/>
    </row>
    <row r="45" spans="3:16" ht="15.75">
      <c r="C45" s="540">
        <v>35</v>
      </c>
      <c r="D45" s="322" t="s">
        <v>456</v>
      </c>
      <c r="E45" s="555">
        <f t="shared" si="21"/>
        <v>2017</v>
      </c>
      <c r="F45" s="324">
        <f t="shared" si="19"/>
        <v>21273514.423333362</v>
      </c>
      <c r="G45" s="324">
        <f t="shared" si="17"/>
        <v>26740839.492487766</v>
      </c>
      <c r="H45" s="324">
        <f t="shared" si="17"/>
        <v>19329755.600000001</v>
      </c>
      <c r="I45" s="324">
        <f t="shared" si="17"/>
        <v>1169191.3160836627</v>
      </c>
      <c r="J45" s="324">
        <f t="shared" si="20"/>
        <v>47239786.40857143</v>
      </c>
      <c r="K45" s="324">
        <f t="shared" si="19"/>
        <v>70631993.783333316</v>
      </c>
      <c r="L45" s="324">
        <f t="shared" si="19"/>
        <v>15079800.243333325</v>
      </c>
      <c r="M45" s="324">
        <f t="shared" si="18"/>
        <v>0</v>
      </c>
      <c r="N45" s="324">
        <f t="shared" si="19"/>
        <v>0</v>
      </c>
      <c r="O45" s="324">
        <f t="shared" si="19"/>
        <v>154225094.85857141</v>
      </c>
      <c r="P45"/>
    </row>
    <row r="46" spans="3:16" ht="15.75">
      <c r="C46" s="540">
        <v>36</v>
      </c>
      <c r="D46" s="322" t="s">
        <v>457</v>
      </c>
      <c r="E46" s="555">
        <f t="shared" si="21"/>
        <v>2017</v>
      </c>
      <c r="F46" s="324">
        <f t="shared" si="19"/>
        <v>21170730.244166702</v>
      </c>
      <c r="G46" s="324">
        <f t="shared" si="17"/>
        <v>26654156.69180477</v>
      </c>
      <c r="H46" s="324">
        <f t="shared" si="17"/>
        <v>19295545.782499999</v>
      </c>
      <c r="I46" s="324">
        <f t="shared" si="17"/>
        <v>1164920.0885523716</v>
      </c>
      <c r="J46" s="324">
        <f t="shared" si="20"/>
        <v>47114622.562857136</v>
      </c>
      <c r="K46" s="324">
        <f t="shared" si="19"/>
        <v>70303473.396666646</v>
      </c>
      <c r="L46" s="324">
        <f t="shared" si="19"/>
        <v>14874284.284166656</v>
      </c>
      <c r="M46" s="324">
        <f t="shared" si="18"/>
        <v>0</v>
      </c>
      <c r="N46" s="324">
        <f t="shared" si="19"/>
        <v>0</v>
      </c>
      <c r="O46" s="324">
        <f t="shared" si="19"/>
        <v>153463110.48785716</v>
      </c>
      <c r="P46"/>
    </row>
    <row r="47" spans="3:16" ht="15.75">
      <c r="C47" s="540">
        <v>37</v>
      </c>
      <c r="D47" s="322" t="s">
        <v>458</v>
      </c>
      <c r="E47" s="555">
        <f t="shared" si="21"/>
        <v>2017</v>
      </c>
      <c r="F47" s="324">
        <f t="shared" si="19"/>
        <v>21067946.065000042</v>
      </c>
      <c r="G47" s="324">
        <f t="shared" si="17"/>
        <v>26567473.891121775</v>
      </c>
      <c r="H47" s="324">
        <f t="shared" si="17"/>
        <v>19261335.965</v>
      </c>
      <c r="I47" s="324">
        <f t="shared" si="17"/>
        <v>1160648.8610210805</v>
      </c>
      <c r="J47" s="324">
        <f t="shared" si="20"/>
        <v>46989458.717142858</v>
      </c>
      <c r="K47" s="324">
        <f t="shared" si="19"/>
        <v>69974953.009999976</v>
      </c>
      <c r="L47" s="324">
        <f t="shared" si="19"/>
        <v>14668768.324999988</v>
      </c>
      <c r="M47" s="324">
        <f t="shared" si="18"/>
        <v>0</v>
      </c>
      <c r="N47" s="324">
        <f t="shared" si="19"/>
        <v>0</v>
      </c>
      <c r="O47" s="324">
        <f t="shared" si="19"/>
        <v>152701126.11714286</v>
      </c>
      <c r="P47"/>
    </row>
    <row r="48" spans="3:16" ht="15.75">
      <c r="C48" s="540">
        <v>38</v>
      </c>
      <c r="D48" s="322" t="s">
        <v>459</v>
      </c>
      <c r="E48" s="555">
        <f t="shared" si="21"/>
        <v>2017</v>
      </c>
      <c r="F48" s="324">
        <f t="shared" si="19"/>
        <v>20965161.885833383</v>
      </c>
      <c r="G48" s="324">
        <f t="shared" si="17"/>
        <v>26480791.090438779</v>
      </c>
      <c r="H48" s="324">
        <f t="shared" si="17"/>
        <v>19227126.147500001</v>
      </c>
      <c r="I48" s="324">
        <f t="shared" si="17"/>
        <v>1156377.6334897892</v>
      </c>
      <c r="J48" s="324">
        <f t="shared" si="20"/>
        <v>46864294.871428564</v>
      </c>
      <c r="K48" s="324">
        <f t="shared" si="19"/>
        <v>69646432.623333305</v>
      </c>
      <c r="L48" s="324">
        <f t="shared" si="19"/>
        <v>14463252.36583332</v>
      </c>
      <c r="M48" s="324">
        <f t="shared" si="18"/>
        <v>0</v>
      </c>
      <c r="N48" s="324">
        <f t="shared" si="19"/>
        <v>0</v>
      </c>
      <c r="O48" s="324">
        <f t="shared" si="19"/>
        <v>151939141.74642858</v>
      </c>
      <c r="P48"/>
    </row>
    <row r="49" spans="3:16" ht="15.75">
      <c r="C49" s="540">
        <v>39</v>
      </c>
      <c r="D49" s="322" t="s">
        <v>460</v>
      </c>
      <c r="E49" s="555">
        <f t="shared" si="21"/>
        <v>2017</v>
      </c>
      <c r="F49" s="324">
        <f t="shared" si="19"/>
        <v>20862377.706666723</v>
      </c>
      <c r="G49" s="324">
        <f t="shared" si="17"/>
        <v>26394108.289755784</v>
      </c>
      <c r="H49" s="324">
        <f t="shared" si="17"/>
        <v>19192916.330000002</v>
      </c>
      <c r="I49" s="324">
        <f t="shared" si="17"/>
        <v>1152106.4059584979</v>
      </c>
      <c r="J49" s="324">
        <f t="shared" si="20"/>
        <v>46739131.025714286</v>
      </c>
      <c r="K49" s="324">
        <f t="shared" si="19"/>
        <v>69317912.236666635</v>
      </c>
      <c r="L49" s="324">
        <f t="shared" si="19"/>
        <v>14257736.406666651</v>
      </c>
      <c r="M49" s="324">
        <f t="shared" si="18"/>
        <v>0</v>
      </c>
      <c r="N49" s="324">
        <f t="shared" si="19"/>
        <v>0</v>
      </c>
      <c r="O49" s="324">
        <f t="shared" si="19"/>
        <v>151177157.3757143</v>
      </c>
      <c r="P49"/>
    </row>
    <row r="50" spans="3:16" ht="15.75">
      <c r="C50" s="540">
        <v>40</v>
      </c>
      <c r="D50" s="322" t="s">
        <v>461</v>
      </c>
      <c r="E50" s="555">
        <f t="shared" si="21"/>
        <v>2017</v>
      </c>
      <c r="F50" s="324">
        <f t="shared" si="19"/>
        <v>20759593.527500063</v>
      </c>
      <c r="G50" s="324">
        <f t="shared" si="17"/>
        <v>26307425.489072792</v>
      </c>
      <c r="H50" s="324">
        <f t="shared" si="17"/>
        <v>19158706.512499999</v>
      </c>
      <c r="I50" s="324">
        <f t="shared" si="17"/>
        <v>1147835.1784272068</v>
      </c>
      <c r="J50" s="324">
        <f t="shared" si="20"/>
        <v>46613967.179999992</v>
      </c>
      <c r="K50" s="324">
        <f t="shared" si="19"/>
        <v>68989391.849999964</v>
      </c>
      <c r="L50" s="324">
        <f t="shared" si="19"/>
        <v>14052220.447499983</v>
      </c>
      <c r="M50" s="324">
        <f t="shared" si="18"/>
        <v>0</v>
      </c>
      <c r="N50" s="324">
        <f t="shared" si="19"/>
        <v>0</v>
      </c>
      <c r="O50" s="324">
        <f t="shared" si="19"/>
        <v>150415173.005</v>
      </c>
      <c r="P50"/>
    </row>
    <row r="51" spans="3:16" ht="15.75">
      <c r="C51" s="540">
        <v>41</v>
      </c>
      <c r="D51" s="322" t="s">
        <v>462</v>
      </c>
      <c r="E51" s="555">
        <f t="shared" si="21"/>
        <v>2017</v>
      </c>
      <c r="F51" s="324">
        <f t="shared" si="19"/>
        <v>20656809.348333403</v>
      </c>
      <c r="G51" s="324">
        <f t="shared" si="17"/>
        <v>26220742.688389797</v>
      </c>
      <c r="H51" s="324">
        <f t="shared" si="17"/>
        <v>19124496.695</v>
      </c>
      <c r="I51" s="324">
        <f t="shared" si="17"/>
        <v>1143563.9508959157</v>
      </c>
      <c r="J51" s="324">
        <f t="shared" si="20"/>
        <v>46488803.334285714</v>
      </c>
      <c r="K51" s="324">
        <f t="shared" si="19"/>
        <v>68660871.463333294</v>
      </c>
      <c r="L51" s="324">
        <f t="shared" si="19"/>
        <v>13846704.488333315</v>
      </c>
      <c r="M51" s="324">
        <f t="shared" si="18"/>
        <v>0</v>
      </c>
      <c r="N51" s="324">
        <f t="shared" si="19"/>
        <v>0</v>
      </c>
      <c r="O51" s="324">
        <f t="shared" si="19"/>
        <v>149653188.63428572</v>
      </c>
      <c r="P51"/>
    </row>
    <row r="52" spans="3:16" ht="15.75">
      <c r="C52" s="540">
        <v>42</v>
      </c>
      <c r="D52" s="322" t="s">
        <v>463</v>
      </c>
      <c r="E52" s="555">
        <f t="shared" si="21"/>
        <v>2017</v>
      </c>
      <c r="F52" s="324">
        <f t="shared" si="19"/>
        <v>20554025.169166744</v>
      </c>
      <c r="G52" s="324">
        <f t="shared" si="17"/>
        <v>26134059.887706801</v>
      </c>
      <c r="H52" s="324">
        <f t="shared" si="17"/>
        <v>19090286.877500001</v>
      </c>
      <c r="I52" s="324">
        <f t="shared" si="17"/>
        <v>1139292.7233646244</v>
      </c>
      <c r="J52" s="324">
        <f t="shared" si="20"/>
        <v>46363639.48857142</v>
      </c>
      <c r="K52" s="324">
        <f t="shared" si="19"/>
        <v>68332351.076666623</v>
      </c>
      <c r="L52" s="324">
        <f t="shared" si="19"/>
        <v>13641188.529166646</v>
      </c>
      <c r="M52" s="324">
        <f t="shared" si="18"/>
        <v>0</v>
      </c>
      <c r="N52" s="324">
        <f t="shared" si="19"/>
        <v>0</v>
      </c>
      <c r="O52" s="324">
        <f t="shared" si="19"/>
        <v>148891204.26357144</v>
      </c>
      <c r="P52"/>
    </row>
    <row r="53" spans="3:16" ht="15.75">
      <c r="C53" s="540">
        <v>43</v>
      </c>
      <c r="D53" s="322" t="s">
        <v>464</v>
      </c>
      <c r="E53" s="555">
        <f t="shared" si="21"/>
        <v>2017</v>
      </c>
      <c r="F53" s="325">
        <f t="shared" si="19"/>
        <v>20451240.990000084</v>
      </c>
      <c r="G53" s="325">
        <f t="shared" si="17"/>
        <v>26047377.087023806</v>
      </c>
      <c r="H53" s="325">
        <f t="shared" si="17"/>
        <v>19056077.059999999</v>
      </c>
      <c r="I53" s="325">
        <f t="shared" si="17"/>
        <v>1135021.4958333331</v>
      </c>
      <c r="J53" s="325">
        <f t="shared" si="20"/>
        <v>46238475.642857134</v>
      </c>
      <c r="K53" s="325">
        <f t="shared" si="19"/>
        <v>68003830.689999953</v>
      </c>
      <c r="L53" s="325">
        <f t="shared" si="19"/>
        <v>13435672.569999978</v>
      </c>
      <c r="M53" s="325">
        <f t="shared" si="18"/>
        <v>0</v>
      </c>
      <c r="N53" s="325">
        <f t="shared" si="19"/>
        <v>0</v>
      </c>
      <c r="O53" s="325">
        <f t="shared" si="19"/>
        <v>148129219.89285713</v>
      </c>
      <c r="P53"/>
    </row>
    <row r="54" spans="3:16">
      <c r="C54" s="540">
        <v>44</v>
      </c>
      <c r="D54" s="542"/>
      <c r="E54" s="542"/>
      <c r="F54" s="542"/>
      <c r="G54" s="542"/>
      <c r="H54" s="542"/>
      <c r="I54" s="542"/>
      <c r="J54" s="542"/>
      <c r="K54" s="542"/>
      <c r="L54" s="542"/>
      <c r="M54" s="542"/>
      <c r="N54" s="542"/>
      <c r="O54" s="542"/>
      <c r="P54"/>
    </row>
    <row r="55" spans="3:16" ht="17.25">
      <c r="C55" s="540">
        <v>45</v>
      </c>
      <c r="D55" s="520" t="s">
        <v>476</v>
      </c>
      <c r="E55" s="323"/>
      <c r="F55" s="326">
        <f>SUM(F41:F53)/13</f>
        <v>21067946.065000039</v>
      </c>
      <c r="G55" s="326">
        <f t="shared" ref="G55:J55" si="22">SUM(G41:G53)/13</f>
        <v>26567473.891121779</v>
      </c>
      <c r="H55" s="326">
        <f t="shared" si="22"/>
        <v>19261335.965</v>
      </c>
      <c r="I55" s="326">
        <f t="shared" ref="I55" si="23">SUM(I41:I53)/13</f>
        <v>1160648.8610210805</v>
      </c>
      <c r="J55" s="326">
        <f t="shared" si="22"/>
        <v>46989458.717142858</v>
      </c>
      <c r="K55" s="326">
        <f t="shared" ref="K55:O55" si="24">SUM(K41:K53)/13</f>
        <v>69974953.009999976</v>
      </c>
      <c r="L55" s="326">
        <f t="shared" si="24"/>
        <v>14668768.324999988</v>
      </c>
      <c r="M55" s="326">
        <f t="shared" si="24"/>
        <v>0</v>
      </c>
      <c r="N55" s="326">
        <f t="shared" si="24"/>
        <v>0</v>
      </c>
      <c r="O55" s="326">
        <f t="shared" si="24"/>
        <v>152701126.11714286</v>
      </c>
      <c r="P55"/>
    </row>
    <row r="56" spans="3:16">
      <c r="C56" s="542"/>
      <c r="D56" s="542"/>
      <c r="E56" s="542"/>
      <c r="F56" s="542"/>
      <c r="G56" s="542"/>
      <c r="H56" s="542"/>
      <c r="I56" s="542"/>
      <c r="J56" s="542"/>
      <c r="K56" s="542"/>
      <c r="L56" s="542"/>
      <c r="M56" s="542"/>
      <c r="N56" s="542"/>
      <c r="O56" s="542"/>
      <c r="P56"/>
    </row>
    <row r="57" spans="3:16">
      <c r="C57" s="542"/>
      <c r="D57" s="542"/>
      <c r="E57" s="542"/>
      <c r="F57" s="542"/>
      <c r="G57" s="542"/>
      <c r="H57" s="542"/>
      <c r="I57" s="542"/>
      <c r="J57" s="542"/>
      <c r="K57" s="542"/>
      <c r="L57" s="542"/>
      <c r="M57" s="542"/>
      <c r="N57" s="542"/>
      <c r="O57" s="542"/>
      <c r="P57"/>
    </row>
    <row r="58" spans="3:16" ht="15.75" thickBot="1">
      <c r="C58" s="542"/>
      <c r="D58" s="542"/>
      <c r="E58" s="542"/>
      <c r="F58" s="542"/>
      <c r="G58" s="542"/>
      <c r="H58" s="542"/>
      <c r="I58" s="542"/>
      <c r="J58" s="542"/>
      <c r="K58" s="542"/>
      <c r="L58" s="542"/>
      <c r="M58" s="542"/>
      <c r="N58" s="542"/>
      <c r="O58" s="542"/>
      <c r="P58"/>
    </row>
    <row r="59" spans="3:16" ht="15.75" thickBot="1">
      <c r="C59" s="542"/>
      <c r="D59" s="547" t="str">
        <f>'Att O_RPU'!$E$319&amp;" Att GG Transmission Depreciation"</f>
        <v>2017 Att GG Transmission Depreciation</v>
      </c>
      <c r="E59" s="548"/>
      <c r="F59" s="548"/>
      <c r="G59" s="548"/>
      <c r="H59" s="549">
        <f>H36-H24</f>
        <v>410517.81000000017</v>
      </c>
      <c r="I59" s="550"/>
      <c r="J59" s="542"/>
      <c r="K59" s="542"/>
      <c r="L59" s="542"/>
      <c r="M59" s="542"/>
      <c r="N59" s="542"/>
      <c r="O59" s="542"/>
      <c r="P59"/>
    </row>
    <row r="60" spans="3:16">
      <c r="C60" s="542"/>
      <c r="D60" s="542"/>
      <c r="E60" s="542"/>
      <c r="F60" s="542"/>
      <c r="G60" s="542"/>
      <c r="H60" s="542"/>
      <c r="I60" s="542"/>
      <c r="J60" s="542"/>
      <c r="K60" s="542"/>
      <c r="L60" s="542"/>
      <c r="M60" s="542"/>
      <c r="N60" s="542"/>
      <c r="O60" s="542"/>
    </row>
    <row r="61" spans="3:16">
      <c r="C61" s="542"/>
      <c r="D61" s="551" t="s">
        <v>864</v>
      </c>
      <c r="E61" s="551"/>
      <c r="F61" s="551"/>
      <c r="G61" s="551"/>
      <c r="H61" s="551"/>
      <c r="I61" s="551"/>
      <c r="J61" s="542"/>
      <c r="K61" s="542"/>
      <c r="L61" s="542"/>
      <c r="M61" s="542"/>
      <c r="N61" s="542"/>
      <c r="O61" s="542"/>
    </row>
    <row r="62" spans="3:16">
      <c r="C62" s="542"/>
      <c r="D62" s="551"/>
      <c r="E62" s="542"/>
      <c r="F62" s="551"/>
      <c r="G62" s="552" t="s">
        <v>860</v>
      </c>
      <c r="H62" s="557">
        <v>1590071</v>
      </c>
      <c r="I62" s="551"/>
      <c r="J62" s="542"/>
      <c r="K62" s="542"/>
      <c r="L62" s="542"/>
      <c r="M62" s="542"/>
      <c r="N62" s="542"/>
      <c r="O62" s="542"/>
    </row>
    <row r="63" spans="3:16">
      <c r="C63" s="542"/>
      <c r="D63" s="551"/>
      <c r="E63" s="542"/>
      <c r="F63" s="551"/>
      <c r="G63" s="552" t="s">
        <v>861</v>
      </c>
      <c r="H63" s="558">
        <v>338280</v>
      </c>
      <c r="I63" s="551"/>
      <c r="J63" s="542"/>
      <c r="K63" s="542"/>
      <c r="L63" s="542"/>
      <c r="M63" s="542"/>
      <c r="N63" s="542"/>
      <c r="O63" s="542"/>
    </row>
    <row r="64" spans="3:16">
      <c r="C64" s="542"/>
      <c r="D64" s="551"/>
      <c r="E64" s="551"/>
      <c r="F64" s="551"/>
      <c r="G64" s="551"/>
      <c r="H64" s="553">
        <f>SUM(H62:H63)</f>
        <v>1928351</v>
      </c>
      <c r="I64" s="551"/>
      <c r="J64" s="542"/>
      <c r="K64" s="542"/>
      <c r="L64" s="542"/>
      <c r="M64" s="542"/>
      <c r="N64" s="542"/>
      <c r="O64" s="542"/>
    </row>
    <row r="65" spans="5:8">
      <c r="E65" s="852"/>
    </row>
    <row r="66" spans="5:8">
      <c r="G66" s="849"/>
      <c r="H66" s="848"/>
    </row>
  </sheetData>
  <mergeCells count="3">
    <mergeCell ref="C1:O1"/>
    <mergeCell ref="C2:O2"/>
    <mergeCell ref="C3:O3"/>
  </mergeCells>
  <printOptions horizontalCentered="1" verticalCentered="1"/>
  <pageMargins left="0.2" right="0.2" top="0.25" bottom="0.25" header="0.3" footer="0.3"/>
  <pageSetup scale="53" orientation="landscape" r:id="rId1"/>
  <headerFooter>
    <oddHeader>&amp;L&amp;"Arial MT,Bold"Rochester Public Utilities
2017 Work Papers&amp;R&amp;"Arial MT,Bold"Exhibit RPU-8
Page 7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sqref="A1:D1"/>
    </sheetView>
  </sheetViews>
  <sheetFormatPr defaultColWidth="8.88671875" defaultRowHeight="15"/>
  <cols>
    <col min="1" max="1" width="8.88671875" style="317"/>
    <col min="2" max="2" width="26.88671875" style="317" customWidth="1"/>
    <col min="3" max="3" width="17.44140625" style="317" customWidth="1"/>
    <col min="4" max="4" width="6.6640625" style="317" customWidth="1"/>
    <col min="5" max="5" width="7.77734375" style="317" customWidth="1"/>
    <col min="6" max="16384" width="8.88671875" style="317"/>
  </cols>
  <sheetData>
    <row r="3" spans="1:5" ht="6" customHeight="1"/>
    <row r="4" spans="1:5" ht="6" customHeight="1"/>
    <row r="5" spans="1:5" ht="15.75">
      <c r="A5" s="997" t="str">
        <f>Coversheet!B3</f>
        <v>Rochester Public Utilities</v>
      </c>
      <c r="B5" s="997"/>
      <c r="C5" s="997"/>
      <c r="D5" s="997"/>
      <c r="E5" s="997"/>
    </row>
    <row r="6" spans="1:5" ht="15.75">
      <c r="A6" s="997" t="s">
        <v>940</v>
      </c>
      <c r="B6" s="997"/>
      <c r="C6" s="997"/>
      <c r="D6" s="997"/>
      <c r="E6" s="997"/>
    </row>
    <row r="7" spans="1:5" ht="15.75">
      <c r="A7" s="997" t="str">
        <f>IF('Att O_RPU'!$I$19&gt;0.5,CONCATENATE("FLTY Forecast for 12 Months Ended December 31, ",'Att O_RPU'!E319),CONCATENATE("True-up Actual for 12 Months Ended December 31, ",'Att O_RPU'!E319))</f>
        <v>FLTY Forecast for 12 Months Ended December 31, 2017</v>
      </c>
      <c r="B7" s="997"/>
      <c r="C7" s="997"/>
      <c r="D7" s="997"/>
      <c r="E7" s="997"/>
    </row>
    <row r="10" spans="1:5" ht="18.75" customHeight="1">
      <c r="A10" s="644"/>
      <c r="B10" s="649" t="s">
        <v>491</v>
      </c>
      <c r="C10" s="644"/>
    </row>
    <row r="11" spans="1:5" ht="15.75">
      <c r="A11" s="644"/>
      <c r="B11" s="650" t="s">
        <v>492</v>
      </c>
      <c r="C11" s="647">
        <v>0</v>
      </c>
    </row>
    <row r="12" spans="1:5" ht="15.75">
      <c r="A12" s="644"/>
      <c r="B12" s="650" t="s">
        <v>493</v>
      </c>
      <c r="C12" s="647">
        <v>0</v>
      </c>
    </row>
    <row r="13" spans="1:5" ht="15.75">
      <c r="A13" s="644"/>
      <c r="B13" s="650" t="s">
        <v>494</v>
      </c>
      <c r="C13" s="647">
        <v>0</v>
      </c>
    </row>
    <row r="14" spans="1:5" ht="15.75">
      <c r="A14" s="644"/>
      <c r="B14" s="650" t="s">
        <v>495</v>
      </c>
      <c r="C14" s="647">
        <v>0</v>
      </c>
    </row>
    <row r="15" spans="1:5" ht="15.75">
      <c r="A15" s="644"/>
      <c r="B15" s="650" t="s">
        <v>496</v>
      </c>
      <c r="C15" s="648">
        <v>0</v>
      </c>
    </row>
    <row r="16" spans="1:5" ht="15.75">
      <c r="A16" s="644"/>
      <c r="B16" s="644"/>
      <c r="C16" s="647"/>
    </row>
    <row r="17" spans="1:3" ht="15.75">
      <c r="A17" s="644"/>
      <c r="B17" s="650" t="s">
        <v>497</v>
      </c>
      <c r="C17" s="647">
        <f>SUM(C11:C15)</f>
        <v>0</v>
      </c>
    </row>
    <row r="18" spans="1:3" ht="5.25" customHeight="1">
      <c r="A18" s="644"/>
      <c r="B18" s="644"/>
      <c r="C18" s="644"/>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2017 Work Papers&amp;R&amp;"Arial MT,Bold"Exhibit RPU-8
Page 8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topLeftCell="A2" zoomScaleNormal="100" workbookViewId="0">
      <selection sqref="A1:D1"/>
    </sheetView>
  </sheetViews>
  <sheetFormatPr defaultColWidth="8.88671875" defaultRowHeight="15"/>
  <cols>
    <col min="1" max="1" width="6.21875" style="317" customWidth="1"/>
    <col min="2" max="2" width="8.88671875" style="317"/>
    <col min="3" max="3" width="19.109375" style="317" customWidth="1"/>
    <col min="4" max="4" width="6.21875" style="317" customWidth="1"/>
    <col min="5" max="5" width="23.33203125" style="317" customWidth="1"/>
    <col min="6" max="16384" width="8.88671875" style="317"/>
  </cols>
  <sheetData>
    <row r="3" spans="2:6" ht="15.75">
      <c r="B3" s="997" t="str">
        <f>Coversheet!B3</f>
        <v>Rochester Public Utilities</v>
      </c>
      <c r="C3" s="997"/>
      <c r="D3" s="997"/>
      <c r="E3" s="997"/>
      <c r="F3" s="997"/>
    </row>
    <row r="4" spans="2:6" ht="15.75">
      <c r="B4" s="997" t="s">
        <v>936</v>
      </c>
      <c r="C4" s="997"/>
      <c r="D4" s="997"/>
      <c r="E4" s="997"/>
      <c r="F4" s="997"/>
    </row>
    <row r="5" spans="2:6" ht="15.75">
      <c r="B5" s="997" t="str">
        <f>IF('Att O_RPU'!$I$19&gt;0.5,CONCATENATE("FLTY Forecast for 12 Months Ended December 31, ",'Att O_RPU'!E319),CONCATENATE("True-up Actual for 12 Months Ended December 31, ",'Att O_RPU'!E319))</f>
        <v>FLTY Forecast for 12 Months Ended December 31, 2017</v>
      </c>
      <c r="C5" s="997"/>
      <c r="D5" s="997"/>
      <c r="E5" s="997"/>
      <c r="F5" s="997"/>
    </row>
    <row r="6" spans="2:6" ht="15.75">
      <c r="B6" s="318"/>
      <c r="C6" s="318"/>
      <c r="D6" s="318"/>
      <c r="E6" s="319"/>
    </row>
    <row r="7" spans="2:6" s="321" customFormat="1" ht="50.65" customHeight="1">
      <c r="B7" s="657" t="s">
        <v>466</v>
      </c>
      <c r="C7" s="657" t="s">
        <v>467</v>
      </c>
      <c r="D7" s="657" t="s">
        <v>468</v>
      </c>
      <c r="E7" s="657" t="s">
        <v>498</v>
      </c>
      <c r="F7" s="641"/>
    </row>
    <row r="8" spans="2:6" s="321" customFormat="1" ht="15.75">
      <c r="B8" s="642">
        <v>1</v>
      </c>
      <c r="C8" s="642" t="s">
        <v>464</v>
      </c>
      <c r="D8" s="639">
        <f>'Att O_RPU'!E318</f>
        <v>2016</v>
      </c>
      <c r="E8" s="643">
        <v>0</v>
      </c>
      <c r="F8" s="641"/>
    </row>
    <row r="9" spans="2:6" ht="15.75">
      <c r="B9" s="630">
        <v>2</v>
      </c>
      <c r="C9" s="630" t="s">
        <v>453</v>
      </c>
      <c r="D9" s="640">
        <f>'Att O_RPU'!E319</f>
        <v>2017</v>
      </c>
      <c r="E9" s="643">
        <v>0</v>
      </c>
      <c r="F9" s="644"/>
    </row>
    <row r="10" spans="2:6" ht="15.75">
      <c r="B10" s="630">
        <v>3</v>
      </c>
      <c r="C10" s="630" t="s">
        <v>454</v>
      </c>
      <c r="D10" s="640">
        <f>D9</f>
        <v>2017</v>
      </c>
      <c r="E10" s="643">
        <v>0</v>
      </c>
      <c r="F10" s="644"/>
    </row>
    <row r="11" spans="2:6" ht="15.75">
      <c r="B11" s="630">
        <v>4</v>
      </c>
      <c r="C11" s="630" t="s">
        <v>455</v>
      </c>
      <c r="D11" s="640">
        <f t="shared" ref="D11:D20" si="0">D10</f>
        <v>2017</v>
      </c>
      <c r="E11" s="643">
        <v>0</v>
      </c>
      <c r="F11" s="644"/>
    </row>
    <row r="12" spans="2:6" ht="15.75">
      <c r="B12" s="630">
        <v>5</v>
      </c>
      <c r="C12" s="630" t="s">
        <v>456</v>
      </c>
      <c r="D12" s="640">
        <f t="shared" si="0"/>
        <v>2017</v>
      </c>
      <c r="E12" s="643">
        <v>0</v>
      </c>
      <c r="F12" s="644"/>
    </row>
    <row r="13" spans="2:6" ht="15.75">
      <c r="B13" s="630">
        <v>6</v>
      </c>
      <c r="C13" s="630" t="s">
        <v>457</v>
      </c>
      <c r="D13" s="640">
        <f t="shared" si="0"/>
        <v>2017</v>
      </c>
      <c r="E13" s="643">
        <v>0</v>
      </c>
      <c r="F13" s="644"/>
    </row>
    <row r="14" spans="2:6" ht="15.75">
      <c r="B14" s="630">
        <v>7</v>
      </c>
      <c r="C14" s="630" t="s">
        <v>458</v>
      </c>
      <c r="D14" s="640">
        <f t="shared" si="0"/>
        <v>2017</v>
      </c>
      <c r="E14" s="643">
        <v>0</v>
      </c>
      <c r="F14" s="644"/>
    </row>
    <row r="15" spans="2:6" ht="15.75">
      <c r="B15" s="630">
        <v>8</v>
      </c>
      <c r="C15" s="630" t="s">
        <v>459</v>
      </c>
      <c r="D15" s="640">
        <f t="shared" si="0"/>
        <v>2017</v>
      </c>
      <c r="E15" s="643">
        <v>0</v>
      </c>
      <c r="F15" s="644"/>
    </row>
    <row r="16" spans="2:6" ht="15.75">
      <c r="B16" s="630">
        <v>9</v>
      </c>
      <c r="C16" s="630" t="s">
        <v>460</v>
      </c>
      <c r="D16" s="640">
        <f t="shared" si="0"/>
        <v>2017</v>
      </c>
      <c r="E16" s="643">
        <v>0</v>
      </c>
      <c r="F16" s="644"/>
    </row>
    <row r="17" spans="2:6" ht="15.75">
      <c r="B17" s="630">
        <v>10</v>
      </c>
      <c r="C17" s="630" t="s">
        <v>461</v>
      </c>
      <c r="D17" s="640">
        <f t="shared" si="0"/>
        <v>2017</v>
      </c>
      <c r="E17" s="643">
        <v>0</v>
      </c>
      <c r="F17" s="644"/>
    </row>
    <row r="18" spans="2:6" ht="15.75">
      <c r="B18" s="630">
        <v>11</v>
      </c>
      <c r="C18" s="630" t="s">
        <v>462</v>
      </c>
      <c r="D18" s="640">
        <f t="shared" si="0"/>
        <v>2017</v>
      </c>
      <c r="E18" s="643">
        <v>0</v>
      </c>
      <c r="F18" s="644"/>
    </row>
    <row r="19" spans="2:6" ht="15.75">
      <c r="B19" s="630">
        <v>12</v>
      </c>
      <c r="C19" s="630" t="s">
        <v>463</v>
      </c>
      <c r="D19" s="640">
        <f t="shared" si="0"/>
        <v>2017</v>
      </c>
      <c r="E19" s="643">
        <v>0</v>
      </c>
      <c r="F19" s="644"/>
    </row>
    <row r="20" spans="2:6" ht="15.75">
      <c r="B20" s="630">
        <v>13</v>
      </c>
      <c r="C20" s="630" t="s">
        <v>464</v>
      </c>
      <c r="D20" s="640">
        <f t="shared" si="0"/>
        <v>2017</v>
      </c>
      <c r="E20" s="645">
        <v>0</v>
      </c>
      <c r="F20" s="644"/>
    </row>
    <row r="21" spans="2:6" ht="15.75">
      <c r="B21" s="630">
        <v>14</v>
      </c>
      <c r="C21" s="644"/>
      <c r="D21" s="644"/>
      <c r="E21" s="644"/>
      <c r="F21" s="644"/>
    </row>
    <row r="22" spans="2:6" ht="15.75">
      <c r="B22" s="630">
        <v>15</v>
      </c>
      <c r="C22" s="633" t="s">
        <v>476</v>
      </c>
      <c r="D22" s="620"/>
      <c r="E22" s="646">
        <f>SUM(E8:E20)/13</f>
        <v>0</v>
      </c>
      <c r="F22" s="644"/>
    </row>
    <row r="23" spans="2:6" ht="15.75">
      <c r="B23" s="644"/>
      <c r="C23" s="644"/>
      <c r="D23" s="644"/>
      <c r="E23" s="644"/>
      <c r="F23" s="644"/>
    </row>
  </sheetData>
  <mergeCells count="3">
    <mergeCell ref="B3:F3"/>
    <mergeCell ref="B4:F4"/>
    <mergeCell ref="B5:F5"/>
  </mergeCells>
  <pageMargins left="0.7" right="0.45" top="0.75" bottom="0.5" header="0.3" footer="0.3"/>
  <pageSetup scale="105" orientation="portrait" r:id="rId1"/>
  <headerFooter>
    <oddHeader>&amp;L&amp;"Arial MT,Bold"Rochester Public Utilities
2017 Work Papers&amp;R&amp;"Arial MT,Bold"Exhibit RPU-8
Page 9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J24"/>
  <sheetViews>
    <sheetView showGridLines="0" zoomScaleNormal="100" workbookViewId="0">
      <selection activeCell="I8" sqref="I8"/>
    </sheetView>
  </sheetViews>
  <sheetFormatPr defaultColWidth="8.88671875" defaultRowHeight="15"/>
  <cols>
    <col min="1" max="1" width="4.5546875" style="317" customWidth="1"/>
    <col min="2" max="2" width="8.88671875" style="317"/>
    <col min="3" max="3" width="21.6640625" style="317" customWidth="1"/>
    <col min="4" max="4" width="7.21875" style="317" customWidth="1"/>
    <col min="5" max="6" width="9.88671875" style="317" bestFit="1" customWidth="1"/>
    <col min="7" max="7" width="15.44140625" style="317" customWidth="1"/>
    <col min="8" max="8" width="15.109375" style="317" customWidth="1"/>
    <col min="9" max="16384" width="8.88671875" style="317"/>
  </cols>
  <sheetData>
    <row r="3" spans="2:10" ht="15.75">
      <c r="B3" s="997" t="str">
        <f>Coversheet!B3</f>
        <v>Rochester Public Utilities</v>
      </c>
      <c r="C3" s="997"/>
      <c r="D3" s="997"/>
      <c r="E3" s="997"/>
      <c r="F3" s="997"/>
      <c r="G3" s="997"/>
      <c r="H3" s="997"/>
    </row>
    <row r="4" spans="2:10" ht="15.75">
      <c r="B4" s="997" t="s">
        <v>548</v>
      </c>
      <c r="C4" s="997"/>
      <c r="D4" s="997"/>
      <c r="E4" s="997"/>
      <c r="F4" s="997"/>
      <c r="G4" s="997"/>
      <c r="H4" s="997"/>
    </row>
    <row r="5" spans="2:10" ht="15.75">
      <c r="B5" s="997" t="str">
        <f>IF('Att O_RPU'!$I$19&gt;0.5,CONCATENATE("FLTY Forecast for 12 Months Ended December 31, ",'Att O_RPU'!E319),CONCATENATE("True-up Actual for 12 Months Ended December 31, ",'Att O_RPU'!E319))</f>
        <v>FLTY Forecast for 12 Months Ended December 31, 2017</v>
      </c>
      <c r="C5" s="997"/>
      <c r="D5" s="997"/>
      <c r="E5" s="997"/>
      <c r="F5" s="997"/>
      <c r="G5" s="997"/>
      <c r="H5" s="997"/>
    </row>
    <row r="6" spans="2:10" ht="15.75">
      <c r="B6" s="620"/>
      <c r="C6" s="620"/>
      <c r="D6" s="620"/>
      <c r="E6" s="620"/>
      <c r="F6" s="620"/>
      <c r="G6" s="621"/>
      <c r="H6" s="622"/>
      <c r="J6" s="369"/>
    </row>
    <row r="7" spans="2:10" s="321" customFormat="1" ht="46.5" customHeight="1">
      <c r="B7" s="623" t="s">
        <v>466</v>
      </c>
      <c r="C7" s="623" t="s">
        <v>467</v>
      </c>
      <c r="D7" s="623" t="s">
        <v>468</v>
      </c>
      <c r="E7" s="623" t="s">
        <v>1083</v>
      </c>
      <c r="F7" s="623" t="s">
        <v>1084</v>
      </c>
      <c r="G7" s="623" t="s">
        <v>549</v>
      </c>
      <c r="H7" s="623" t="s">
        <v>550</v>
      </c>
    </row>
    <row r="8" spans="2:10" s="321" customFormat="1">
      <c r="B8" s="624">
        <v>1</v>
      </c>
      <c r="C8" s="624" t="s">
        <v>464</v>
      </c>
      <c r="D8" s="637">
        <f>'Att O_RPU'!E318</f>
        <v>2016</v>
      </c>
      <c r="E8" s="937">
        <v>5649186.7000000002</v>
      </c>
      <c r="F8" s="937">
        <f>E8-G8</f>
        <v>5229186.7</v>
      </c>
      <c r="G8" s="759">
        <v>420000</v>
      </c>
      <c r="H8" s="759">
        <v>750000</v>
      </c>
    </row>
    <row r="9" spans="2:10">
      <c r="B9" s="627">
        <v>2</v>
      </c>
      <c r="C9" s="627" t="s">
        <v>453</v>
      </c>
      <c r="D9" s="638">
        <f>'Att O_RPU'!E319</f>
        <v>2017</v>
      </c>
      <c r="E9" s="936">
        <v>5652520.7000000002</v>
      </c>
      <c r="F9" s="936">
        <f>E9-G9</f>
        <v>5232520.7</v>
      </c>
      <c r="G9" s="732">
        <v>420000</v>
      </c>
      <c r="H9" s="732">
        <v>1000000</v>
      </c>
    </row>
    <row r="10" spans="2:10" ht="15.75">
      <c r="B10" s="627">
        <v>3</v>
      </c>
      <c r="C10" s="630" t="s">
        <v>454</v>
      </c>
      <c r="D10" s="638">
        <f>D9</f>
        <v>2017</v>
      </c>
      <c r="E10" s="936">
        <v>5655854.7000000002</v>
      </c>
      <c r="F10" s="936">
        <f t="shared" ref="F10:F20" si="0">E10-G10</f>
        <v>5235854.7</v>
      </c>
      <c r="G10" s="732">
        <v>420000</v>
      </c>
      <c r="H10" s="732">
        <v>936650</v>
      </c>
    </row>
    <row r="11" spans="2:10" ht="15.75">
      <c r="B11" s="627">
        <v>4</v>
      </c>
      <c r="C11" s="630" t="s">
        <v>455</v>
      </c>
      <c r="D11" s="638">
        <f t="shared" ref="D11:D20" si="1">D10</f>
        <v>2017</v>
      </c>
      <c r="E11" s="936">
        <v>5659188.7000000002</v>
      </c>
      <c r="F11" s="936">
        <f t="shared" si="0"/>
        <v>5239188.7</v>
      </c>
      <c r="G11" s="732">
        <v>420000</v>
      </c>
      <c r="H11" s="732">
        <v>873300</v>
      </c>
    </row>
    <row r="12" spans="2:10" ht="15.75">
      <c r="B12" s="627">
        <v>5</v>
      </c>
      <c r="C12" s="630" t="s">
        <v>456</v>
      </c>
      <c r="D12" s="638">
        <f t="shared" si="1"/>
        <v>2017</v>
      </c>
      <c r="E12" s="936">
        <v>5662522.7000000002</v>
      </c>
      <c r="F12" s="936">
        <f t="shared" si="0"/>
        <v>5242522.7</v>
      </c>
      <c r="G12" s="732">
        <v>420000</v>
      </c>
      <c r="H12" s="732">
        <v>809950</v>
      </c>
    </row>
    <row r="13" spans="2:10" ht="15.75">
      <c r="B13" s="627">
        <v>6</v>
      </c>
      <c r="C13" s="630" t="s">
        <v>457</v>
      </c>
      <c r="D13" s="638">
        <f t="shared" si="1"/>
        <v>2017</v>
      </c>
      <c r="E13" s="936">
        <v>5665856.7000000002</v>
      </c>
      <c r="F13" s="936">
        <f t="shared" si="0"/>
        <v>5245856.7</v>
      </c>
      <c r="G13" s="732">
        <v>420000</v>
      </c>
      <c r="H13" s="732">
        <v>746600</v>
      </c>
    </row>
    <row r="14" spans="2:10" ht="15.75">
      <c r="B14" s="627">
        <v>7</v>
      </c>
      <c r="C14" s="630" t="s">
        <v>458</v>
      </c>
      <c r="D14" s="638">
        <f t="shared" si="1"/>
        <v>2017</v>
      </c>
      <c r="E14" s="936">
        <v>5669190.7000000002</v>
      </c>
      <c r="F14" s="936">
        <f t="shared" si="0"/>
        <v>5249190.7</v>
      </c>
      <c r="G14" s="732">
        <v>420000</v>
      </c>
      <c r="H14" s="732">
        <v>683250</v>
      </c>
    </row>
    <row r="15" spans="2:10" ht="15.75">
      <c r="B15" s="627">
        <v>8</v>
      </c>
      <c r="C15" s="630" t="s">
        <v>459</v>
      </c>
      <c r="D15" s="638">
        <f t="shared" si="1"/>
        <v>2017</v>
      </c>
      <c r="E15" s="936">
        <v>5672524.7000000002</v>
      </c>
      <c r="F15" s="936">
        <f t="shared" si="0"/>
        <v>5252524.7</v>
      </c>
      <c r="G15" s="732">
        <v>420000</v>
      </c>
      <c r="H15" s="732">
        <v>619900</v>
      </c>
    </row>
    <row r="16" spans="2:10" ht="15.75">
      <c r="B16" s="627">
        <v>9</v>
      </c>
      <c r="C16" s="630" t="s">
        <v>460</v>
      </c>
      <c r="D16" s="638">
        <f t="shared" si="1"/>
        <v>2017</v>
      </c>
      <c r="E16" s="936">
        <v>5675858.7000000002</v>
      </c>
      <c r="F16" s="936">
        <f t="shared" si="0"/>
        <v>5255858.7</v>
      </c>
      <c r="G16" s="732">
        <v>420000</v>
      </c>
      <c r="H16" s="732">
        <v>556550</v>
      </c>
    </row>
    <row r="17" spans="2:8" ht="15.75">
      <c r="B17" s="627">
        <v>10</v>
      </c>
      <c r="C17" s="630" t="s">
        <v>461</v>
      </c>
      <c r="D17" s="638">
        <f t="shared" si="1"/>
        <v>2017</v>
      </c>
      <c r="E17" s="936">
        <v>5679192.7000000002</v>
      </c>
      <c r="F17" s="936">
        <f t="shared" si="0"/>
        <v>5259192.7</v>
      </c>
      <c r="G17" s="732">
        <v>420000</v>
      </c>
      <c r="H17" s="732">
        <v>493200</v>
      </c>
    </row>
    <row r="18" spans="2:8" ht="15.75">
      <c r="B18" s="627">
        <v>11</v>
      </c>
      <c r="C18" s="630" t="s">
        <v>462</v>
      </c>
      <c r="D18" s="638">
        <f t="shared" si="1"/>
        <v>2017</v>
      </c>
      <c r="E18" s="936">
        <v>5682526.7000000002</v>
      </c>
      <c r="F18" s="936">
        <f t="shared" si="0"/>
        <v>5262526.7</v>
      </c>
      <c r="G18" s="732">
        <v>420000</v>
      </c>
      <c r="H18" s="732">
        <v>429850</v>
      </c>
    </row>
    <row r="19" spans="2:8" ht="15.75">
      <c r="B19" s="627">
        <v>12</v>
      </c>
      <c r="C19" s="630" t="s">
        <v>463</v>
      </c>
      <c r="D19" s="638">
        <f t="shared" si="1"/>
        <v>2017</v>
      </c>
      <c r="E19" s="936">
        <v>5685860.7000000002</v>
      </c>
      <c r="F19" s="936">
        <f t="shared" si="0"/>
        <v>5265860.7</v>
      </c>
      <c r="G19" s="732">
        <v>420000</v>
      </c>
      <c r="H19" s="732">
        <v>366500</v>
      </c>
    </row>
    <row r="20" spans="2:8" ht="15.75">
      <c r="B20" s="627">
        <v>13</v>
      </c>
      <c r="C20" s="630" t="s">
        <v>464</v>
      </c>
      <c r="D20" s="638">
        <f t="shared" si="1"/>
        <v>2017</v>
      </c>
      <c r="E20" s="936">
        <f>'Balance sheet Sched 2'!C41</f>
        <v>6049200</v>
      </c>
      <c r="F20" s="936">
        <f t="shared" si="0"/>
        <v>5629200</v>
      </c>
      <c r="G20" s="732">
        <f t="shared" ref="G20" si="2">G19</f>
        <v>420000</v>
      </c>
      <c r="H20" s="732">
        <f>'Balance sheet Sched 2'!C43</f>
        <v>239800</v>
      </c>
    </row>
    <row r="21" spans="2:8">
      <c r="B21" s="627">
        <v>14</v>
      </c>
      <c r="C21" s="622"/>
      <c r="D21" s="622"/>
      <c r="E21" s="773" t="s">
        <v>1085</v>
      </c>
      <c r="F21" s="622"/>
      <c r="G21" s="627"/>
      <c r="H21" s="773" t="s">
        <v>1086</v>
      </c>
    </row>
    <row r="22" spans="2:8" ht="16.5">
      <c r="B22" s="627">
        <v>15</v>
      </c>
      <c r="C22" s="633" t="s">
        <v>476</v>
      </c>
      <c r="D22" s="634"/>
      <c r="E22" s="634"/>
      <c r="F22" s="634"/>
      <c r="G22" s="733">
        <f>SUM(G8:G20)/13</f>
        <v>420000</v>
      </c>
      <c r="H22" s="733">
        <f t="shared" ref="H22" si="3">SUM(H8:H20)/13</f>
        <v>654273.07692307688</v>
      </c>
    </row>
    <row r="23" spans="2:8">
      <c r="B23" s="622"/>
      <c r="C23" s="622"/>
      <c r="D23" s="622"/>
      <c r="E23" s="622"/>
      <c r="F23" s="622"/>
      <c r="G23" s="622"/>
      <c r="H23" s="622"/>
    </row>
    <row r="24" spans="2:8">
      <c r="B24" s="622"/>
      <c r="C24" s="773" t="s">
        <v>477</v>
      </c>
      <c r="D24" s="773"/>
      <c r="E24" s="773"/>
      <c r="F24" s="773"/>
      <c r="G24" s="773" t="s">
        <v>499</v>
      </c>
      <c r="H24" s="773" t="s">
        <v>500</v>
      </c>
    </row>
  </sheetData>
  <mergeCells count="3">
    <mergeCell ref="B3:H3"/>
    <mergeCell ref="B4:H4"/>
    <mergeCell ref="B5:H5"/>
  </mergeCells>
  <pageMargins left="0.7" right="0.2" top="0.75" bottom="0.75" header="0.3" footer="0.3"/>
  <pageSetup orientation="landscape" r:id="rId1"/>
  <headerFooter>
    <oddHeader>&amp;L&amp;"Arial MT,Bold"Rochester Public Utilities
2017 Work Papers&amp;R&amp;"Arial MT,Bold"Exhibit RPU-8
Page 10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zoomScaleNormal="100" workbookViewId="0">
      <selection activeCell="H23" sqref="H23"/>
    </sheetView>
  </sheetViews>
  <sheetFormatPr defaultColWidth="8.88671875" defaultRowHeight="15"/>
  <cols>
    <col min="1" max="2" width="8.88671875" style="317"/>
    <col min="3" max="4" width="1.33203125" style="317" customWidth="1"/>
    <col min="5" max="5" width="8.88671875" style="317"/>
    <col min="6" max="6" width="14.5546875" style="317" customWidth="1"/>
    <col min="7" max="7" width="10.33203125" style="317" customWidth="1"/>
    <col min="8" max="8" width="13.5546875" style="317" bestFit="1" customWidth="1"/>
    <col min="9" max="10" width="13.109375" style="317" bestFit="1" customWidth="1"/>
    <col min="11" max="11" width="14.109375" style="317" bestFit="1" customWidth="1"/>
    <col min="12" max="13" width="12.5546875" style="317" bestFit="1" customWidth="1"/>
    <col min="14" max="14" width="11" style="317" bestFit="1" customWidth="1"/>
    <col min="15" max="15" width="11.77734375" style="317" bestFit="1" customWidth="1"/>
    <col min="16" max="16" width="10.77734375" style="317" bestFit="1" customWidth="1"/>
    <col min="17" max="25" width="10" style="317" bestFit="1" customWidth="1"/>
    <col min="26" max="16384" width="8.88671875" style="317"/>
  </cols>
  <sheetData>
    <row r="3" spans="5:11" ht="5.25" customHeight="1"/>
    <row r="4" spans="5:11" ht="5.25" customHeight="1"/>
    <row r="5" spans="5:11" ht="15.75">
      <c r="E5" s="997" t="str">
        <f>Coversheet!B3</f>
        <v>Rochester Public Utilities</v>
      </c>
      <c r="F5" s="997"/>
      <c r="G5" s="997"/>
      <c r="H5" s="997"/>
      <c r="I5" s="997"/>
      <c r="J5" s="997"/>
      <c r="K5" s="997"/>
    </row>
    <row r="6" spans="5:11" ht="15.75">
      <c r="E6" s="997" t="s">
        <v>501</v>
      </c>
      <c r="F6" s="997"/>
      <c r="G6" s="997"/>
      <c r="H6" s="997"/>
      <c r="I6" s="997"/>
      <c r="J6" s="997"/>
      <c r="K6" s="997"/>
    </row>
    <row r="7" spans="5:11" ht="15.75">
      <c r="E7" s="997" t="str">
        <f>IF('Att O_RPU'!$I$19&gt;0.5,CONCATENATE("FLTY Forecast for 12 Months Ended December 31, ",'Att O_RPU'!E319),CONCATENATE("True-up Actual for 12 Months Ended December 31, ",'Att O_RPU'!E319))</f>
        <v>FLTY Forecast for 12 Months Ended December 31, 2017</v>
      </c>
      <c r="F7" s="997"/>
      <c r="G7" s="997"/>
      <c r="H7" s="997"/>
      <c r="I7" s="997"/>
      <c r="J7" s="997"/>
      <c r="K7" s="997"/>
    </row>
    <row r="8" spans="5:11" ht="15.75">
      <c r="E8" s="620"/>
      <c r="F8" s="620"/>
      <c r="G8" s="620"/>
      <c r="H8" s="621"/>
      <c r="I8" s="621"/>
      <c r="J8" s="621"/>
      <c r="K8" s="622"/>
    </row>
    <row r="9" spans="5:11" s="321" customFormat="1" ht="45" customHeight="1">
      <c r="E9" s="623" t="s">
        <v>466</v>
      </c>
      <c r="F9" s="623" t="s">
        <v>467</v>
      </c>
      <c r="G9" s="623" t="s">
        <v>468</v>
      </c>
      <c r="H9" s="623" t="s">
        <v>502</v>
      </c>
      <c r="I9" s="623" t="s">
        <v>874</v>
      </c>
      <c r="J9" s="623" t="s">
        <v>875</v>
      </c>
      <c r="K9" s="623" t="s">
        <v>650</v>
      </c>
    </row>
    <row r="10" spans="5:11" s="321" customFormat="1">
      <c r="E10" s="624">
        <v>1</v>
      </c>
      <c r="F10" s="624" t="s">
        <v>464</v>
      </c>
      <c r="G10" s="637">
        <f>'Att O_RPU'!E318</f>
        <v>2016</v>
      </c>
      <c r="H10" s="625">
        <v>198040000</v>
      </c>
      <c r="I10" s="626">
        <v>8486610</v>
      </c>
      <c r="J10" s="626">
        <v>124647</v>
      </c>
      <c r="K10" s="626">
        <v>124412030</v>
      </c>
    </row>
    <row r="11" spans="5:11">
      <c r="E11" s="627">
        <v>2</v>
      </c>
      <c r="F11" s="627" t="s">
        <v>453</v>
      </c>
      <c r="G11" s="638">
        <f>'Att O_RPU'!E319</f>
        <v>2017</v>
      </c>
      <c r="H11" s="628">
        <v>198040000</v>
      </c>
      <c r="I11" s="629">
        <v>8400233</v>
      </c>
      <c r="J11" s="629">
        <v>123807</v>
      </c>
      <c r="K11" s="629">
        <v>124446049</v>
      </c>
    </row>
    <row r="12" spans="5:11" ht="15.75">
      <c r="E12" s="627">
        <v>3</v>
      </c>
      <c r="F12" s="630" t="s">
        <v>454</v>
      </c>
      <c r="G12" s="638">
        <f>G11</f>
        <v>2017</v>
      </c>
      <c r="H12" s="628">
        <v>198040000</v>
      </c>
      <c r="I12" s="878">
        <v>8313856</v>
      </c>
      <c r="J12" s="878">
        <v>122967</v>
      </c>
      <c r="K12" s="878">
        <v>124480068</v>
      </c>
    </row>
    <row r="13" spans="5:11" ht="15.75">
      <c r="E13" s="627">
        <v>4</v>
      </c>
      <c r="F13" s="630" t="s">
        <v>455</v>
      </c>
      <c r="G13" s="638">
        <f t="shared" ref="G13:G22" si="0">G12</f>
        <v>2017</v>
      </c>
      <c r="H13" s="628">
        <v>203840000</v>
      </c>
      <c r="I13" s="878">
        <v>8227479</v>
      </c>
      <c r="J13" s="878">
        <v>122127</v>
      </c>
      <c r="K13" s="878">
        <v>124514087</v>
      </c>
    </row>
    <row r="14" spans="5:11" ht="15.75">
      <c r="E14" s="627">
        <v>5</v>
      </c>
      <c r="F14" s="630" t="s">
        <v>456</v>
      </c>
      <c r="G14" s="638">
        <f t="shared" si="0"/>
        <v>2017</v>
      </c>
      <c r="H14" s="628">
        <v>203840000</v>
      </c>
      <c r="I14" s="878">
        <v>8141102</v>
      </c>
      <c r="J14" s="878">
        <v>121287</v>
      </c>
      <c r="K14" s="878">
        <v>124548106</v>
      </c>
    </row>
    <row r="15" spans="5:11" ht="15.75">
      <c r="E15" s="627">
        <v>6</v>
      </c>
      <c r="F15" s="630" t="s">
        <v>457</v>
      </c>
      <c r="G15" s="638">
        <f t="shared" si="0"/>
        <v>2017</v>
      </c>
      <c r="H15" s="628">
        <v>203840000</v>
      </c>
      <c r="I15" s="878">
        <v>8054725</v>
      </c>
      <c r="J15" s="878">
        <v>120447</v>
      </c>
      <c r="K15" s="878">
        <v>124582125</v>
      </c>
    </row>
    <row r="16" spans="5:11" ht="15.75">
      <c r="E16" s="627">
        <v>7</v>
      </c>
      <c r="F16" s="630" t="s">
        <v>458</v>
      </c>
      <c r="G16" s="638">
        <f t="shared" si="0"/>
        <v>2017</v>
      </c>
      <c r="H16" s="628">
        <v>203840000</v>
      </c>
      <c r="I16" s="878">
        <v>7968348</v>
      </c>
      <c r="J16" s="878">
        <v>119607</v>
      </c>
      <c r="K16" s="878">
        <v>124616144</v>
      </c>
    </row>
    <row r="17" spans="5:26" ht="15.75">
      <c r="E17" s="627">
        <v>8</v>
      </c>
      <c r="F17" s="630" t="s">
        <v>459</v>
      </c>
      <c r="G17" s="638">
        <f t="shared" si="0"/>
        <v>2017</v>
      </c>
      <c r="H17" s="628">
        <v>203840000</v>
      </c>
      <c r="I17" s="878">
        <v>7881971</v>
      </c>
      <c r="J17" s="878">
        <v>118767</v>
      </c>
      <c r="K17" s="878">
        <v>124650163</v>
      </c>
    </row>
    <row r="18" spans="5:26" ht="15.75">
      <c r="E18" s="627">
        <v>9</v>
      </c>
      <c r="F18" s="630" t="s">
        <v>460</v>
      </c>
      <c r="G18" s="638">
        <f t="shared" si="0"/>
        <v>2017</v>
      </c>
      <c r="H18" s="628">
        <v>203840000</v>
      </c>
      <c r="I18" s="878">
        <v>7795594</v>
      </c>
      <c r="J18" s="878">
        <v>117927</v>
      </c>
      <c r="K18" s="878">
        <v>124684182</v>
      </c>
    </row>
    <row r="19" spans="5:26" ht="15.75">
      <c r="E19" s="627">
        <v>10</v>
      </c>
      <c r="F19" s="630" t="s">
        <v>461</v>
      </c>
      <c r="G19" s="638">
        <f t="shared" si="0"/>
        <v>2017</v>
      </c>
      <c r="H19" s="628">
        <v>203840000</v>
      </c>
      <c r="I19" s="878">
        <v>7709217</v>
      </c>
      <c r="J19" s="878">
        <v>117087</v>
      </c>
      <c r="K19" s="878">
        <v>124718201</v>
      </c>
    </row>
    <row r="20" spans="5:26" ht="15.75">
      <c r="E20" s="627">
        <v>11</v>
      </c>
      <c r="F20" s="630" t="s">
        <v>462</v>
      </c>
      <c r="G20" s="638">
        <f t="shared" si="0"/>
        <v>2017</v>
      </c>
      <c r="H20" s="628">
        <v>203840000</v>
      </c>
      <c r="I20" s="878">
        <v>7622840</v>
      </c>
      <c r="J20" s="878">
        <v>116247</v>
      </c>
      <c r="K20" s="878">
        <v>124752220</v>
      </c>
    </row>
    <row r="21" spans="5:26" ht="15.75">
      <c r="E21" s="627">
        <v>12</v>
      </c>
      <c r="F21" s="630" t="s">
        <v>463</v>
      </c>
      <c r="G21" s="638">
        <f t="shared" si="0"/>
        <v>2017</v>
      </c>
      <c r="H21" s="628">
        <v>203840000</v>
      </c>
      <c r="I21" s="878">
        <v>7536463</v>
      </c>
      <c r="J21" s="878">
        <v>115407</v>
      </c>
      <c r="K21" s="878">
        <v>124786239</v>
      </c>
    </row>
    <row r="22" spans="5:26" ht="15.75">
      <c r="E22" s="627">
        <v>13</v>
      </c>
      <c r="F22" s="630" t="s">
        <v>464</v>
      </c>
      <c r="G22" s="638">
        <f t="shared" si="0"/>
        <v>2017</v>
      </c>
      <c r="H22" s="631">
        <f>'Balance sheet Sched 2'!F20</f>
        <v>197989000</v>
      </c>
      <c r="I22" s="632">
        <f>'Balance sheet Sched 2'!F24</f>
        <v>7450100</v>
      </c>
      <c r="J22" s="632">
        <f>'Balance sheet Sched 2'!F26</f>
        <v>114600</v>
      </c>
      <c r="K22" s="632">
        <f>'Balance sheet Sched 2'!F16</f>
        <v>124820253.86673275</v>
      </c>
    </row>
    <row r="23" spans="5:26">
      <c r="E23" s="627">
        <v>14</v>
      </c>
      <c r="F23" s="484" t="s">
        <v>630</v>
      </c>
      <c r="G23" s="484"/>
      <c r="H23" s="773" t="s">
        <v>631</v>
      </c>
      <c r="I23" s="774" t="s">
        <v>675</v>
      </c>
      <c r="J23" s="774" t="s">
        <v>632</v>
      </c>
      <c r="K23" s="773" t="s">
        <v>679</v>
      </c>
      <c r="L23" s="324"/>
      <c r="M23" s="324"/>
      <c r="N23" s="324"/>
      <c r="O23" s="324"/>
      <c r="P23" s="324"/>
      <c r="Q23" s="324"/>
      <c r="R23" s="324"/>
    </row>
    <row r="24" spans="5:26" ht="16.5">
      <c r="E24" s="627">
        <v>15</v>
      </c>
      <c r="F24" s="633" t="s">
        <v>476</v>
      </c>
      <c r="G24" s="634"/>
      <c r="H24" s="635">
        <f>SUM(H10:H22)/13</f>
        <v>202051461.53846154</v>
      </c>
      <c r="I24" s="635">
        <f>SUM(I10:I22)/13</f>
        <v>7968349.076923077</v>
      </c>
      <c r="J24" s="635">
        <f>SUM(J10:J22)/13</f>
        <v>119609.53846153847</v>
      </c>
      <c r="K24" s="635">
        <f t="shared" ref="K24" si="1">SUM(K10:K22)/13</f>
        <v>124616143.68205637</v>
      </c>
    </row>
    <row r="25" spans="5:26">
      <c r="E25" s="622"/>
      <c r="F25" s="622"/>
      <c r="G25" s="622"/>
      <c r="H25" s="622"/>
      <c r="I25" s="622"/>
      <c r="J25" s="622"/>
      <c r="K25" s="636"/>
    </row>
    <row r="26" spans="5:26">
      <c r="E26" s="622"/>
      <c r="F26" s="773" t="s">
        <v>676</v>
      </c>
      <c r="G26" s="773"/>
      <c r="H26" s="773" t="s">
        <v>677</v>
      </c>
      <c r="I26" s="773" t="s">
        <v>677</v>
      </c>
      <c r="J26" s="773" t="s">
        <v>677</v>
      </c>
      <c r="K26" s="773" t="s">
        <v>678</v>
      </c>
      <c r="L26" s="324"/>
      <c r="M26" s="324"/>
      <c r="N26" s="324"/>
      <c r="O26" s="324"/>
      <c r="P26" s="324"/>
      <c r="Q26" s="324"/>
      <c r="R26" s="324"/>
    </row>
    <row r="27" spans="5:26" ht="7.5" customHeight="1">
      <c r="F27" s="328"/>
      <c r="K27" s="328"/>
    </row>
    <row r="28" spans="5:26" ht="7.5" customHeight="1">
      <c r="F28" s="328"/>
      <c r="G28" s="328"/>
      <c r="H28" s="328"/>
      <c r="I28" s="328"/>
      <c r="J28" s="328"/>
      <c r="K28" s="328"/>
      <c r="L28" s="328"/>
      <c r="M28" s="328"/>
      <c r="N28" s="328"/>
      <c r="O28" s="328"/>
      <c r="P28" s="328"/>
      <c r="Q28" s="328"/>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5"/>
    </row>
  </sheetData>
  <mergeCells count="3">
    <mergeCell ref="E5:K5"/>
    <mergeCell ref="E6:K6"/>
    <mergeCell ref="E7:K7"/>
  </mergeCells>
  <pageMargins left="0.2" right="0.2" top="0.75" bottom="0.5" header="0.3" footer="0.3"/>
  <pageSetup orientation="landscape" r:id="rId1"/>
  <headerFooter>
    <oddHeader>&amp;L&amp;"Arial MT,Bold"Rochester Public Utilities
2017 Work Papers&amp;R&amp;"Arial MT,Bold"Exhibit RPU-8
Page 11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zoomScale="90" zoomScaleNormal="90" zoomScaleSheetLayoutView="80" workbookViewId="0">
      <selection sqref="A1:D1"/>
    </sheetView>
  </sheetViews>
  <sheetFormatPr defaultColWidth="8.88671875" defaultRowHeight="15"/>
  <cols>
    <col min="1" max="1" width="61.77734375" style="316" customWidth="1"/>
    <col min="2" max="2" width="7.88671875" style="316" customWidth="1"/>
    <col min="3" max="3" width="12.44140625" style="316" bestFit="1" customWidth="1"/>
    <col min="4" max="16384" width="8.88671875" style="316"/>
  </cols>
  <sheetData>
    <row r="1" spans="1:4" ht="18.75">
      <c r="A1" s="1000" t="str">
        <f>Coversheet!B3</f>
        <v>Rochester Public Utilities</v>
      </c>
      <c r="B1" s="1000"/>
      <c r="C1" s="1000"/>
      <c r="D1" s="343"/>
    </row>
    <row r="2" spans="1:4" ht="18.75">
      <c r="A2" s="1000" t="s">
        <v>941</v>
      </c>
      <c r="B2" s="1000"/>
      <c r="C2" s="1000"/>
      <c r="D2" s="343"/>
    </row>
    <row r="3" spans="1:4" ht="18.75">
      <c r="A3" s="1000" t="str">
        <f>'Capital Structure'!E7</f>
        <v>FLTY Forecast for 12 Months Ended December 31, 2017</v>
      </c>
      <c r="B3" s="1000"/>
      <c r="C3" s="1000"/>
      <c r="D3" s="343"/>
    </row>
    <row r="5" spans="1:4" ht="15.75">
      <c r="A5" s="329" t="s">
        <v>942</v>
      </c>
      <c r="C5" s="330" t="s">
        <v>7</v>
      </c>
    </row>
    <row r="6" spans="1:4" ht="15.75">
      <c r="A6" s="331" t="s">
        <v>419</v>
      </c>
      <c r="B6" s="332"/>
    </row>
    <row r="7" spans="1:4" ht="15.75">
      <c r="A7" s="333" t="s">
        <v>503</v>
      </c>
      <c r="B7" s="332"/>
      <c r="C7" s="579">
        <v>86100</v>
      </c>
    </row>
    <row r="8" spans="1:4" ht="15.75">
      <c r="A8" s="333" t="s">
        <v>504</v>
      </c>
      <c r="B8" s="332"/>
      <c r="C8" s="580">
        <v>0</v>
      </c>
    </row>
    <row r="9" spans="1:4" ht="15.75">
      <c r="A9" s="333" t="s">
        <v>505</v>
      </c>
      <c r="B9" s="332"/>
      <c r="C9" s="580">
        <v>47500</v>
      </c>
      <c r="D9" s="734" t="s">
        <v>506</v>
      </c>
    </row>
    <row r="10" spans="1:4" ht="15.75">
      <c r="A10" s="333" t="s">
        <v>507</v>
      </c>
      <c r="B10" s="332"/>
      <c r="C10" s="580">
        <v>202300</v>
      </c>
      <c r="D10" s="734" t="s">
        <v>506</v>
      </c>
    </row>
    <row r="11" spans="1:4" ht="15.75">
      <c r="A11" s="333" t="s">
        <v>508</v>
      </c>
      <c r="B11" s="332"/>
      <c r="C11" s="580">
        <v>10300</v>
      </c>
      <c r="D11" s="734" t="s">
        <v>506</v>
      </c>
    </row>
    <row r="12" spans="1:4" ht="15.75">
      <c r="A12" s="333" t="s">
        <v>509</v>
      </c>
      <c r="B12" s="332"/>
      <c r="C12" s="580">
        <v>7000</v>
      </c>
      <c r="D12" s="734" t="s">
        <v>510</v>
      </c>
    </row>
    <row r="13" spans="1:4" ht="15.75">
      <c r="A13" s="333" t="s">
        <v>511</v>
      </c>
      <c r="B13" s="332"/>
      <c r="C13" s="580">
        <v>338000</v>
      </c>
      <c r="D13" s="734"/>
    </row>
    <row r="14" spans="1:4" ht="15.75">
      <c r="A14" s="333" t="s">
        <v>512</v>
      </c>
      <c r="B14" s="332"/>
      <c r="C14" s="580">
        <v>48300</v>
      </c>
      <c r="D14" s="734"/>
    </row>
    <row r="15" spans="1:4" ht="15.75">
      <c r="A15" s="333" t="s">
        <v>513</v>
      </c>
      <c r="B15" s="332"/>
      <c r="C15" s="580">
        <v>0</v>
      </c>
      <c r="D15" s="734"/>
    </row>
    <row r="16" spans="1:4" ht="15.75">
      <c r="A16" s="333" t="s">
        <v>514</v>
      </c>
      <c r="B16" s="332"/>
      <c r="C16" s="580">
        <v>0</v>
      </c>
      <c r="D16" s="734" t="s">
        <v>510</v>
      </c>
    </row>
    <row r="17" spans="1:4" ht="15.75">
      <c r="A17" s="333" t="s">
        <v>515</v>
      </c>
      <c r="B17" s="332"/>
      <c r="C17" s="580">
        <v>16700</v>
      </c>
      <c r="D17" s="734"/>
    </row>
    <row r="18" spans="1:4" ht="15.75">
      <c r="A18" s="333" t="s">
        <v>516</v>
      </c>
      <c r="B18" s="332"/>
      <c r="C18" s="580">
        <v>12700</v>
      </c>
      <c r="D18" s="734"/>
    </row>
    <row r="19" spans="1:4" ht="15.75">
      <c r="A19" s="333" t="s">
        <v>517</v>
      </c>
      <c r="B19" s="332"/>
      <c r="C19" s="580">
        <v>0</v>
      </c>
      <c r="D19" s="734"/>
    </row>
    <row r="20" spans="1:4" ht="15.75">
      <c r="A20" s="333" t="s">
        <v>518</v>
      </c>
      <c r="B20" s="332"/>
      <c r="C20" s="580">
        <v>7510000</v>
      </c>
      <c r="D20" s="734" t="s">
        <v>519</v>
      </c>
    </row>
    <row r="21" spans="1:4" ht="15.75">
      <c r="A21" s="333" t="s">
        <v>520</v>
      </c>
      <c r="B21" s="332"/>
      <c r="C21" s="580">
        <v>37400</v>
      </c>
      <c r="D21" s="734"/>
    </row>
    <row r="22" spans="1:4" ht="15" customHeight="1" thickBot="1">
      <c r="A22" s="333" t="s">
        <v>521</v>
      </c>
      <c r="B22" s="332"/>
      <c r="C22" s="581">
        <v>0</v>
      </c>
      <c r="D22" s="734"/>
    </row>
    <row r="23" spans="1:4" ht="15" customHeight="1">
      <c r="A23" s="350" t="s">
        <v>628</v>
      </c>
      <c r="B23" s="332"/>
      <c r="C23" s="582">
        <f>SUM(C7:C22)</f>
        <v>8316300</v>
      </c>
      <c r="D23" s="734"/>
    </row>
    <row r="24" spans="1:4" ht="15.75">
      <c r="A24" s="331" t="s">
        <v>420</v>
      </c>
      <c r="B24" s="332"/>
      <c r="C24" s="582"/>
      <c r="D24" s="734"/>
    </row>
    <row r="25" spans="1:4" ht="15.75">
      <c r="A25" s="333" t="s">
        <v>522</v>
      </c>
      <c r="B25" s="332"/>
      <c r="C25" s="580">
        <v>21800</v>
      </c>
      <c r="D25" s="734"/>
    </row>
    <row r="26" spans="1:4" ht="15.75">
      <c r="A26" s="333" t="s">
        <v>523</v>
      </c>
      <c r="B26" s="332"/>
      <c r="C26" s="580">
        <v>0</v>
      </c>
      <c r="D26" s="734"/>
    </row>
    <row r="27" spans="1:4" ht="15.75">
      <c r="A27" s="333" t="s">
        <v>524</v>
      </c>
      <c r="B27" s="332"/>
      <c r="C27" s="580">
        <v>0</v>
      </c>
      <c r="D27" s="734"/>
    </row>
    <row r="28" spans="1:4" ht="15.75">
      <c r="A28" s="333" t="s">
        <v>525</v>
      </c>
      <c r="B28" s="332"/>
      <c r="C28" s="580">
        <v>0</v>
      </c>
      <c r="D28" s="734"/>
    </row>
    <row r="29" spans="1:4" ht="15.75">
      <c r="A29" s="333" t="s">
        <v>526</v>
      </c>
      <c r="B29" s="332"/>
      <c r="C29" s="580">
        <v>0</v>
      </c>
      <c r="D29" s="734"/>
    </row>
    <row r="30" spans="1:4" ht="15.75">
      <c r="A30" s="333" t="s">
        <v>527</v>
      </c>
      <c r="B30" s="332"/>
      <c r="C30" s="580">
        <v>0</v>
      </c>
      <c r="D30" s="734"/>
    </row>
    <row r="31" spans="1:4" ht="15.75">
      <c r="A31" s="333" t="s">
        <v>528</v>
      </c>
      <c r="B31" s="332"/>
      <c r="C31" s="580">
        <v>60600</v>
      </c>
      <c r="D31" s="734"/>
    </row>
    <row r="32" spans="1:4" ht="15.75">
      <c r="A32" s="333" t="s">
        <v>529</v>
      </c>
      <c r="B32" s="332"/>
      <c r="C32" s="580">
        <v>52700</v>
      </c>
      <c r="D32" s="734"/>
    </row>
    <row r="33" spans="1:4" ht="15.75">
      <c r="A33" s="333" t="s">
        <v>530</v>
      </c>
      <c r="B33" s="332"/>
      <c r="C33" s="580">
        <v>0</v>
      </c>
      <c r="D33" s="734"/>
    </row>
    <row r="34" spans="1:4" ht="15.75">
      <c r="A34" s="333" t="s">
        <v>531</v>
      </c>
      <c r="B34" s="332"/>
      <c r="C34" s="583">
        <v>0</v>
      </c>
      <c r="D34" s="734"/>
    </row>
    <row r="35" spans="1:4" ht="15.75">
      <c r="A35" s="350" t="s">
        <v>629</v>
      </c>
      <c r="B35" s="332"/>
      <c r="C35" s="584">
        <f>SUM(C25:C34)</f>
        <v>135100</v>
      </c>
      <c r="D35" s="734"/>
    </row>
    <row r="36" spans="1:4" ht="18">
      <c r="A36" s="333"/>
      <c r="B36" s="332"/>
      <c r="C36" s="585"/>
      <c r="D36" s="734"/>
    </row>
    <row r="37" spans="1:4">
      <c r="C37" s="586"/>
      <c r="D37" s="734"/>
    </row>
    <row r="38" spans="1:4" ht="15.75">
      <c r="A38" s="333" t="s">
        <v>551</v>
      </c>
      <c r="C38" s="619">
        <f>C23+C35</f>
        <v>8451400</v>
      </c>
      <c r="D38" s="734" t="s">
        <v>532</v>
      </c>
    </row>
    <row r="41" spans="1:4">
      <c r="A41" s="334" t="s">
        <v>552</v>
      </c>
    </row>
    <row r="42" spans="1:4">
      <c r="A42" s="335" t="s">
        <v>553</v>
      </c>
      <c r="C42" s="353" t="s">
        <v>672</v>
      </c>
    </row>
    <row r="43" spans="1:4">
      <c r="A43" s="335" t="s">
        <v>554</v>
      </c>
    </row>
    <row r="44" spans="1:4">
      <c r="A44" s="335" t="s">
        <v>555</v>
      </c>
    </row>
    <row r="45" spans="1:4">
      <c r="A45" s="336" t="s">
        <v>556</v>
      </c>
    </row>
    <row r="46" spans="1:4">
      <c r="A46" s="335" t="s">
        <v>557</v>
      </c>
    </row>
    <row r="47" spans="1:4">
      <c r="A47" s="336" t="s">
        <v>556</v>
      </c>
    </row>
    <row r="48" spans="1:4">
      <c r="A48" s="337" t="s">
        <v>558</v>
      </c>
    </row>
    <row r="49" spans="1:3" ht="15.75">
      <c r="A49" s="370" t="s">
        <v>673</v>
      </c>
      <c r="B49" s="353"/>
      <c r="C49" s="587">
        <v>6894720</v>
      </c>
    </row>
    <row r="50" spans="1:3" ht="15.75">
      <c r="A50" s="370" t="s">
        <v>674</v>
      </c>
      <c r="B50" s="353"/>
      <c r="C50" s="372">
        <f>C20-C49</f>
        <v>615280</v>
      </c>
    </row>
    <row r="51" spans="1:3" ht="15.75">
      <c r="A51" s="371"/>
      <c r="B51" s="353"/>
      <c r="C51" s="373">
        <f>SUM(C49:C50)</f>
        <v>7510000</v>
      </c>
    </row>
    <row r="52" spans="1:3" ht="15.75">
      <c r="A52" s="333"/>
    </row>
    <row r="53" spans="1:3" ht="15.75">
      <c r="A53" s="333"/>
    </row>
    <row r="54" spans="1:3" ht="15.75">
      <c r="A54" s="333"/>
    </row>
    <row r="55" spans="1:3" ht="15.75">
      <c r="A55" s="333"/>
    </row>
    <row r="56" spans="1:3" ht="15.75">
      <c r="A56" s="338"/>
    </row>
    <row r="57" spans="1:3" ht="15.75">
      <c r="A57" s="333"/>
    </row>
    <row r="58" spans="1:3" ht="15.75">
      <c r="A58" s="333"/>
    </row>
    <row r="59" spans="1:3" ht="15.75">
      <c r="A59" s="333"/>
    </row>
    <row r="60" spans="1:3" ht="15.75">
      <c r="A60" s="333"/>
    </row>
    <row r="61" spans="1:3" ht="15.75">
      <c r="A61" s="338"/>
    </row>
    <row r="62" spans="1:3" ht="15.75">
      <c r="A62" s="333"/>
    </row>
    <row r="63" spans="1:3" ht="15.75">
      <c r="A63" s="333"/>
    </row>
    <row r="64" spans="1:3" ht="15.75">
      <c r="A64" s="333"/>
    </row>
    <row r="65" spans="1:1" ht="15.75">
      <c r="A65" s="333"/>
    </row>
    <row r="66" spans="1:1" ht="15.75">
      <c r="A66" s="333"/>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sheetData>
  <mergeCells count="3">
    <mergeCell ref="A3:C3"/>
    <mergeCell ref="A1:C1"/>
    <mergeCell ref="A2:C2"/>
  </mergeCells>
  <pageMargins left="0.2" right="0.2" top="0.75" bottom="0.5" header="0.3" footer="0.3"/>
  <pageSetup orientation="portrait" r:id="rId1"/>
  <headerFooter>
    <oddHeader>&amp;L&amp;"Arial MT,Bold"Rochester Public Utilities
2017 Work Papers&amp;R&amp;"Arial MT,Bold"Exhibit RPU-8
Page 12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5"/>
  <sheetViews>
    <sheetView tabSelected="1" zoomScale="80" zoomScaleNormal="80" zoomScaleSheetLayoutView="75" workbookViewId="0"/>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165</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1024</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873" t="s">
        <v>633</v>
      </c>
      <c r="E6" s="120"/>
      <c r="F6" s="120"/>
      <c r="G6" s="120"/>
      <c r="H6" s="120"/>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236</v>
      </c>
      <c r="C10" s="12"/>
      <c r="D10" s="19"/>
      <c r="E10" s="12"/>
      <c r="F10" s="12"/>
      <c r="G10" s="12"/>
      <c r="H10" s="12"/>
      <c r="I10" s="559">
        <f>+I183</f>
        <v>5262963.6026265286</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157</v>
      </c>
      <c r="D12" s="18" t="s">
        <v>9</v>
      </c>
      <c r="E12" s="5"/>
      <c r="F12" s="20" t="s">
        <v>10</v>
      </c>
      <c r="G12" s="20"/>
      <c r="H12" s="12"/>
      <c r="I12" s="19"/>
      <c r="J12" s="12"/>
      <c r="K12" s="12"/>
      <c r="L12" s="12"/>
      <c r="N12" s="12"/>
      <c r="O12" s="12"/>
      <c r="P12" s="12"/>
    </row>
    <row r="13" spans="1:16">
      <c r="A13" s="1">
        <v>2</v>
      </c>
      <c r="B13" s="4" t="s">
        <v>11</v>
      </c>
      <c r="C13" s="846" t="s">
        <v>1016</v>
      </c>
      <c r="D13" s="5">
        <f>I245</f>
        <v>37020</v>
      </c>
      <c r="E13" s="5"/>
      <c r="F13" s="5" t="s">
        <v>12</v>
      </c>
      <c r="G13" s="21">
        <f>I202</f>
        <v>0.97741997022016525</v>
      </c>
      <c r="H13" s="5"/>
      <c r="I13" s="79">
        <f>+G13*D13</f>
        <v>36184.087297550519</v>
      </c>
      <c r="J13" s="12"/>
      <c r="K13" s="12"/>
      <c r="L13" s="12"/>
      <c r="N13" s="12"/>
      <c r="O13" s="12"/>
      <c r="P13" s="12"/>
    </row>
    <row r="14" spans="1:16">
      <c r="A14" s="1">
        <v>3</v>
      </c>
      <c r="B14" s="4" t="s">
        <v>186</v>
      </c>
      <c r="C14" s="846" t="s">
        <v>1008</v>
      </c>
      <c r="D14" s="5">
        <f>I252</f>
        <v>920000</v>
      </c>
      <c r="E14" s="5"/>
      <c r="F14" s="5" t="str">
        <f>+F13</f>
        <v>TP</v>
      </c>
      <c r="G14" s="21">
        <f>+G13</f>
        <v>0.97741997022016525</v>
      </c>
      <c r="H14" s="5"/>
      <c r="I14" s="79">
        <f>+G14*D14</f>
        <v>899226.37260255206</v>
      </c>
      <c r="J14" s="12"/>
      <c r="K14" s="12"/>
      <c r="N14" s="12"/>
      <c r="O14" s="12"/>
      <c r="P14" s="12"/>
    </row>
    <row r="15" spans="1:16">
      <c r="A15" s="1">
        <v>4</v>
      </c>
      <c r="B15" s="4" t="s">
        <v>13</v>
      </c>
      <c r="C15" s="5"/>
      <c r="D15" s="709">
        <v>0</v>
      </c>
      <c r="E15" s="5"/>
      <c r="F15" s="5" t="s">
        <v>12</v>
      </c>
      <c r="G15" s="21">
        <f>+G13</f>
        <v>0.97741997022016525</v>
      </c>
      <c r="H15" s="5"/>
      <c r="I15" s="5">
        <f>+G15*D15</f>
        <v>0</v>
      </c>
      <c r="J15" s="12"/>
      <c r="K15" s="12"/>
      <c r="L15" s="704" t="s">
        <v>170</v>
      </c>
      <c r="N15" s="12"/>
      <c r="O15" s="12"/>
      <c r="P15" s="12"/>
    </row>
    <row r="16" spans="1:16" ht="16.5" thickBot="1">
      <c r="A16" s="1">
        <v>5</v>
      </c>
      <c r="B16" s="4" t="s">
        <v>14</v>
      </c>
      <c r="C16" s="5"/>
      <c r="D16" s="709">
        <v>0</v>
      </c>
      <c r="E16" s="5"/>
      <c r="F16" s="5" t="s">
        <v>12</v>
      </c>
      <c r="G16" s="21">
        <f>+G13</f>
        <v>0.97741997022016525</v>
      </c>
      <c r="H16" s="5"/>
      <c r="I16" s="24">
        <f>+G16*D16</f>
        <v>0</v>
      </c>
      <c r="J16" s="12"/>
      <c r="K16" s="12"/>
      <c r="L16" s="23" t="s">
        <v>171</v>
      </c>
      <c r="N16" s="12"/>
      <c r="O16" s="12"/>
      <c r="P16" s="12"/>
    </row>
    <row r="17" spans="1:16">
      <c r="A17" s="1">
        <v>6</v>
      </c>
      <c r="B17" s="4" t="s">
        <v>15</v>
      </c>
      <c r="C17" s="12"/>
      <c r="D17" s="25" t="s">
        <v>2</v>
      </c>
      <c r="E17" s="5"/>
      <c r="F17" s="5"/>
      <c r="G17" s="21"/>
      <c r="H17" s="5"/>
      <c r="I17" s="79">
        <f>SUM(I13:I16)</f>
        <v>935410.45990010258</v>
      </c>
      <c r="J17" s="12"/>
      <c r="K17" s="12"/>
      <c r="L17" s="12"/>
      <c r="N17" s="12"/>
      <c r="O17" s="12"/>
      <c r="P17" s="12"/>
    </row>
    <row r="18" spans="1:16">
      <c r="A18" s="50"/>
      <c r="B18" s="51"/>
      <c r="C18" s="120"/>
      <c r="D18" s="493"/>
      <c r="E18" s="8"/>
      <c r="F18" s="8"/>
      <c r="G18" s="491"/>
      <c r="H18" s="8"/>
      <c r="I18" s="8"/>
      <c r="J18" s="12"/>
      <c r="K18" s="12"/>
      <c r="L18" s="12"/>
      <c r="N18" s="12"/>
      <c r="O18" s="12"/>
      <c r="P18" s="12"/>
    </row>
    <row r="19" spans="1:16" ht="15.4" customHeight="1">
      <c r="A19" s="50" t="s">
        <v>627</v>
      </c>
      <c r="B19" s="706" t="s">
        <v>899</v>
      </c>
      <c r="C19" s="692"/>
      <c r="D19" s="692"/>
      <c r="E19" s="692"/>
      <c r="F19" s="692"/>
      <c r="G19" s="504"/>
      <c r="H19" s="8"/>
      <c r="I19" s="536">
        <v>3787834.1100000003</v>
      </c>
      <c r="J19" s="12"/>
      <c r="K19" s="12"/>
      <c r="L19" s="943" t="str">
        <f>CONCATENATE("Revenue requirement from Page 1 of 5, line 7 of RPU True-up Attachment O for 12 months ended 12/31/",'Att O_RPU'!E318-1," for FLTY, Blank for True-up")</f>
        <v>Revenue requirement from Page 1 of 5, line 7 of RPU True-up Attachment O for 12 months ended 12/31/2015 for FLTY, Blank for True-up</v>
      </c>
      <c r="O19" s="12"/>
      <c r="P19" s="12"/>
    </row>
    <row r="20" spans="1:16" ht="15.4" customHeight="1">
      <c r="A20" s="50" t="s">
        <v>835</v>
      </c>
      <c r="B20" s="706" t="s">
        <v>900</v>
      </c>
      <c r="C20" s="692"/>
      <c r="D20" s="692"/>
      <c r="E20" s="692"/>
      <c r="F20" s="692"/>
      <c r="G20" s="504"/>
      <c r="H20" s="8"/>
      <c r="I20" s="536">
        <v>4853389.76</v>
      </c>
      <c r="J20" s="12"/>
      <c r="K20" s="12"/>
      <c r="L20" s="943" t="str">
        <f>CONCATENATE("Revenue requirement from Page 1 of 5, line 7 of RPU FLTY Attachment O for 12 months ended 12/31/",'Att O_RPU'!E318-1," for FLTY, Blank for True-up")</f>
        <v>Revenue requirement from Page 1 of 5, line 7 of RPU FLTY Attachment O for 12 months ended 12/31/2015 for FLTY, Blank for True-up</v>
      </c>
    </row>
    <row r="21" spans="1:16" ht="15.4" customHeight="1">
      <c r="A21" s="50" t="s">
        <v>836</v>
      </c>
      <c r="B21" s="706" t="s">
        <v>901</v>
      </c>
      <c r="C21" s="692"/>
      <c r="D21" s="707" t="s">
        <v>902</v>
      </c>
      <c r="E21" s="692"/>
      <c r="F21" s="52"/>
      <c r="G21" s="52"/>
      <c r="H21" s="8"/>
      <c r="I21" s="487">
        <f>I19-I20</f>
        <v>-1065555.6499999994</v>
      </c>
      <c r="J21" s="12"/>
      <c r="K21" s="12"/>
    </row>
    <row r="22" spans="1:16" s="612" customFormat="1" ht="15.4" customHeight="1">
      <c r="A22" s="50"/>
      <c r="B22" s="706"/>
      <c r="C22" s="692"/>
      <c r="D22" s="707"/>
      <c r="E22" s="692"/>
      <c r="F22" s="52"/>
      <c r="G22" s="52"/>
      <c r="H22" s="8"/>
      <c r="I22" s="522"/>
      <c r="J22" s="12"/>
      <c r="K22" s="12"/>
    </row>
    <row r="23" spans="1:16" ht="15.4" customHeight="1">
      <c r="A23" s="50" t="s">
        <v>837</v>
      </c>
      <c r="B23" s="706" t="s">
        <v>903</v>
      </c>
      <c r="C23" s="692"/>
      <c r="D23" s="692"/>
      <c r="E23" s="692"/>
      <c r="F23" s="52"/>
      <c r="G23" s="504"/>
      <c r="H23" s="8"/>
      <c r="I23" s="879">
        <v>193115.83333333334</v>
      </c>
      <c r="J23" s="12"/>
      <c r="K23" s="12"/>
      <c r="L23" s="705" t="str">
        <f>CONCATENATE("Att O_RPU Page 1 of 5, line 8 of RPU True-up Attachment O for 12 months ended 12/31/",'Att O_RPU'!E318-1," for FLTY, Blank for True-up")</f>
        <v>Att O_RPU Page 1 of 5, line 8 of RPU True-up Attachment O for 12 months ended 12/31/2015 for FLTY, Blank for True-up</v>
      </c>
      <c r="O23" s="12"/>
      <c r="P23" s="12"/>
    </row>
    <row r="24" spans="1:16" ht="15.4" customHeight="1">
      <c r="A24" s="50" t="s">
        <v>838</v>
      </c>
      <c r="B24" s="706" t="s">
        <v>904</v>
      </c>
      <c r="C24" s="692"/>
      <c r="D24" s="692"/>
      <c r="E24" s="692"/>
      <c r="F24" s="8"/>
      <c r="G24" s="491"/>
      <c r="H24" s="8"/>
      <c r="I24" s="874">
        <v>207080</v>
      </c>
      <c r="J24" s="12"/>
      <c r="K24" s="12"/>
      <c r="L24" s="705" t="str">
        <f>CONCATENATE("Att O_RPU Page 1 of 5, line 8 of RPU FLTY Attachment O for 12 months ended 12/31/",'Att O_RPU'!E318-14," for FLTY, Blank for True-up")</f>
        <v>Att O_RPU Page 1 of 5, line 8 of RPU FLTY Attachment O for 12 months ended 12/31/2002 for FLTY, Blank for True-up</v>
      </c>
      <c r="O24" s="12"/>
      <c r="P24" s="12"/>
    </row>
    <row r="25" spans="1:16">
      <c r="A25" s="50" t="s">
        <v>839</v>
      </c>
      <c r="B25" s="706" t="s">
        <v>905</v>
      </c>
      <c r="C25" s="692"/>
      <c r="D25" s="707" t="s">
        <v>975</v>
      </c>
      <c r="E25" s="692"/>
      <c r="F25" s="8"/>
      <c r="H25" s="8"/>
      <c r="I25" s="854">
        <f>I24-I23</f>
        <v>13964.166666666657</v>
      </c>
      <c r="J25" s="12"/>
      <c r="K25" s="12"/>
      <c r="O25" s="12"/>
      <c r="P25" s="12"/>
    </row>
    <row r="26" spans="1:16">
      <c r="A26" s="50" t="s">
        <v>840</v>
      </c>
      <c r="B26" s="706" t="s">
        <v>906</v>
      </c>
      <c r="C26" s="693"/>
      <c r="D26" s="693"/>
      <c r="E26" s="693"/>
      <c r="F26" s="693"/>
      <c r="G26" s="491"/>
      <c r="H26" s="8"/>
      <c r="I26" s="877">
        <v>21.693999999999999</v>
      </c>
      <c r="J26" s="12"/>
      <c r="K26" s="12"/>
      <c r="L26" s="705" t="str">
        <f>CONCATENATE("Att O_RPU Page 1 of 5, line 16 of RPU FLTY Attachment O for 12 months ended 12/31/",'Att O_RPU'!E318-1," for FLTY, Blank for True-up")</f>
        <v>Att O_RPU Page 1 of 5, line 16 of RPU FLTY Attachment O for 12 months ended 12/31/2015 for FLTY, Blank for True-up</v>
      </c>
      <c r="O26" s="12"/>
      <c r="P26" s="12"/>
    </row>
    <row r="27" spans="1:16" ht="15.4" customHeight="1">
      <c r="A27" s="50" t="s">
        <v>841</v>
      </c>
      <c r="B27" s="706" t="s">
        <v>907</v>
      </c>
      <c r="C27" s="692"/>
      <c r="D27" s="707" t="s">
        <v>909</v>
      </c>
      <c r="E27" s="692"/>
      <c r="F27" s="8"/>
      <c r="G27" s="491"/>
      <c r="H27" s="8"/>
      <c r="I27" s="488">
        <f>ROUND(I25*I26,2)</f>
        <v>302938.63</v>
      </c>
      <c r="J27" s="12"/>
      <c r="K27" s="12"/>
      <c r="L27" s="12"/>
      <c r="N27" s="12"/>
      <c r="O27" s="12"/>
      <c r="P27" s="12"/>
    </row>
    <row r="28" spans="1:16" s="612" customFormat="1" ht="15.4" customHeight="1">
      <c r="A28" s="50"/>
      <c r="B28" s="706"/>
      <c r="C28" s="692"/>
      <c r="D28" s="692"/>
      <c r="E28" s="692"/>
      <c r="F28" s="8"/>
      <c r="G28" s="491"/>
      <c r="H28" s="8"/>
      <c r="I28" s="488"/>
      <c r="J28" s="12"/>
      <c r="K28" s="12"/>
      <c r="L28" s="12"/>
      <c r="N28" s="12"/>
      <c r="O28" s="12"/>
      <c r="P28" s="12"/>
    </row>
    <row r="29" spans="1:16" ht="15.95" customHeight="1">
      <c r="A29" s="489" t="s">
        <v>842</v>
      </c>
      <c r="B29" s="706" t="s">
        <v>908</v>
      </c>
      <c r="C29" s="692"/>
      <c r="D29" s="692"/>
      <c r="E29" s="692"/>
      <c r="F29" s="505"/>
      <c r="G29" s="712"/>
      <c r="H29" s="492"/>
      <c r="I29" s="536">
        <v>-51037.1</v>
      </c>
      <c r="J29" s="12"/>
      <c r="K29" s="12"/>
      <c r="L29" s="944" t="str">
        <f>CONCATENATE("True-up Interest workpaper, page 1, Line 12 of RPU True-up Attachment O for 12 months ended 12/31/",'Att O_RPU'!E319," for FLTY, Blank for True-up")</f>
        <v>True-up Interest workpaper, page 1, Line 12 of RPU True-up Attachment O for 12 months ended 12/31/2017 for FLTY, Blank for True-up</v>
      </c>
      <c r="N29" s="12"/>
      <c r="O29" s="12"/>
      <c r="P29" s="12"/>
    </row>
    <row r="30" spans="1:16">
      <c r="A30" s="490"/>
      <c r="B30" s="490"/>
      <c r="C30" s="490"/>
      <c r="D30" s="490"/>
      <c r="E30" s="490"/>
      <c r="F30" s="490"/>
      <c r="G30" s="490"/>
      <c r="H30" s="490"/>
      <c r="I30" s="490"/>
      <c r="J30" s="12"/>
      <c r="K30" s="12"/>
      <c r="L30" s="12"/>
      <c r="N30" s="12"/>
      <c r="O30" s="12"/>
      <c r="P30" s="12"/>
    </row>
    <row r="31" spans="1:16" ht="16.5" thickBot="1">
      <c r="A31" s="1">
        <v>7</v>
      </c>
      <c r="B31" s="51" t="s">
        <v>16</v>
      </c>
      <c r="C31" s="946" t="s">
        <v>1011</v>
      </c>
      <c r="D31" s="946"/>
      <c r="E31" s="8"/>
      <c r="F31" s="8"/>
      <c r="G31" s="8"/>
      <c r="H31" s="5"/>
      <c r="I31" s="708">
        <f>I10-I17+I21+I27+I29</f>
        <v>3513899.0227264264</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985</v>
      </c>
      <c r="D34" s="19"/>
      <c r="E34" s="12"/>
      <c r="F34" s="12"/>
      <c r="G34" s="11" t="s">
        <v>18</v>
      </c>
      <c r="H34" s="12"/>
      <c r="I34" s="530">
        <f>Divisor!M24</f>
        <v>215666.66666666666</v>
      </c>
      <c r="J34" s="12"/>
      <c r="K34" s="12"/>
      <c r="L34" s="704" t="s">
        <v>1010</v>
      </c>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158</v>
      </c>
      <c r="C39" s="12"/>
      <c r="D39" s="12"/>
      <c r="E39" s="12"/>
      <c r="F39" s="12"/>
      <c r="G39" s="11"/>
      <c r="H39" s="12"/>
      <c r="I39" s="27">
        <v>0</v>
      </c>
      <c r="J39" s="12"/>
      <c r="K39" s="12"/>
      <c r="L39" s="12"/>
      <c r="N39" s="12"/>
      <c r="O39" s="12"/>
      <c r="P39" s="12"/>
    </row>
    <row r="40" spans="1:16" ht="16.5" thickBot="1">
      <c r="A40" s="1">
        <v>14</v>
      </c>
      <c r="B40" s="2" t="s">
        <v>153</v>
      </c>
      <c r="C40" s="12"/>
      <c r="D40" s="12"/>
      <c r="E40" s="12"/>
      <c r="F40" s="12"/>
      <c r="G40" s="12"/>
      <c r="H40" s="12"/>
      <c r="I40" s="28">
        <v>0</v>
      </c>
      <c r="J40" s="12"/>
      <c r="K40" s="12"/>
      <c r="L40" s="12"/>
      <c r="N40" s="12"/>
      <c r="O40" s="12"/>
      <c r="P40" s="12"/>
    </row>
    <row r="41" spans="1:16">
      <c r="A41" s="1">
        <v>15</v>
      </c>
      <c r="B41" s="4" t="s">
        <v>200</v>
      </c>
      <c r="C41" s="12"/>
      <c r="D41" s="12"/>
      <c r="E41" s="12"/>
      <c r="F41" s="12"/>
      <c r="G41" s="12"/>
      <c r="H41" s="12"/>
      <c r="I41" s="19">
        <f>SUM(I34:I40)</f>
        <v>215666.66666666666</v>
      </c>
      <c r="J41" s="12"/>
      <c r="K41" s="12"/>
      <c r="L41" s="12"/>
      <c r="M41" s="236"/>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199</v>
      </c>
      <c r="D43" s="29">
        <f>IF(I41&gt;0,I31/I41,0)</f>
        <v>16.293194850354375</v>
      </c>
      <c r="E43" s="12"/>
      <c r="F43" s="12"/>
      <c r="G43" s="12"/>
      <c r="H43" s="12"/>
      <c r="J43" s="12"/>
      <c r="K43" s="12"/>
      <c r="L43" s="12"/>
      <c r="M43" s="69"/>
      <c r="N43" s="110"/>
      <c r="O43" s="110"/>
      <c r="P43" s="12"/>
    </row>
    <row r="44" spans="1:16" ht="17.25" thickTop="1" thickBot="1">
      <c r="A44" s="1">
        <v>17</v>
      </c>
      <c r="B44" s="4" t="s">
        <v>774</v>
      </c>
      <c r="C44" s="12"/>
      <c r="D44" s="29">
        <f>+D43/12</f>
        <v>1.3577662375295312</v>
      </c>
      <c r="E44" s="12"/>
      <c r="F44" s="12"/>
      <c r="G44" s="12"/>
      <c r="H44" s="12"/>
      <c r="J44" s="12"/>
      <c r="K44" s="12"/>
      <c r="L44" s="69"/>
      <c r="M44" s="950" t="s">
        <v>910</v>
      </c>
      <c r="N44" s="951"/>
      <c r="O44" s="952"/>
      <c r="P44" s="110"/>
    </row>
    <row r="45" spans="1:16" ht="31.5">
      <c r="A45" s="1"/>
      <c r="B45" s="4"/>
      <c r="C45" s="12"/>
      <c r="D45" s="29"/>
      <c r="E45" s="12"/>
      <c r="F45" s="12"/>
      <c r="G45" s="12"/>
      <c r="H45" s="12"/>
      <c r="J45" s="12"/>
      <c r="K45" s="12"/>
      <c r="L45" s="12"/>
      <c r="M45" s="783" t="s">
        <v>762</v>
      </c>
      <c r="N45" s="784" t="s">
        <v>966</v>
      </c>
      <c r="O45" s="785" t="s">
        <v>911</v>
      </c>
      <c r="P45" s="110"/>
    </row>
    <row r="46" spans="1:16">
      <c r="A46" s="1"/>
      <c r="B46" s="4"/>
      <c r="C46" s="12"/>
      <c r="D46" s="30" t="s">
        <v>27</v>
      </c>
      <c r="E46" s="12"/>
      <c r="F46" s="12"/>
      <c r="G46" s="12"/>
      <c r="H46" s="12"/>
      <c r="I46" s="31" t="s">
        <v>28</v>
      </c>
      <c r="J46" s="12"/>
      <c r="K46" s="12"/>
      <c r="L46" s="12"/>
      <c r="M46" s="786" t="s">
        <v>763</v>
      </c>
      <c r="N46" s="710">
        <f>'Interzonal Alloc'!L14</f>
        <v>0.53610000000000002</v>
      </c>
      <c r="O46" s="787">
        <f>ROUND(I31*N46,2)</f>
        <v>1883801.27</v>
      </c>
      <c r="P46" s="110"/>
    </row>
    <row r="47" spans="1:16">
      <c r="A47" s="1">
        <v>18</v>
      </c>
      <c r="B47" s="4" t="s">
        <v>29</v>
      </c>
      <c r="C47" s="12" t="s">
        <v>201</v>
      </c>
      <c r="D47" s="29">
        <f>+D43/52</f>
        <v>0.31333067019912259</v>
      </c>
      <c r="E47" s="12"/>
      <c r="F47" s="12"/>
      <c r="G47" s="12"/>
      <c r="H47" s="12"/>
      <c r="I47" s="32">
        <f>+D43/52</f>
        <v>0.31333067019912259</v>
      </c>
      <c r="J47" s="12"/>
      <c r="K47" s="12"/>
      <c r="L47" s="12"/>
      <c r="M47" s="786" t="s">
        <v>764</v>
      </c>
      <c r="N47" s="710">
        <f>'Interzonal Alloc'!L13</f>
        <v>0.46389999999999998</v>
      </c>
      <c r="O47" s="788">
        <f>ROUND(I31*N47,2)</f>
        <v>1630097.76</v>
      </c>
      <c r="P47" s="110"/>
    </row>
    <row r="48" spans="1:16">
      <c r="A48" s="1">
        <v>19</v>
      </c>
      <c r="B48" s="4" t="s">
        <v>30</v>
      </c>
      <c r="C48" s="12" t="s">
        <v>237</v>
      </c>
      <c r="D48" s="29">
        <f>+D43/260</f>
        <v>6.2666134039824517E-2</v>
      </c>
      <c r="E48" s="12" t="s">
        <v>31</v>
      </c>
      <c r="G48" s="12"/>
      <c r="H48" s="12"/>
      <c r="I48" s="32">
        <f>+D43/365</f>
        <v>4.4638890000970891E-2</v>
      </c>
      <c r="J48" s="12"/>
      <c r="K48" s="12"/>
      <c r="L48" s="12"/>
      <c r="M48" s="789" t="s">
        <v>9</v>
      </c>
      <c r="N48" s="710">
        <f>+N46+N47</f>
        <v>1</v>
      </c>
      <c r="O48" s="790">
        <f>O46+O47</f>
        <v>3513899.0300000003</v>
      </c>
      <c r="P48" s="110"/>
    </row>
    <row r="49" spans="1:16">
      <c r="A49" s="1">
        <v>20</v>
      </c>
      <c r="B49" s="4" t="s">
        <v>32</v>
      </c>
      <c r="C49" s="12" t="s">
        <v>986</v>
      </c>
      <c r="D49" s="29">
        <f>+D43/4160*1000</f>
        <v>3.9166333774890325</v>
      </c>
      <c r="E49" s="12" t="s">
        <v>858</v>
      </c>
      <c r="G49" s="12"/>
      <c r="H49" s="12"/>
      <c r="I49" s="32">
        <f>+D43/8760*1000</f>
        <v>1.8599537500404537</v>
      </c>
      <c r="J49" s="12"/>
      <c r="K49" s="12" t="s">
        <v>2</v>
      </c>
      <c r="L49" s="12"/>
      <c r="M49" s="791" t="s">
        <v>977</v>
      </c>
      <c r="N49" s="782"/>
      <c r="O49" s="792"/>
      <c r="P49" s="110"/>
    </row>
    <row r="50" spans="1:16" ht="16.5" thickBot="1">
      <c r="A50" s="1"/>
      <c r="B50" s="4"/>
      <c r="C50" s="12"/>
      <c r="D50" s="12"/>
      <c r="E50" s="12"/>
      <c r="G50" s="12"/>
      <c r="H50" s="12"/>
      <c r="J50" s="12"/>
      <c r="K50" s="12" t="s">
        <v>2</v>
      </c>
      <c r="L50" s="110"/>
      <c r="M50" s="793" t="s">
        <v>978</v>
      </c>
      <c r="N50" s="794"/>
      <c r="O50" s="795"/>
      <c r="P50" s="12"/>
    </row>
    <row r="51" spans="1:16" ht="16.5" thickTop="1">
      <c r="A51"/>
      <c r="B51"/>
      <c r="C51"/>
      <c r="D51"/>
      <c r="E51"/>
      <c r="F51"/>
      <c r="G51"/>
      <c r="H51"/>
      <c r="I51"/>
      <c r="J51"/>
      <c r="K51"/>
      <c r="L51" s="12"/>
      <c r="M51" s="711"/>
      <c r="N51" s="110"/>
      <c r="O51" s="12"/>
      <c r="P51" s="12"/>
    </row>
    <row r="52" spans="1:16">
      <c r="A52"/>
      <c r="B52"/>
      <c r="C52"/>
      <c r="D52"/>
      <c r="E52"/>
      <c r="F52"/>
      <c r="G52"/>
      <c r="H52"/>
      <c r="I52"/>
      <c r="J52"/>
      <c r="K5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166</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12/31/17</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680</v>
      </c>
      <c r="C63" s="38" t="s">
        <v>40</v>
      </c>
      <c r="D63" s="37" t="s">
        <v>41</v>
      </c>
      <c r="E63" s="39"/>
      <c r="F63" s="37" t="s">
        <v>42</v>
      </c>
      <c r="H63" s="39"/>
      <c r="I63" s="1" t="s">
        <v>987</v>
      </c>
      <c r="J63" s="5"/>
      <c r="K63" s="14"/>
      <c r="L63" s="4"/>
      <c r="N63" s="14"/>
      <c r="O63" s="14"/>
      <c r="P63" s="4"/>
    </row>
    <row r="64" spans="1:16">
      <c r="A64" s="1"/>
      <c r="B64" s="4" t="s">
        <v>263</v>
      </c>
      <c r="C64" s="5"/>
      <c r="D64" s="5"/>
      <c r="E64" s="5"/>
      <c r="F64" s="5"/>
      <c r="G64" s="5"/>
      <c r="H64" s="5"/>
      <c r="I64" s="5"/>
      <c r="J64" s="5"/>
      <c r="K64" s="5"/>
      <c r="L64" s="51"/>
      <c r="N64" s="5"/>
      <c r="O64" s="5"/>
      <c r="P64" s="4"/>
    </row>
    <row r="65" spans="1:17">
      <c r="A65" s="1">
        <v>1</v>
      </c>
      <c r="B65" s="4" t="s">
        <v>43</v>
      </c>
      <c r="C65" s="5" t="s">
        <v>238</v>
      </c>
      <c r="D65" s="514">
        <f>Plant!F20</f>
        <v>109270183</v>
      </c>
      <c r="E65" s="5"/>
      <c r="F65" s="5" t="s">
        <v>44</v>
      </c>
      <c r="G65" s="41" t="s">
        <v>2</v>
      </c>
      <c r="H65" s="5"/>
      <c r="I65" s="5" t="s">
        <v>2</v>
      </c>
      <c r="J65" s="5"/>
      <c r="K65" s="5"/>
      <c r="L65" s="51"/>
      <c r="M65"/>
      <c r="N65"/>
      <c r="O65"/>
      <c r="P65"/>
      <c r="Q65"/>
    </row>
    <row r="66" spans="1:17">
      <c r="A66" s="1">
        <v>2</v>
      </c>
      <c r="B66" s="4" t="s">
        <v>45</v>
      </c>
      <c r="C66" s="5" t="s">
        <v>239</v>
      </c>
      <c r="D66" s="514">
        <f>Plant!J20-Plant!I20</f>
        <v>59557080</v>
      </c>
      <c r="E66" s="5"/>
      <c r="F66" s="5" t="s">
        <v>12</v>
      </c>
      <c r="G66" s="41">
        <f>I202</f>
        <v>0.97741997022016525</v>
      </c>
      <c r="H66" s="5"/>
      <c r="I66" s="5">
        <f>+G66*D66</f>
        <v>58212279.359999999</v>
      </c>
      <c r="J66" s="5"/>
      <c r="K66" s="5"/>
      <c r="L66" s="704" t="s">
        <v>979</v>
      </c>
      <c r="M66"/>
      <c r="N66"/>
      <c r="O66"/>
      <c r="P66"/>
      <c r="Q66"/>
    </row>
    <row r="67" spans="1:17">
      <c r="A67" s="1">
        <v>3</v>
      </c>
      <c r="B67" s="4" t="s">
        <v>46</v>
      </c>
      <c r="C67" s="5" t="s">
        <v>240</v>
      </c>
      <c r="D67" s="514">
        <f>Plant!K20</f>
        <v>140281177</v>
      </c>
      <c r="E67" s="5"/>
      <c r="F67" s="5" t="s">
        <v>44</v>
      </c>
      <c r="G67" s="41" t="s">
        <v>2</v>
      </c>
      <c r="H67" s="5"/>
      <c r="I67" s="5" t="s">
        <v>2</v>
      </c>
      <c r="J67" s="5"/>
      <c r="K67" s="5"/>
      <c r="L67" s="51"/>
      <c r="M67"/>
      <c r="N67"/>
      <c r="O67"/>
      <c r="P67"/>
      <c r="Q67"/>
    </row>
    <row r="68" spans="1:17">
      <c r="A68" s="1">
        <v>4</v>
      </c>
      <c r="B68" s="4" t="s">
        <v>47</v>
      </c>
      <c r="C68" s="5" t="s">
        <v>264</v>
      </c>
      <c r="D68" s="514">
        <f>Plant!L20+Plant!M20</f>
        <v>45720810</v>
      </c>
      <c r="E68" s="5"/>
      <c r="F68" s="5" t="s">
        <v>48</v>
      </c>
      <c r="G68" s="41">
        <f>I218</f>
        <v>8.4079747161863644E-2</v>
      </c>
      <c r="H68" s="5"/>
      <c r="I68" s="5">
        <f>+G68*D68</f>
        <v>3844194.1448356067</v>
      </c>
      <c r="J68" s="5"/>
      <c r="K68" s="5"/>
      <c r="L68" s="51"/>
      <c r="M68"/>
      <c r="N68"/>
      <c r="O68"/>
      <c r="P68"/>
      <c r="Q68"/>
    </row>
    <row r="69" spans="1:17" ht="16.5" thickBot="1">
      <c r="A69" s="1">
        <v>5</v>
      </c>
      <c r="B69" s="4" t="s">
        <v>49</v>
      </c>
      <c r="C69" s="5"/>
      <c r="D69" s="531">
        <f>Plant!N20</f>
        <v>0</v>
      </c>
      <c r="E69" s="5"/>
      <c r="F69" s="5" t="s">
        <v>50</v>
      </c>
      <c r="G69" s="41">
        <f>K222</f>
        <v>8.4079747161863644E-2</v>
      </c>
      <c r="H69" s="5"/>
      <c r="I69" s="24">
        <f>+G69*D69</f>
        <v>0</v>
      </c>
      <c r="J69" s="5"/>
      <c r="K69" s="5"/>
      <c r="L69" s="51"/>
      <c r="M69"/>
      <c r="N69"/>
      <c r="O69"/>
      <c r="P69"/>
      <c r="Q69"/>
    </row>
    <row r="70" spans="1:17">
      <c r="A70" s="1">
        <v>6</v>
      </c>
      <c r="B70" s="2" t="s">
        <v>202</v>
      </c>
      <c r="C70" s="5"/>
      <c r="D70" s="5">
        <f>SUM(D65:D69)</f>
        <v>354829250</v>
      </c>
      <c r="E70" s="5"/>
      <c r="F70" s="5" t="s">
        <v>51</v>
      </c>
      <c r="G70" s="7">
        <f>IF(I70&gt;0,I70/D70,0)</f>
        <v>0.17489108776921747</v>
      </c>
      <c r="H70" s="5"/>
      <c r="I70" s="5">
        <f>SUM(I65:I69)</f>
        <v>62056473.504835606</v>
      </c>
      <c r="J70" s="5"/>
      <c r="K70" s="7"/>
      <c r="L70" s="51"/>
      <c r="M70"/>
      <c r="N70"/>
      <c r="O70"/>
      <c r="P70"/>
      <c r="Q70"/>
    </row>
    <row r="71" spans="1:17">
      <c r="B71" s="4"/>
      <c r="C71" s="5"/>
      <c r="D71" s="5"/>
      <c r="E71" s="5"/>
      <c r="F71" s="5"/>
      <c r="G71" s="7"/>
      <c r="H71" s="5"/>
      <c r="I71" s="5"/>
      <c r="J71" s="5"/>
      <c r="K71" s="7"/>
      <c r="L71" s="51"/>
      <c r="M71"/>
      <c r="N71"/>
      <c r="O71"/>
      <c r="P71"/>
      <c r="Q71"/>
    </row>
    <row r="72" spans="1:17">
      <c r="B72" s="4" t="s">
        <v>265</v>
      </c>
      <c r="C72" s="5"/>
      <c r="D72" s="5"/>
      <c r="E72" s="5"/>
      <c r="F72" s="5"/>
      <c r="G72" s="5"/>
      <c r="H72" s="5"/>
      <c r="I72" s="5"/>
      <c r="J72" s="5"/>
      <c r="K72" s="5"/>
      <c r="L72" s="51"/>
      <c r="N72" s="5"/>
      <c r="O72" s="5"/>
      <c r="P72" s="4"/>
    </row>
    <row r="73" spans="1:17">
      <c r="A73" s="1">
        <v>7</v>
      </c>
      <c r="B73" s="4" t="str">
        <f>+B65</f>
        <v xml:space="preserve">  Production</v>
      </c>
      <c r="D73" s="8">
        <f>Plant!F38</f>
        <v>88202236.934999958</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46">
        <f>Plant!J38-Plant!I38</f>
        <v>13728270.143878227</v>
      </c>
      <c r="E74" s="5"/>
      <c r="F74" s="5" t="str">
        <f t="shared" si="0"/>
        <v>TP</v>
      </c>
      <c r="G74" s="41">
        <f t="shared" si="0"/>
        <v>0.97741997022016525</v>
      </c>
      <c r="H74" s="5"/>
      <c r="I74" s="5">
        <f>+G74*D74</f>
        <v>13418285.39520384</v>
      </c>
      <c r="J74" s="5"/>
      <c r="K74" s="5"/>
      <c r="L74" s="704" t="s">
        <v>980</v>
      </c>
      <c r="N74" s="5"/>
      <c r="O74" s="5"/>
      <c r="P74" s="4"/>
    </row>
    <row r="75" spans="1:17">
      <c r="A75" s="1">
        <v>9</v>
      </c>
      <c r="B75" s="4" t="str">
        <f>+B67</f>
        <v xml:space="preserve">  Distribution</v>
      </c>
      <c r="D75" s="8">
        <f>Plant!K38</f>
        <v>70306223.990000024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31052041.675000016</v>
      </c>
      <c r="E76" s="5"/>
      <c r="F76" s="5" t="str">
        <f t="shared" si="0"/>
        <v>W/S</v>
      </c>
      <c r="G76" s="41">
        <f t="shared" si="0"/>
        <v>8.4079747161863644E-2</v>
      </c>
      <c r="H76" s="5"/>
      <c r="I76" s="5">
        <f>+G76*D76</f>
        <v>2610847.8128936542</v>
      </c>
      <c r="J76" s="5"/>
      <c r="K76" s="5"/>
      <c r="L76" s="51"/>
      <c r="N76" s="5"/>
      <c r="O76" s="14"/>
      <c r="P76" s="4"/>
    </row>
    <row r="77" spans="1:17" ht="16.5" thickBot="1">
      <c r="A77" s="1">
        <v>11</v>
      </c>
      <c r="B77" s="4" t="str">
        <f>+B69</f>
        <v xml:space="preserve">  Common</v>
      </c>
      <c r="C77" s="5"/>
      <c r="D77" s="531">
        <f>Plant!N38</f>
        <v>0</v>
      </c>
      <c r="E77" s="5"/>
      <c r="F77" s="5" t="str">
        <f t="shared" si="0"/>
        <v>CE</v>
      </c>
      <c r="G77" s="41">
        <f t="shared" si="0"/>
        <v>8.4079747161863644E-2</v>
      </c>
      <c r="H77" s="5"/>
      <c r="I77" s="24">
        <f>+G77*D77</f>
        <v>0</v>
      </c>
      <c r="J77" s="5"/>
      <c r="K77" s="5"/>
      <c r="L77" s="51"/>
      <c r="N77" s="5"/>
      <c r="O77" s="14"/>
      <c r="P77" s="4"/>
    </row>
    <row r="78" spans="1:17">
      <c r="A78" s="1">
        <v>12</v>
      </c>
      <c r="B78" s="4" t="s">
        <v>203</v>
      </c>
      <c r="C78" s="5"/>
      <c r="D78" s="5">
        <f>SUM(D73:D77)</f>
        <v>203288772.74387822</v>
      </c>
      <c r="E78" s="5"/>
      <c r="F78" s="5"/>
      <c r="G78" s="5"/>
      <c r="H78" s="5"/>
      <c r="I78" s="5">
        <f>SUM(I73:I77)</f>
        <v>16029133.208097495</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204</v>
      </c>
      <c r="D81" s="5">
        <f>D65-D73</f>
        <v>21067946.065000042</v>
      </c>
      <c r="E81" s="5"/>
      <c r="F81" s="5"/>
      <c r="G81" s="7"/>
      <c r="H81" s="5"/>
      <c r="I81" s="5" t="s">
        <v>2</v>
      </c>
      <c r="J81" s="5"/>
      <c r="K81" s="7"/>
      <c r="L81" s="51"/>
      <c r="N81" s="5"/>
      <c r="O81" s="5"/>
      <c r="P81" s="4"/>
    </row>
    <row r="82" spans="1:16">
      <c r="A82" s="1">
        <v>14</v>
      </c>
      <c r="B82" s="4" t="str">
        <f>+B74</f>
        <v xml:space="preserve">  Transmission</v>
      </c>
      <c r="C82" s="5" t="s">
        <v>205</v>
      </c>
      <c r="D82" s="5">
        <f>D66-D74</f>
        <v>45828809.856121771</v>
      </c>
      <c r="E82" s="5"/>
      <c r="F82" s="5"/>
      <c r="G82" s="41"/>
      <c r="H82" s="5"/>
      <c r="I82" s="5">
        <f>I66-I74</f>
        <v>44793993.964796156</v>
      </c>
      <c r="J82" s="5"/>
      <c r="K82" s="7"/>
      <c r="L82" s="51"/>
      <c r="N82" s="5"/>
      <c r="O82" s="5"/>
      <c r="P82" s="4"/>
    </row>
    <row r="83" spans="1:16">
      <c r="A83" s="1">
        <v>15</v>
      </c>
      <c r="B83" s="4" t="str">
        <f>+B75</f>
        <v xml:space="preserve">  Distribution</v>
      </c>
      <c r="C83" s="5" t="s">
        <v>206</v>
      </c>
      <c r="D83" s="5">
        <f>D67-D75</f>
        <v>69974953.009999976</v>
      </c>
      <c r="E83" s="5"/>
      <c r="F83" s="5"/>
      <c r="G83" s="7"/>
      <c r="H83" s="5"/>
      <c r="I83" s="5" t="s">
        <v>2</v>
      </c>
      <c r="J83" s="5"/>
      <c r="K83" s="7"/>
      <c r="L83" s="51"/>
      <c r="N83" s="5"/>
      <c r="O83" s="5"/>
      <c r="P83" s="4"/>
    </row>
    <row r="84" spans="1:16">
      <c r="A84" s="1">
        <v>16</v>
      </c>
      <c r="B84" s="4" t="str">
        <f>+B76</f>
        <v xml:space="preserve">  General &amp; Intangible</v>
      </c>
      <c r="C84" s="5" t="s">
        <v>207</v>
      </c>
      <c r="D84" s="5">
        <f>D68-D76</f>
        <v>14668768.324999984</v>
      </c>
      <c r="E84" s="5"/>
      <c r="F84" s="5"/>
      <c r="G84" s="7"/>
      <c r="H84" s="5"/>
      <c r="I84" s="5">
        <f>I68-I76</f>
        <v>1233346.3319419525</v>
      </c>
      <c r="J84" s="5"/>
      <c r="K84" s="7"/>
      <c r="L84" s="51"/>
      <c r="N84" s="5"/>
      <c r="O84" s="14"/>
      <c r="P84" s="4"/>
    </row>
    <row r="85" spans="1:16" ht="16.5" thickBot="1">
      <c r="A85" s="1">
        <v>17</v>
      </c>
      <c r="B85" s="4" t="str">
        <f>+B77</f>
        <v xml:space="preserve">  Common</v>
      </c>
      <c r="C85" s="5" t="s">
        <v>208</v>
      </c>
      <c r="D85" s="24">
        <f>D69-D77</f>
        <v>0</v>
      </c>
      <c r="E85" s="5"/>
      <c r="F85" s="5"/>
      <c r="G85" s="7"/>
      <c r="H85" s="5"/>
      <c r="I85" s="24">
        <f>I69-I77</f>
        <v>0</v>
      </c>
      <c r="J85" s="5"/>
      <c r="K85" s="7"/>
      <c r="L85" s="51"/>
      <c r="N85" s="5"/>
      <c r="O85" s="14"/>
      <c r="P85" s="4"/>
    </row>
    <row r="86" spans="1:16">
      <c r="A86" s="1">
        <v>18</v>
      </c>
      <c r="B86" s="4" t="s">
        <v>209</v>
      </c>
      <c r="C86" s="5"/>
      <c r="D86" s="5">
        <f>SUM(D81:D85)</f>
        <v>151540477.25612178</v>
      </c>
      <c r="E86" s="5"/>
      <c r="F86" s="5" t="s">
        <v>53</v>
      </c>
      <c r="G86" s="7">
        <f>IF(I86&gt;0,I86/D86,0)</f>
        <v>0.30372967757615232</v>
      </c>
      <c r="H86" s="5"/>
      <c r="I86" s="5">
        <f>SUM(I81:I85)</f>
        <v>46027340.29673811</v>
      </c>
      <c r="J86" s="5"/>
      <c r="K86" s="5"/>
      <c r="L86" s="51"/>
      <c r="N86" s="25"/>
      <c r="O86" s="5"/>
      <c r="P86" s="4"/>
    </row>
    <row r="87" spans="1:16">
      <c r="A87" s="1"/>
      <c r="C87" s="5"/>
      <c r="E87" s="5"/>
      <c r="H87" s="5"/>
      <c r="J87" s="5"/>
      <c r="K87" s="7"/>
      <c r="L87" s="51"/>
      <c r="N87" s="5"/>
      <c r="O87" s="5"/>
      <c r="P87" s="4"/>
    </row>
    <row r="88" spans="1:16">
      <c r="A88" s="1"/>
      <c r="B88" s="2" t="s">
        <v>210</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159</v>
      </c>
      <c r="H89" s="5"/>
      <c r="I89" s="5">
        <v>0</v>
      </c>
      <c r="J89" s="5"/>
      <c r="K89" s="7"/>
      <c r="L89" s="51"/>
      <c r="N89" s="7"/>
      <c r="O89" s="14"/>
      <c r="P89" s="4"/>
    </row>
    <row r="90" spans="1:16">
      <c r="A90" s="1">
        <v>20</v>
      </c>
      <c r="B90" s="4" t="s">
        <v>56</v>
      </c>
      <c r="C90" s="5"/>
      <c r="D90" s="8">
        <f>'Adj to Rate Base'!C12</f>
        <v>0</v>
      </c>
      <c r="E90" s="5"/>
      <c r="F90" s="5" t="s">
        <v>55</v>
      </c>
      <c r="G90" s="41">
        <f>+G86</f>
        <v>0.30372967757615232</v>
      </c>
      <c r="H90" s="5"/>
      <c r="I90" s="5">
        <f>D90*G90</f>
        <v>0</v>
      </c>
      <c r="J90" s="5"/>
      <c r="K90" s="7"/>
      <c r="L90" s="51"/>
      <c r="N90" s="7"/>
      <c r="O90" s="14"/>
      <c r="P90" s="4"/>
    </row>
    <row r="91" spans="1:16">
      <c r="A91" s="1">
        <v>21</v>
      </c>
      <c r="B91" s="4" t="s">
        <v>57</v>
      </c>
      <c r="C91" s="5"/>
      <c r="D91" s="8">
        <f>'Adj to Rate Base'!C13</f>
        <v>0</v>
      </c>
      <c r="E91" s="5"/>
      <c r="F91" s="5" t="s">
        <v>55</v>
      </c>
      <c r="G91" s="41">
        <f>+G90</f>
        <v>0.30372967757615232</v>
      </c>
      <c r="H91" s="5"/>
      <c r="I91" s="5">
        <f>D91*G91</f>
        <v>0</v>
      </c>
      <c r="J91" s="5"/>
      <c r="K91" s="7"/>
      <c r="L91" s="51"/>
      <c r="N91" s="7"/>
      <c r="O91" s="14"/>
      <c r="P91" s="4"/>
    </row>
    <row r="92" spans="1:16">
      <c r="A92" s="1">
        <v>22</v>
      </c>
      <c r="B92" s="4" t="s">
        <v>58</v>
      </c>
      <c r="C92" s="5"/>
      <c r="D92" s="8">
        <f>'Adj to Rate Base'!C14</f>
        <v>0</v>
      </c>
      <c r="E92" s="5"/>
      <c r="F92" s="5" t="str">
        <f>+F91</f>
        <v>NP</v>
      </c>
      <c r="G92" s="41">
        <f>+G91</f>
        <v>0.30372967757615232</v>
      </c>
      <c r="H92" s="5"/>
      <c r="I92" s="5">
        <f>D92*G92</f>
        <v>0</v>
      </c>
      <c r="J92" s="5"/>
      <c r="K92" s="7"/>
      <c r="L92" s="51"/>
      <c r="N92" s="7"/>
      <c r="O92" s="14"/>
      <c r="P92" s="4"/>
    </row>
    <row r="93" spans="1:16" ht="16.5" thickBot="1">
      <c r="A93" s="1">
        <v>23</v>
      </c>
      <c r="B93" s="3" t="s">
        <v>59</v>
      </c>
      <c r="D93" s="531">
        <f>'Adj to Rate Base'!C15</f>
        <v>0</v>
      </c>
      <c r="E93" s="5"/>
      <c r="F93" s="5" t="s">
        <v>55</v>
      </c>
      <c r="G93" s="41">
        <f>+G91</f>
        <v>0.30372967757615232</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241</v>
      </c>
      <c r="D96" s="8">
        <f>'Land Held for Future Use'!E22</f>
        <v>0</v>
      </c>
      <c r="E96" s="5"/>
      <c r="F96" s="5" t="str">
        <f>+F74</f>
        <v>TP</v>
      </c>
      <c r="G96" s="41">
        <f>+G74</f>
        <v>0.97741997022016525</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1509122.375</v>
      </c>
      <c r="E99" s="5"/>
      <c r="F99" s="5"/>
      <c r="G99" s="7"/>
      <c r="H99" s="5"/>
      <c r="I99" s="5">
        <f>I140/8</f>
        <v>252541.87651484075</v>
      </c>
      <c r="J99" s="12"/>
      <c r="K99" s="7"/>
      <c r="L99" s="51"/>
      <c r="N99" s="46"/>
      <c r="O99" s="33"/>
      <c r="P99" s="4"/>
    </row>
    <row r="100" spans="1:16">
      <c r="A100" s="1">
        <v>27</v>
      </c>
      <c r="B100" s="4" t="s">
        <v>65</v>
      </c>
      <c r="C100" s="3" t="s">
        <v>211</v>
      </c>
      <c r="D100" s="8">
        <f>'Materials and Prepayments'!G22</f>
        <v>420000</v>
      </c>
      <c r="E100" s="5"/>
      <c r="F100" s="5" t="s">
        <v>66</v>
      </c>
      <c r="G100" s="41">
        <f>I211</f>
        <v>0.94733892633935679</v>
      </c>
      <c r="H100" s="5"/>
      <c r="I100" s="5">
        <f>G100*D100</f>
        <v>397882.34906252986</v>
      </c>
      <c r="J100" s="5" t="s">
        <v>2</v>
      </c>
      <c r="K100" s="7"/>
      <c r="L100" s="51"/>
      <c r="N100" s="46"/>
      <c r="O100" s="14"/>
      <c r="P100" s="4"/>
    </row>
    <row r="101" spans="1:16" ht="16.5" thickBot="1">
      <c r="A101" s="1">
        <v>28</v>
      </c>
      <c r="B101" s="4" t="s">
        <v>67</v>
      </c>
      <c r="C101" s="3" t="s">
        <v>242</v>
      </c>
      <c r="D101" s="531">
        <f>'Materials and Prepayments'!H22</f>
        <v>654273.07692307688</v>
      </c>
      <c r="E101" s="5"/>
      <c r="F101" s="5" t="s">
        <v>68</v>
      </c>
      <c r="G101" s="41">
        <f>+G70</f>
        <v>0.17489108776921747</v>
      </c>
      <c r="H101" s="5"/>
      <c r="I101" s="24">
        <f>+G101*D101</f>
        <v>114426.5301211898</v>
      </c>
      <c r="J101" s="5"/>
      <c r="K101" s="7"/>
      <c r="L101" s="51"/>
      <c r="N101" s="46"/>
      <c r="O101" s="14"/>
      <c r="P101" s="4"/>
    </row>
    <row r="102" spans="1:16">
      <c r="A102" s="1">
        <v>29</v>
      </c>
      <c r="B102" s="4" t="s">
        <v>212</v>
      </c>
      <c r="C102" s="12"/>
      <c r="D102" s="5">
        <f>D99+D100+D101</f>
        <v>2583395.451923077</v>
      </c>
      <c r="E102" s="12"/>
      <c r="F102" s="12"/>
      <c r="G102" s="12"/>
      <c r="H102" s="12"/>
      <c r="I102" s="5">
        <f>I99+I100+I101</f>
        <v>764850.75569856039</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154123872.70804486</v>
      </c>
      <c r="E104" s="5"/>
      <c r="F104" s="5"/>
      <c r="G104" s="7"/>
      <c r="H104" s="5"/>
      <c r="I104" s="48">
        <f>+I102+I96+I94+I86</f>
        <v>46792191.052436672</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167</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12/31/17</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t="s">
        <v>266</v>
      </c>
      <c r="C129" s="38" t="s">
        <v>40</v>
      </c>
      <c r="D129" s="37" t="s">
        <v>41</v>
      </c>
      <c r="E129" s="39"/>
      <c r="F129" s="37" t="s">
        <v>42</v>
      </c>
      <c r="H129" s="39"/>
      <c r="I129" s="1" t="s">
        <v>987</v>
      </c>
      <c r="J129" s="5"/>
      <c r="K129" s="37"/>
      <c r="L129" s="8" t="s">
        <v>2</v>
      </c>
      <c r="M129" s="52"/>
      <c r="N129" s="37"/>
      <c r="O129" s="5"/>
      <c r="P129" s="4"/>
    </row>
    <row r="130" spans="1:16">
      <c r="A130" s="1"/>
      <c r="C130" s="5"/>
      <c r="D130" s="5"/>
      <c r="E130" s="5"/>
      <c r="F130" s="5"/>
      <c r="G130" s="5"/>
      <c r="H130" s="5"/>
      <c r="I130" s="5"/>
      <c r="J130" s="5"/>
      <c r="K130" s="5"/>
      <c r="L130" s="51"/>
      <c r="M130" s="52"/>
      <c r="N130" s="5"/>
      <c r="O130" s="5"/>
      <c r="P130" s="4"/>
    </row>
    <row r="131" spans="1:16">
      <c r="A131" s="1">
        <v>1</v>
      </c>
      <c r="B131" s="4" t="s">
        <v>70</v>
      </c>
      <c r="C131" s="3" t="s">
        <v>243</v>
      </c>
      <c r="D131" s="8">
        <f>'Op &amp; Maint Sched 7'!F21</f>
        <v>8451400</v>
      </c>
      <c r="E131" s="5"/>
      <c r="F131" s="5" t="s">
        <v>66</v>
      </c>
      <c r="G131" s="41">
        <f>I211</f>
        <v>0.94733892633935679</v>
      </c>
      <c r="H131" s="5"/>
      <c r="I131" s="5">
        <f t="shared" ref="I131:I139" si="1">+G131*D131</f>
        <v>8006340.2020644397</v>
      </c>
      <c r="J131" s="12"/>
      <c r="L131" s="8"/>
      <c r="M131" s="51"/>
      <c r="N131" s="5"/>
      <c r="O131" s="14"/>
      <c r="P131" s="5" t="s">
        <v>2</v>
      </c>
    </row>
    <row r="132" spans="1:16">
      <c r="A132" s="50" t="s">
        <v>184</v>
      </c>
      <c r="B132" s="51" t="s">
        <v>213</v>
      </c>
      <c r="C132" s="52"/>
      <c r="D132" s="8">
        <f>'Transmission O&amp;M'!C12+'Transmission O&amp;M'!C16</f>
        <v>7000</v>
      </c>
      <c r="E132" s="5"/>
      <c r="F132" s="130"/>
      <c r="G132" s="41">
        <v>1</v>
      </c>
      <c r="H132" s="5"/>
      <c r="I132" s="5">
        <f>+G132*D132</f>
        <v>7000</v>
      </c>
      <c r="J132" s="12"/>
      <c r="K132" s="5"/>
      <c r="L132" s="51"/>
      <c r="M132" s="52"/>
      <c r="N132" s="5"/>
      <c r="O132" s="14"/>
      <c r="P132" s="5"/>
    </row>
    <row r="133" spans="1:16">
      <c r="A133" s="1">
        <v>2</v>
      </c>
      <c r="B133" s="4" t="s">
        <v>71</v>
      </c>
      <c r="C133" s="3" t="s">
        <v>2</v>
      </c>
      <c r="D133" s="8">
        <f>'Transmission O&amp;M'!C20</f>
        <v>7510000</v>
      </c>
      <c r="E133" s="5"/>
      <c r="F133" s="5" t="s">
        <v>66</v>
      </c>
      <c r="G133" s="41">
        <f>+G131</f>
        <v>0.94733892633935679</v>
      </c>
      <c r="H133" s="5"/>
      <c r="I133" s="5">
        <f t="shared" si="1"/>
        <v>7114515.3368085697</v>
      </c>
      <c r="J133" s="12"/>
      <c r="L133" s="8"/>
      <c r="M133" s="51"/>
      <c r="O133" s="5"/>
      <c r="P133" s="5"/>
    </row>
    <row r="134" spans="1:16">
      <c r="A134" s="1">
        <v>3</v>
      </c>
      <c r="B134" s="4" t="s">
        <v>72</v>
      </c>
      <c r="C134" s="3" t="s">
        <v>244</v>
      </c>
      <c r="D134" s="8">
        <f>'Op &amp; Maint Sched 7'!F29</f>
        <v>11225479</v>
      </c>
      <c r="E134" s="5"/>
      <c r="F134" s="5" t="s">
        <v>48</v>
      </c>
      <c r="G134" s="41">
        <f>I218</f>
        <v>8.4079747161863644E-2</v>
      </c>
      <c r="H134" s="5"/>
      <c r="I134" s="5">
        <f t="shared" si="1"/>
        <v>943835.43609080999</v>
      </c>
      <c r="J134" s="5"/>
      <c r="L134" s="8"/>
      <c r="M134" s="51"/>
      <c r="N134" s="5"/>
      <c r="O134" s="14"/>
      <c r="P134" s="4"/>
    </row>
    <row r="135" spans="1:16">
      <c r="A135" s="1">
        <v>4</v>
      </c>
      <c r="B135" s="4" t="s">
        <v>73</v>
      </c>
      <c r="C135" s="5"/>
      <c r="D135" s="8">
        <f>'FERC Fees'!C14</f>
        <v>0</v>
      </c>
      <c r="E135" s="5"/>
      <c r="F135" s="5" t="str">
        <f>+F134</f>
        <v>W/S</v>
      </c>
      <c r="G135" s="41">
        <f>I218</f>
        <v>8.4079747161863644E-2</v>
      </c>
      <c r="H135" s="5"/>
      <c r="I135" s="5">
        <f t="shared" si="1"/>
        <v>0</v>
      </c>
      <c r="J135" s="5"/>
      <c r="K135" s="5"/>
      <c r="L135" s="51"/>
      <c r="M135" s="52"/>
      <c r="N135" s="5"/>
      <c r="O135" s="14"/>
      <c r="P135" s="4"/>
    </row>
    <row r="136" spans="1:16">
      <c r="A136" s="1">
        <v>5</v>
      </c>
      <c r="B136" s="4" t="s">
        <v>214</v>
      </c>
      <c r="C136" s="5"/>
      <c r="D136" s="8">
        <f>'EPRI Reg Comm Non Safety'!B8+'EPRI Reg Comm Non Safety'!B16+'EPRI Reg Comm Non Safety'!B22</f>
        <v>317400</v>
      </c>
      <c r="E136" s="5"/>
      <c r="F136" s="5" t="str">
        <f>+F135</f>
        <v>W/S</v>
      </c>
      <c r="G136" s="41">
        <f>I218</f>
        <v>8.4079747161863644E-2</v>
      </c>
      <c r="H136" s="5"/>
      <c r="I136" s="5">
        <f t="shared" si="1"/>
        <v>26686.911749175521</v>
      </c>
      <c r="J136" s="5"/>
      <c r="K136" s="5"/>
      <c r="L136" s="51"/>
      <c r="M136" s="52"/>
      <c r="N136" s="5"/>
      <c r="O136" s="14"/>
      <c r="P136" s="4"/>
    </row>
    <row r="137" spans="1:16">
      <c r="A137" s="1" t="s">
        <v>160</v>
      </c>
      <c r="B137" s="4" t="s">
        <v>215</v>
      </c>
      <c r="C137" s="5"/>
      <c r="D137" s="8">
        <f>'EPRI Reg Comm Non Safety'!B16</f>
        <v>230500</v>
      </c>
      <c r="E137" s="5"/>
      <c r="F137" s="5" t="str">
        <f>+F131</f>
        <v>TE</v>
      </c>
      <c r="G137" s="41">
        <f>+G131</f>
        <v>0.94733892633935679</v>
      </c>
      <c r="H137" s="5"/>
      <c r="I137" s="5">
        <f t="shared" si="1"/>
        <v>218361.62252122175</v>
      </c>
      <c r="J137" s="5"/>
      <c r="K137" s="5"/>
      <c r="L137" s="51"/>
      <c r="M137" s="52"/>
      <c r="N137" s="5"/>
      <c r="O137" s="14"/>
      <c r="P137" s="4"/>
    </row>
    <row r="138" spans="1:16">
      <c r="A138" s="1">
        <v>6</v>
      </c>
      <c r="B138" s="4" t="s">
        <v>49</v>
      </c>
      <c r="C138" s="5"/>
      <c r="D138" s="872">
        <v>0</v>
      </c>
      <c r="E138" s="5"/>
      <c r="F138" s="5" t="s">
        <v>50</v>
      </c>
      <c r="G138" s="41">
        <f>K222</f>
        <v>8.4079747161863644E-2</v>
      </c>
      <c r="H138" s="5"/>
      <c r="I138" s="5">
        <f t="shared" si="1"/>
        <v>0</v>
      </c>
      <c r="J138" s="5"/>
      <c r="K138" s="5"/>
      <c r="L138" s="51"/>
      <c r="M138" s="52"/>
      <c r="N138" s="5"/>
      <c r="O138" s="14"/>
      <c r="P138" s="4"/>
    </row>
    <row r="139" spans="1:16" ht="16.5" thickBot="1">
      <c r="A139" s="1">
        <v>7</v>
      </c>
      <c r="B139" s="4" t="s">
        <v>74</v>
      </c>
      <c r="C139" s="5"/>
      <c r="D139" s="531">
        <v>0</v>
      </c>
      <c r="E139" s="5"/>
      <c r="F139" s="5" t="s">
        <v>44</v>
      </c>
      <c r="G139" s="41">
        <v>1</v>
      </c>
      <c r="H139" s="5"/>
      <c r="I139" s="24">
        <f t="shared" si="1"/>
        <v>0</v>
      </c>
      <c r="J139" s="5"/>
      <c r="K139" s="5"/>
      <c r="L139" s="51"/>
      <c r="M139" s="52"/>
      <c r="N139" s="5"/>
      <c r="O139" s="33"/>
      <c r="P139" s="4"/>
    </row>
    <row r="140" spans="1:16">
      <c r="A140" s="50">
        <v>8</v>
      </c>
      <c r="B140" s="51" t="s">
        <v>245</v>
      </c>
      <c r="C140" s="8"/>
      <c r="D140" s="8">
        <f>+D131-D133+D134-D135-D136+D137+D138+D139-D132</f>
        <v>12072979</v>
      </c>
      <c r="E140" s="8"/>
      <c r="F140" s="8"/>
      <c r="G140" s="8"/>
      <c r="H140" s="8"/>
      <c r="I140" s="8">
        <f>+I131-I133+I134-I135-I136+I137+I138+I139-I132</f>
        <v>2020335.012118726</v>
      </c>
      <c r="J140" s="8"/>
      <c r="K140" s="8"/>
      <c r="L140" s="8"/>
      <c r="M140" s="52"/>
      <c r="N140" s="129"/>
      <c r="O140" s="53"/>
      <c r="P140" s="4"/>
    </row>
    <row r="141" spans="1:16">
      <c r="A141" s="1"/>
      <c r="C141" s="5"/>
      <c r="E141" s="5"/>
      <c r="F141" s="5"/>
      <c r="G141" s="5"/>
      <c r="H141" s="5"/>
      <c r="J141" s="5"/>
      <c r="K141" s="5"/>
      <c r="L141" s="8"/>
      <c r="M141" s="52"/>
      <c r="N141" s="5"/>
      <c r="O141" s="5"/>
      <c r="P141" s="4"/>
    </row>
    <row r="142" spans="1:16">
      <c r="A142" s="1"/>
      <c r="B142" s="4" t="s">
        <v>267</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4'!K17-Plant!H66</f>
        <v>1501966</v>
      </c>
      <c r="E143" s="5"/>
      <c r="F143" s="5" t="s">
        <v>12</v>
      </c>
      <c r="G143" s="41">
        <f>+G96</f>
        <v>0.97741997022016525</v>
      </c>
      <c r="H143" s="5"/>
      <c r="I143" s="5">
        <f>+G143*D143</f>
        <v>1468051.5629917006</v>
      </c>
      <c r="J143" s="5"/>
      <c r="K143" s="7"/>
      <c r="L143" s="704" t="s">
        <v>981</v>
      </c>
      <c r="M143" s="52"/>
      <c r="N143" s="5"/>
      <c r="O143" s="14"/>
      <c r="P143"/>
    </row>
    <row r="144" spans="1:16">
      <c r="A144" s="1">
        <v>10</v>
      </c>
      <c r="B144" s="4" t="s">
        <v>268</v>
      </c>
      <c r="C144" s="3" t="s">
        <v>2</v>
      </c>
      <c r="D144" s="8">
        <f>+'Plant Sched 4'!K19+'Plant Sched 4'!K9</f>
        <v>2466192</v>
      </c>
      <c r="E144" s="5"/>
      <c r="F144" s="5" t="s">
        <v>48</v>
      </c>
      <c r="G144" s="41">
        <f>+G134</f>
        <v>8.4079747161863644E-2</v>
      </c>
      <c r="H144" s="5"/>
      <c r="I144" s="5">
        <f>+G144*D144</f>
        <v>207356.79981261081</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8.4079747161863644E-2</v>
      </c>
      <c r="H145" s="5"/>
      <c r="I145" s="24">
        <f>+G145*D145</f>
        <v>0</v>
      </c>
      <c r="J145" s="5"/>
      <c r="K145" s="7"/>
      <c r="L145" s="51"/>
      <c r="M145" s="52"/>
      <c r="N145" s="5"/>
      <c r="O145" s="14"/>
      <c r="P145" s="5" t="s">
        <v>2</v>
      </c>
    </row>
    <row r="146" spans="1:16">
      <c r="A146" s="1">
        <v>12</v>
      </c>
      <c r="B146" s="4" t="s">
        <v>216</v>
      </c>
      <c r="C146" s="5"/>
      <c r="D146" s="5">
        <f>SUM(D143:D145)</f>
        <v>3968158</v>
      </c>
      <c r="E146" s="5"/>
      <c r="F146" s="5"/>
      <c r="G146" s="5"/>
      <c r="H146" s="5"/>
      <c r="I146" s="5">
        <f>SUM(I143:I145)</f>
        <v>1675408.3628043113</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217</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940000</v>
      </c>
      <c r="E150" s="5"/>
      <c r="F150" s="5" t="s">
        <v>48</v>
      </c>
      <c r="G150" s="21">
        <f>+G144</f>
        <v>8.4079747161863644E-2</v>
      </c>
      <c r="H150" s="5"/>
      <c r="I150" s="5">
        <f>+G150*D150</f>
        <v>79034.96233215183</v>
      </c>
      <c r="J150" s="5"/>
      <c r="K150" s="7"/>
      <c r="L150" s="51"/>
      <c r="M150" s="52"/>
      <c r="N150" s="46"/>
      <c r="O150" s="14"/>
      <c r="P150" s="4"/>
    </row>
    <row r="151" spans="1:16">
      <c r="A151" s="1">
        <v>14</v>
      </c>
      <c r="B151" s="4" t="s">
        <v>77</v>
      </c>
      <c r="C151" s="5"/>
      <c r="D151" s="8">
        <f>'Taxes other than inc tax'!D8</f>
        <v>0</v>
      </c>
      <c r="E151" s="5"/>
      <c r="F151" s="5" t="str">
        <f>+F150</f>
        <v>W/S</v>
      </c>
      <c r="G151" s="21">
        <f>+G150</f>
        <v>8.4079747161863644E-2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0.17489108776921747</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t="s">
        <v>159</v>
      </c>
      <c r="H154" s="5"/>
      <c r="I154" s="5">
        <v>0</v>
      </c>
      <c r="J154" s="5"/>
      <c r="K154" s="7"/>
      <c r="L154" s="51"/>
      <c r="M154" s="52"/>
      <c r="N154" s="46"/>
      <c r="O154" s="14"/>
      <c r="P154" s="4"/>
    </row>
    <row r="155" spans="1:16">
      <c r="A155" s="1">
        <v>18</v>
      </c>
      <c r="B155" s="4" t="s">
        <v>81</v>
      </c>
      <c r="C155" s="5"/>
      <c r="D155" s="8">
        <v>0</v>
      </c>
      <c r="E155" s="5"/>
      <c r="F155" s="5" t="str">
        <f>+F153</f>
        <v>GP</v>
      </c>
      <c r="G155" s="21">
        <f>+G153</f>
        <v>0.17489108776921747</v>
      </c>
      <c r="H155" s="5"/>
      <c r="I155" s="5">
        <f>+G155*D155</f>
        <v>0</v>
      </c>
      <c r="J155" s="5"/>
      <c r="K155" s="7"/>
      <c r="L155" s="51"/>
      <c r="M155" s="52"/>
      <c r="N155" s="46"/>
      <c r="O155" s="14"/>
      <c r="P155" s="4"/>
    </row>
    <row r="156" spans="1:16" ht="16.5" thickBot="1">
      <c r="A156" s="1">
        <v>19</v>
      </c>
      <c r="B156" s="4" t="s">
        <v>82</v>
      </c>
      <c r="C156" s="5"/>
      <c r="D156" s="531">
        <f>'Taxes Sched 5'!C8</f>
        <v>8676000</v>
      </c>
      <c r="E156" s="5"/>
      <c r="F156" s="5" t="s">
        <v>68</v>
      </c>
      <c r="G156" s="21">
        <f>+G155</f>
        <v>0.17489108776921747</v>
      </c>
      <c r="H156" s="5"/>
      <c r="I156" s="24">
        <f>+G156*D156</f>
        <v>1517355.0774857306</v>
      </c>
      <c r="J156" s="5"/>
      <c r="L156" s="8"/>
      <c r="M156" s="51"/>
      <c r="N156" s="46"/>
      <c r="O156" s="14"/>
      <c r="P156" s="4"/>
    </row>
    <row r="157" spans="1:16">
      <c r="A157" s="1">
        <v>20</v>
      </c>
      <c r="B157" s="4" t="s">
        <v>83</v>
      </c>
      <c r="C157" s="5"/>
      <c r="D157" s="5">
        <f>SUM(D150:D156)</f>
        <v>9616000</v>
      </c>
      <c r="E157" s="5"/>
      <c r="F157" s="5"/>
      <c r="G157" s="21"/>
      <c r="H157" s="5"/>
      <c r="I157" s="5">
        <f>SUM(I150:I156)</f>
        <v>1596390.0398178825</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195</v>
      </c>
      <c r="D159" s="5"/>
      <c r="E159" s="5"/>
      <c r="F159" s="5"/>
      <c r="G159" s="56"/>
      <c r="H159" s="5"/>
      <c r="I159" s="5"/>
      <c r="J159" s="5"/>
      <c r="L159" s="8"/>
      <c r="M159" s="52"/>
      <c r="N159" s="5"/>
      <c r="O159" s="33"/>
      <c r="P159" s="5" t="s">
        <v>2</v>
      </c>
    </row>
    <row r="160" spans="1:16">
      <c r="A160" s="1">
        <v>21</v>
      </c>
      <c r="B160" s="506" t="s">
        <v>885</v>
      </c>
      <c r="C160" s="8"/>
      <c r="D160" s="57">
        <f>IF(D276&gt;0,1-(((1-D277)*(1-D276))/(1-D277*D276*D278)),0)</f>
        <v>0</v>
      </c>
      <c r="E160" s="5"/>
      <c r="G160" s="56"/>
      <c r="H160" s="5"/>
      <c r="J160" s="5"/>
      <c r="L160" s="5"/>
      <c r="N160" s="5"/>
      <c r="O160" s="33"/>
      <c r="P160" s="5"/>
    </row>
    <row r="161" spans="1:16">
      <c r="A161" s="1">
        <v>22</v>
      </c>
      <c r="B161" s="52" t="s">
        <v>886</v>
      </c>
      <c r="C161" s="8"/>
      <c r="D161" s="57">
        <f>IF(I232&gt;0,(D160/(1-D160))*(1-I230/I232),0)</f>
        <v>0</v>
      </c>
      <c r="E161" s="5"/>
      <c r="G161" s="56"/>
      <c r="H161" s="5"/>
      <c r="J161" s="5"/>
      <c r="L161" s="5"/>
      <c r="N161" s="5"/>
      <c r="O161" s="14"/>
      <c r="P161" s="5"/>
    </row>
    <row r="162" spans="1:16">
      <c r="A162" s="1"/>
      <c r="B162" s="51" t="s">
        <v>269</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06" t="s">
        <v>87</v>
      </c>
      <c r="C164" s="8"/>
      <c r="D164" s="58">
        <f>IF(D160&gt;0,1/(1-D160),0)</f>
        <v>0</v>
      </c>
      <c r="E164" s="5"/>
      <c r="G164" s="56"/>
      <c r="H164" s="5"/>
      <c r="J164" s="5"/>
      <c r="L164" s="4"/>
      <c r="N164" s="5"/>
      <c r="O164" s="14"/>
      <c r="P164" s="5"/>
    </row>
    <row r="165" spans="1:16">
      <c r="A165" s="1">
        <v>24</v>
      </c>
      <c r="B165" s="51" t="s">
        <v>272</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06" t="s">
        <v>887</v>
      </c>
      <c r="C167" s="507"/>
      <c r="D167" s="5">
        <f>D161*D171</f>
        <v>0</v>
      </c>
      <c r="E167" s="5"/>
      <c r="F167" s="5" t="s">
        <v>44</v>
      </c>
      <c r="G167" s="21"/>
      <c r="H167" s="5"/>
      <c r="I167" s="5">
        <f>D161*I171</f>
        <v>0</v>
      </c>
      <c r="J167" s="5"/>
      <c r="L167" s="4"/>
      <c r="N167" s="5"/>
      <c r="O167" s="14"/>
      <c r="P167" s="5"/>
    </row>
    <row r="168" spans="1:16" ht="16.5" thickBot="1">
      <c r="A168" s="1">
        <v>26</v>
      </c>
      <c r="B168" s="52" t="s">
        <v>888</v>
      </c>
      <c r="C168" s="507"/>
      <c r="D168" s="24">
        <f>D164*D165</f>
        <v>0</v>
      </c>
      <c r="E168" s="5"/>
      <c r="F168" s="3" t="s">
        <v>55</v>
      </c>
      <c r="G168" s="21">
        <f>G86</f>
        <v>0.30372967757615232</v>
      </c>
      <c r="H168" s="5"/>
      <c r="I168" s="24">
        <f>G168*D168</f>
        <v>0</v>
      </c>
      <c r="J168" s="5"/>
      <c r="L168" s="5" t="s">
        <v>2</v>
      </c>
      <c r="N168" s="5"/>
      <c r="O168" s="14"/>
      <c r="P168" s="5"/>
    </row>
    <row r="169" spans="1:16">
      <c r="A169" s="1">
        <v>27</v>
      </c>
      <c r="B169" s="508" t="s">
        <v>988</v>
      </c>
      <c r="C169" s="847"/>
      <c r="D169" s="9">
        <f>+D167+D168</f>
        <v>0</v>
      </c>
      <c r="E169" s="5"/>
      <c r="F169" s="5" t="s">
        <v>2</v>
      </c>
      <c r="G169" s="21" t="s">
        <v>2</v>
      </c>
      <c r="H169" s="5"/>
      <c r="I169" s="9">
        <f>+I167+I168</f>
        <v>0</v>
      </c>
      <c r="J169" s="5"/>
      <c r="L169" s="5"/>
      <c r="N169" s="5"/>
      <c r="O169" s="14"/>
      <c r="P169" s="5"/>
    </row>
    <row r="170" spans="1:16">
      <c r="A170" s="1" t="s">
        <v>2</v>
      </c>
      <c r="B170" s="52"/>
      <c r="C170" s="509"/>
      <c r="D170" s="5"/>
      <c r="E170" s="5"/>
      <c r="F170" s="5"/>
      <c r="G170" s="21"/>
      <c r="H170" s="5"/>
      <c r="I170" s="5"/>
      <c r="J170" s="5"/>
      <c r="K170" s="5"/>
      <c r="L170" s="5"/>
      <c r="N170" s="5"/>
      <c r="O170" s="5"/>
      <c r="P170" s="4"/>
    </row>
    <row r="171" spans="1:16">
      <c r="A171" s="1">
        <v>28</v>
      </c>
      <c r="B171" s="51" t="s">
        <v>89</v>
      </c>
      <c r="C171" s="510"/>
      <c r="D171" s="5">
        <f>+$I232*D104</f>
        <v>9844560.6500994451</v>
      </c>
      <c r="E171" s="5"/>
      <c r="F171" s="5" t="s">
        <v>44</v>
      </c>
      <c r="G171" s="56"/>
      <c r="H171" s="5"/>
      <c r="I171" s="5">
        <f>+$I232*I104</f>
        <v>2988820.3214264861</v>
      </c>
      <c r="J171" s="5"/>
      <c r="L171" s="4"/>
      <c r="N171" s="5"/>
      <c r="O171" s="14"/>
      <c r="P171" s="5" t="s">
        <v>2</v>
      </c>
    </row>
    <row r="172" spans="1:16">
      <c r="A172" s="1"/>
      <c r="B172" s="508" t="s">
        <v>889</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218</v>
      </c>
      <c r="C174" s="5"/>
      <c r="D174" s="6">
        <f>+D171+D169+D157+D146+D140</f>
        <v>35501697.650099441</v>
      </c>
      <c r="E174" s="5"/>
      <c r="F174" s="5"/>
      <c r="G174" s="5"/>
      <c r="H174" s="5"/>
      <c r="I174" s="6">
        <f>+I171+I169+I157+I146+I140</f>
        <v>8280953.7361674057</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250</v>
      </c>
      <c r="J176" s="12"/>
      <c r="K176" s="12"/>
      <c r="L176" s="12"/>
      <c r="N176" s="12"/>
      <c r="O176" s="33"/>
      <c r="P176" s="4"/>
    </row>
    <row r="177" spans="1:16">
      <c r="A177" s="1"/>
      <c r="B177" s="3" t="s">
        <v>192</v>
      </c>
      <c r="J177" s="12"/>
      <c r="K177" s="12"/>
      <c r="L177" s="12"/>
      <c r="N177" s="12"/>
      <c r="O177" s="33"/>
      <c r="P177" s="4"/>
    </row>
    <row r="178" spans="1:16">
      <c r="A178" s="1"/>
      <c r="B178" s="3" t="s">
        <v>193</v>
      </c>
      <c r="D178" s="532">
        <f>'Att GG_RPU'!L95</f>
        <v>3017990.1335408767</v>
      </c>
      <c r="E178" s="4"/>
      <c r="F178" s="4"/>
      <c r="G178" s="4"/>
      <c r="H178" s="4"/>
      <c r="I178" s="535">
        <f>D178</f>
        <v>3017990.1335408767</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253</v>
      </c>
      <c r="B180" s="52" t="s">
        <v>273</v>
      </c>
      <c r="C180" s="52"/>
      <c r="D180" s="52"/>
      <c r="J180" s="5"/>
      <c r="K180" s="5"/>
      <c r="L180" s="12"/>
      <c r="N180" s="5"/>
      <c r="O180" s="14"/>
      <c r="P180" s="5" t="s">
        <v>2</v>
      </c>
    </row>
    <row r="181" spans="1:16">
      <c r="A181" s="1"/>
      <c r="B181" s="3" t="s">
        <v>192</v>
      </c>
      <c r="J181" s="5"/>
      <c r="K181" s="5"/>
      <c r="L181" s="12"/>
      <c r="N181" s="5"/>
      <c r="O181" s="14"/>
      <c r="P181" s="5"/>
    </row>
    <row r="182" spans="1:16" ht="16.5" thickBot="1">
      <c r="A182" s="1"/>
      <c r="B182" s="3" t="s">
        <v>254</v>
      </c>
      <c r="D182" s="121">
        <v>0</v>
      </c>
      <c r="E182" s="4"/>
      <c r="F182" s="4"/>
      <c r="G182" s="4"/>
      <c r="H182" s="4"/>
      <c r="I182" s="121">
        <v>0</v>
      </c>
      <c r="J182" s="5"/>
      <c r="K182" s="5"/>
      <c r="L182" s="12"/>
      <c r="N182" s="5"/>
      <c r="O182" s="14"/>
      <c r="P182" s="5"/>
    </row>
    <row r="183" spans="1:16" ht="16.5" thickBot="1">
      <c r="A183" s="50">
        <v>31</v>
      </c>
      <c r="B183" s="52" t="s">
        <v>191</v>
      </c>
      <c r="C183" s="52"/>
      <c r="D183" s="128">
        <f>+D174-D178-D182</f>
        <v>32483707.516558565</v>
      </c>
      <c r="E183" s="52"/>
      <c r="F183" s="52"/>
      <c r="G183" s="52"/>
      <c r="H183" s="52"/>
      <c r="I183" s="128">
        <f>+I174-I178-I182</f>
        <v>5262963.6026265286</v>
      </c>
      <c r="J183" s="8"/>
      <c r="K183" s="8"/>
      <c r="L183" s="120"/>
      <c r="M183" s="52"/>
      <c r="N183" s="8"/>
      <c r="O183" s="14"/>
      <c r="P183" s="5"/>
    </row>
    <row r="184" spans="1:16" ht="16.5" thickTop="1">
      <c r="A184" s="1"/>
      <c r="B184" s="3" t="s">
        <v>255</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168</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12/31/17</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219</v>
      </c>
      <c r="C197" s="12"/>
      <c r="D197" s="5"/>
      <c r="E197" s="5"/>
      <c r="F197" s="5"/>
      <c r="G197" s="5"/>
      <c r="H197" s="5"/>
      <c r="I197" s="5">
        <f>D66</f>
        <v>59557080</v>
      </c>
      <c r="J197" s="5"/>
      <c r="K197" s="5"/>
      <c r="L197" s="4"/>
      <c r="N197" s="12"/>
      <c r="O197" s="5"/>
      <c r="P197" s="4"/>
    </row>
    <row r="198" spans="1:17">
      <c r="A198" s="1">
        <v>2</v>
      </c>
      <c r="B198" s="11" t="s">
        <v>220</v>
      </c>
      <c r="I198" s="43">
        <v>0</v>
      </c>
      <c r="J198" s="5"/>
      <c r="K198" s="5"/>
      <c r="L198" s="4"/>
      <c r="N198" s="12"/>
      <c r="O198" s="5"/>
      <c r="P198" s="4"/>
    </row>
    <row r="199" spans="1:17" ht="16.5" thickBot="1">
      <c r="A199" s="1">
        <v>3</v>
      </c>
      <c r="B199" s="66" t="s">
        <v>221</v>
      </c>
      <c r="C199" s="67"/>
      <c r="D199" s="6"/>
      <c r="E199" s="5"/>
      <c r="F199" s="5"/>
      <c r="G199" s="46"/>
      <c r="H199" s="5"/>
      <c r="I199" s="42">
        <v>1344800.6400000001</v>
      </c>
      <c r="J199" s="5"/>
      <c r="K199" s="5"/>
      <c r="L199" s="4"/>
      <c r="N199" s="12"/>
      <c r="O199" s="5"/>
      <c r="P199" s="4"/>
    </row>
    <row r="200" spans="1:17">
      <c r="A200" s="1">
        <v>4</v>
      </c>
      <c r="B200" s="504" t="s">
        <v>989</v>
      </c>
      <c r="C200" s="120"/>
      <c r="D200" s="8"/>
      <c r="E200" s="5"/>
      <c r="F200" s="5"/>
      <c r="G200" s="46"/>
      <c r="H200" s="5"/>
      <c r="I200" s="5">
        <f>I197-I198-I199</f>
        <v>58212279.359999999</v>
      </c>
      <c r="J200" s="5"/>
      <c r="K200" s="5"/>
      <c r="L200" s="4"/>
      <c r="N200" s="12"/>
      <c r="O200" s="5"/>
      <c r="P200" s="4"/>
    </row>
    <row r="201" spans="1:17">
      <c r="A201" s="1"/>
      <c r="B201" s="52"/>
      <c r="C201" s="120"/>
      <c r="D201" s="8"/>
      <c r="E201" s="5"/>
      <c r="F201" s="5"/>
      <c r="G201" s="46"/>
      <c r="H201" s="5"/>
      <c r="J201" s="5"/>
      <c r="K201" s="5"/>
    </row>
    <row r="202" spans="1:17">
      <c r="A202" s="1">
        <v>5</v>
      </c>
      <c r="B202" s="504" t="s">
        <v>997</v>
      </c>
      <c r="C202" s="511"/>
      <c r="D202" s="512"/>
      <c r="E202" s="68"/>
      <c r="F202" s="68"/>
      <c r="G202" s="35"/>
      <c r="H202" s="5" t="s">
        <v>94</v>
      </c>
      <c r="I202" s="45">
        <f>IF(I197&gt;0,I200/I197,0)</f>
        <v>0.97741997022016525</v>
      </c>
      <c r="J202" s="5"/>
      <c r="K202" s="5"/>
    </row>
    <row r="203" spans="1:17">
      <c r="B203" s="52"/>
      <c r="C203" s="52"/>
      <c r="D203" s="52"/>
      <c r="J203" s="5"/>
      <c r="K203" s="5"/>
      <c r="M203" s="127" t="s">
        <v>249</v>
      </c>
    </row>
    <row r="204" spans="1:17">
      <c r="B204" s="51" t="s">
        <v>91</v>
      </c>
      <c r="C204" s="52"/>
      <c r="D204" s="52"/>
      <c r="J204" s="5"/>
      <c r="K204" s="5"/>
    </row>
    <row r="205" spans="1:17">
      <c r="A205" s="1">
        <v>6</v>
      </c>
      <c r="B205" s="52" t="s">
        <v>222</v>
      </c>
      <c r="C205" s="52"/>
      <c r="D205" s="120"/>
      <c r="E205" s="12"/>
      <c r="F205" s="12"/>
      <c r="G205" s="14"/>
      <c r="H205" s="12"/>
      <c r="I205" s="5">
        <f>D131</f>
        <v>8451400</v>
      </c>
      <c r="J205" s="5"/>
      <c r="K205" s="5"/>
      <c r="L205" s="953" t="s">
        <v>766</v>
      </c>
      <c r="M205" s="954"/>
      <c r="N205" s="954"/>
      <c r="O205" s="954"/>
      <c r="P205" s="954"/>
      <c r="Q205" s="955"/>
    </row>
    <row r="206" spans="1:17" ht="16.5" thickBot="1">
      <c r="A206" s="1">
        <v>7</v>
      </c>
      <c r="B206" s="136" t="s">
        <v>223</v>
      </c>
      <c r="C206" s="513"/>
      <c r="D206" s="514"/>
      <c r="E206" s="6"/>
      <c r="F206" s="5"/>
      <c r="G206" s="5"/>
      <c r="H206" s="5"/>
      <c r="I206" s="531">
        <f>'Transmission O&amp;M'!C9+'Transmission O&amp;M'!C10+'Transmission O&amp;M'!C11</f>
        <v>260100</v>
      </c>
      <c r="J206" s="5"/>
      <c r="K206" s="5"/>
      <c r="L206" s="124">
        <f>+I206</f>
        <v>260100</v>
      </c>
      <c r="M206" s="72" t="s">
        <v>180</v>
      </c>
      <c r="N206" s="110"/>
      <c r="O206" s="6"/>
      <c r="P206" s="70"/>
      <c r="Q206" s="71"/>
    </row>
    <row r="207" spans="1:17">
      <c r="A207" s="1">
        <v>8</v>
      </c>
      <c r="B207" s="504" t="s">
        <v>995</v>
      </c>
      <c r="C207" s="511"/>
      <c r="D207" s="512"/>
      <c r="E207" s="68"/>
      <c r="F207" s="68"/>
      <c r="G207" s="35"/>
      <c r="H207" s="68"/>
      <c r="I207" s="5">
        <f>+I205-I206</f>
        <v>8191300</v>
      </c>
      <c r="J207" s="5"/>
      <c r="K207" s="5"/>
      <c r="L207" s="123">
        <v>0</v>
      </c>
      <c r="M207" s="78" t="s">
        <v>182</v>
      </c>
      <c r="N207" s="69"/>
      <c r="O207" s="69"/>
      <c r="P207" s="69"/>
      <c r="Q207" s="71"/>
    </row>
    <row r="208" spans="1:17">
      <c r="A208" s="1"/>
      <c r="B208" s="504"/>
      <c r="C208" s="120"/>
      <c r="D208" s="8"/>
      <c r="E208" s="5"/>
      <c r="F208" s="5"/>
      <c r="G208" s="5"/>
      <c r="J208" s="5"/>
      <c r="K208" s="5"/>
      <c r="L208" s="124">
        <f>L206-L207</f>
        <v>260100</v>
      </c>
      <c r="M208" s="78" t="s">
        <v>183</v>
      </c>
      <c r="N208" s="69"/>
      <c r="O208" s="69"/>
      <c r="P208" s="69"/>
      <c r="Q208" s="71"/>
    </row>
    <row r="209" spans="1:17">
      <c r="A209" s="1">
        <v>9</v>
      </c>
      <c r="B209" s="504" t="s">
        <v>998</v>
      </c>
      <c r="C209" s="120"/>
      <c r="D209" s="8"/>
      <c r="E209" s="5"/>
      <c r="F209" s="5"/>
      <c r="G209" s="5"/>
      <c r="H209" s="5"/>
      <c r="I209" s="41">
        <f>IF(I205&gt;0,I207/I205,0)</f>
        <v>0.96922403388787659</v>
      </c>
      <c r="J209" s="5"/>
      <c r="K209" s="5"/>
      <c r="L209" s="111"/>
      <c r="M209" s="74" t="s">
        <v>174</v>
      </c>
      <c r="N209" s="112"/>
      <c r="O209" s="112"/>
      <c r="P209" s="112"/>
      <c r="Q209" s="113"/>
    </row>
    <row r="210" spans="1:17">
      <c r="A210" s="1">
        <v>10</v>
      </c>
      <c r="B210" s="504" t="s">
        <v>224</v>
      </c>
      <c r="C210" s="120"/>
      <c r="D210" s="8"/>
      <c r="E210" s="5"/>
      <c r="F210" s="5"/>
      <c r="G210" s="5"/>
      <c r="H210" s="12" t="s">
        <v>12</v>
      </c>
      <c r="I210" s="73">
        <f>I202</f>
        <v>0.97741997022016525</v>
      </c>
      <c r="J210" s="5"/>
      <c r="K210" s="5"/>
      <c r="L210" s="122">
        <v>0</v>
      </c>
      <c r="M210" s="75" t="s">
        <v>175</v>
      </c>
      <c r="N210" s="6"/>
      <c r="O210" s="70"/>
      <c r="P210" s="69"/>
      <c r="Q210" s="71"/>
    </row>
    <row r="211" spans="1:17">
      <c r="A211" s="1">
        <v>11</v>
      </c>
      <c r="B211" s="504" t="s">
        <v>996</v>
      </c>
      <c r="C211" s="120"/>
      <c r="D211" s="120"/>
      <c r="E211" s="12"/>
      <c r="F211" s="12"/>
      <c r="G211" s="12"/>
      <c r="H211" s="12" t="s">
        <v>92</v>
      </c>
      <c r="I211" s="76">
        <f>+I210*I209</f>
        <v>0.94733892633935679</v>
      </c>
      <c r="J211" s="5"/>
      <c r="K211" s="5"/>
      <c r="L211" s="122">
        <v>0</v>
      </c>
      <c r="M211" s="75" t="s">
        <v>176</v>
      </c>
      <c r="N211" s="6"/>
      <c r="O211" s="70"/>
      <c r="P211" s="69"/>
      <c r="Q211" s="71"/>
    </row>
    <row r="212" spans="1:17">
      <c r="A212" s="1"/>
      <c r="C212" s="12"/>
      <c r="D212" s="5"/>
      <c r="E212" s="5"/>
      <c r="F212" s="5"/>
      <c r="G212" s="46"/>
      <c r="H212" s="5"/>
      <c r="L212" s="123">
        <v>0</v>
      </c>
      <c r="M212" s="75" t="s">
        <v>177</v>
      </c>
      <c r="N212" s="6"/>
      <c r="O212" s="70"/>
      <c r="P212" s="69"/>
      <c r="Q212" s="71"/>
    </row>
    <row r="213" spans="1:17" ht="16.5" thickBot="1">
      <c r="A213" s="1" t="s">
        <v>2</v>
      </c>
      <c r="B213" s="4" t="s">
        <v>95</v>
      </c>
      <c r="C213" s="5"/>
      <c r="D213" s="77" t="s">
        <v>96</v>
      </c>
      <c r="E213" s="77" t="s">
        <v>12</v>
      </c>
      <c r="F213" s="5"/>
      <c r="G213" s="77" t="s">
        <v>97</v>
      </c>
      <c r="H213" s="5"/>
      <c r="I213" s="5"/>
      <c r="L213" s="125">
        <f>SUM(L210:L212)</f>
        <v>0</v>
      </c>
      <c r="M213" s="78" t="s">
        <v>178</v>
      </c>
      <c r="N213" s="69"/>
      <c r="O213" s="69"/>
      <c r="P213" s="69"/>
      <c r="Q213" s="71"/>
    </row>
    <row r="214" spans="1:17">
      <c r="A214" s="1">
        <v>12</v>
      </c>
      <c r="B214" s="4" t="s">
        <v>43</v>
      </c>
      <c r="C214" s="5"/>
      <c r="D214" s="8">
        <f>'Wages &amp; Salaries'!C8</f>
        <v>504095.36320324335</v>
      </c>
      <c r="E214" s="79">
        <v>0</v>
      </c>
      <c r="F214" s="79"/>
      <c r="G214" s="5">
        <f>D214*E214</f>
        <v>0</v>
      </c>
      <c r="H214" s="5"/>
      <c r="I214" s="5"/>
      <c r="J214" s="5"/>
      <c r="K214" s="5"/>
      <c r="L214" s="126">
        <f>L208-L213</f>
        <v>260100</v>
      </c>
      <c r="M214" s="80" t="s">
        <v>179</v>
      </c>
      <c r="N214" s="81"/>
      <c r="O214" s="81"/>
      <c r="P214" s="81"/>
      <c r="Q214" s="82"/>
    </row>
    <row r="215" spans="1:17">
      <c r="A215" s="1">
        <v>13</v>
      </c>
      <c r="B215" s="4" t="s">
        <v>45</v>
      </c>
      <c r="C215" s="5"/>
      <c r="D215" s="8">
        <f>'Wages &amp; Salaries'!C9</f>
        <v>546553.28614972543</v>
      </c>
      <c r="E215" s="79">
        <f>+I202</f>
        <v>0.97741997022016525</v>
      </c>
      <c r="F215" s="79"/>
      <c r="G215" s="5">
        <f>D215*E215</f>
        <v>534212.09667219804</v>
      </c>
      <c r="H215" s="5"/>
      <c r="I215" s="5"/>
      <c r="J215" s="5"/>
      <c r="K215" s="5"/>
      <c r="L215" s="303"/>
      <c r="M215" s="78"/>
      <c r="N215" s="6"/>
      <c r="O215" s="70"/>
      <c r="P215" s="69"/>
      <c r="Q215" s="69"/>
    </row>
    <row r="216" spans="1:17">
      <c r="A216" s="1">
        <v>14</v>
      </c>
      <c r="B216" s="4" t="s">
        <v>46</v>
      </c>
      <c r="C216" s="5"/>
      <c r="D216" s="8">
        <f>'Wages &amp; Salaries'!C10</f>
        <v>3689384.017115952</v>
      </c>
      <c r="E216" s="79">
        <v>0</v>
      </c>
      <c r="F216" s="79"/>
      <c r="G216" s="5">
        <f>D216*E216</f>
        <v>0</v>
      </c>
      <c r="H216" s="5"/>
      <c r="I216" s="83" t="s">
        <v>98</v>
      </c>
      <c r="J216" s="5"/>
      <c r="K216" s="5"/>
      <c r="L216" s="868" t="s">
        <v>452</v>
      </c>
      <c r="N216" s="5"/>
      <c r="O216" s="5"/>
      <c r="P216" s="4"/>
    </row>
    <row r="217" spans="1:17" ht="16.5" thickBot="1">
      <c r="A217" s="1">
        <v>15</v>
      </c>
      <c r="B217" s="4" t="s">
        <v>99</v>
      </c>
      <c r="C217" s="5"/>
      <c r="D217" s="531">
        <f>'Wages &amp; Salaries'!C11</f>
        <v>1613603.1935887393</v>
      </c>
      <c r="E217" s="79">
        <v>0</v>
      </c>
      <c r="F217" s="79"/>
      <c r="G217" s="24">
        <f>D217*E217</f>
        <v>0</v>
      </c>
      <c r="H217" s="5"/>
      <c r="I217" s="18" t="s">
        <v>100</v>
      </c>
      <c r="J217" s="5"/>
      <c r="K217" s="5"/>
      <c r="L217" s="51"/>
      <c r="N217" s="5"/>
      <c r="O217" s="5"/>
      <c r="P217" s="4"/>
    </row>
    <row r="218" spans="1:17">
      <c r="A218" s="1">
        <v>16</v>
      </c>
      <c r="B218" s="4" t="s">
        <v>226</v>
      </c>
      <c r="C218" s="5"/>
      <c r="D218" s="5">
        <f>SUM(D214:D217)</f>
        <v>6353635.8600576594</v>
      </c>
      <c r="E218" s="5"/>
      <c r="F218" s="5"/>
      <c r="G218" s="5">
        <f>SUM(G214:G217)</f>
        <v>534212.09667219804</v>
      </c>
      <c r="H218" s="14" t="s">
        <v>101</v>
      </c>
      <c r="I218" s="41">
        <f>IF(G218&gt;0,G215/D218,0)</f>
        <v>8.4079747161863644E-2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225</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354829250</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8.4079747161863644E-2</v>
      </c>
      <c r="J222" s="56" t="s">
        <v>101</v>
      </c>
      <c r="K222" s="21">
        <f>I222*G222</f>
        <v>8.4079747161863644E-2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154</v>
      </c>
      <c r="C224" s="5"/>
      <c r="D224" s="5">
        <f>D221+D222+D223</f>
        <v>354829250</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246</v>
      </c>
      <c r="D227" s="533">
        <f>'Income Sched 3'!C24+'Income Sched 3'!C25</f>
        <v>7883544</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681</v>
      </c>
      <c r="D230" s="8">
        <f>'Capital Structure'!H24+'Capital Structure'!I24-'Capital Structure'!J24</f>
        <v>209900201.07692307</v>
      </c>
      <c r="E230" s="86">
        <f>IF($D$232&gt;0,D230/$D$232,0)</f>
        <v>0.62747367764094497</v>
      </c>
      <c r="F230" s="87"/>
      <c r="G230" s="88">
        <f>IF(D230&gt;0,D227/D230,0)</f>
        <v>3.7558534768201021E-2</v>
      </c>
      <c r="I230" s="87">
        <f>G230*E230</f>
        <v>2.3566991937808392E-2</v>
      </c>
      <c r="J230" s="89" t="s">
        <v>117</v>
      </c>
      <c r="K230" s="5"/>
      <c r="L230" s="52"/>
      <c r="N230" s="5"/>
      <c r="O230" s="5"/>
      <c r="P230" s="4"/>
    </row>
    <row r="231" spans="1:16" ht="16.5" thickBot="1">
      <c r="A231" s="1">
        <v>23</v>
      </c>
      <c r="B231" s="2" t="s">
        <v>118</v>
      </c>
      <c r="C231" s="11" t="s">
        <v>1021</v>
      </c>
      <c r="D231" s="531">
        <f>'Capital Structure'!K24</f>
        <v>124616143.68205637</v>
      </c>
      <c r="E231" s="108">
        <f>IF($D$232&gt;0,D231/$D$232,0)</f>
        <v>0.37252632235905503</v>
      </c>
      <c r="F231" s="87"/>
      <c r="G231" s="498">
        <f>I234</f>
        <v>0.1082</v>
      </c>
      <c r="I231" s="473">
        <f>G231*E231</f>
        <v>4.0307348079249752E-2</v>
      </c>
      <c r="L231" s="52"/>
      <c r="N231" s="5"/>
      <c r="O231" s="5"/>
      <c r="P231" s="4"/>
    </row>
    <row r="232" spans="1:16">
      <c r="A232" s="1">
        <v>24</v>
      </c>
      <c r="B232" s="2" t="s">
        <v>982</v>
      </c>
      <c r="C232" s="11"/>
      <c r="D232" s="5">
        <f>D230+D231</f>
        <v>334516344.75897944</v>
      </c>
      <c r="E232" s="253">
        <f>SUM(E230+E231)</f>
        <v>1</v>
      </c>
      <c r="F232" s="87"/>
      <c r="G232" s="87"/>
      <c r="I232" s="87">
        <f>I230+I231</f>
        <v>6.3874340017058148E-2</v>
      </c>
      <c r="J232" s="89" t="s">
        <v>119</v>
      </c>
      <c r="L232" s="52"/>
      <c r="N232" s="5"/>
      <c r="O232" s="5"/>
      <c r="P232" s="4"/>
    </row>
    <row r="233" spans="1:16">
      <c r="A233"/>
      <c r="B233"/>
      <c r="C233"/>
      <c r="D233"/>
      <c r="E233"/>
      <c r="F233"/>
      <c r="G233"/>
      <c r="L233" s="52"/>
      <c r="N233" s="5"/>
      <c r="O233" s="5"/>
      <c r="P233" s="4"/>
    </row>
    <row r="234" spans="1:16">
      <c r="A234" s="50">
        <v>25</v>
      </c>
      <c r="B234" s="847"/>
      <c r="C234" s="847"/>
      <c r="E234" s="864" t="s">
        <v>1017</v>
      </c>
      <c r="F234" s="5"/>
      <c r="H234" s="850"/>
      <c r="I234" s="930">
        <f>10.32%+0.5%</f>
        <v>0.1082</v>
      </c>
      <c r="L234" s="51"/>
      <c r="N234" s="5"/>
      <c r="O234" s="5"/>
      <c r="P234" s="4"/>
    </row>
    <row r="235" spans="1:16">
      <c r="A235" s="50">
        <v>26</v>
      </c>
      <c r="B235" s="847"/>
      <c r="C235" s="847"/>
      <c r="E235" s="851"/>
      <c r="G235" s="864" t="s">
        <v>1018</v>
      </c>
      <c r="H235" s="64"/>
      <c r="I235" s="931">
        <v>0</v>
      </c>
      <c r="L235" s="51"/>
      <c r="N235" s="5"/>
      <c r="O235" s="5"/>
      <c r="P235" s="4"/>
    </row>
    <row r="236" spans="1:16" s="857" customFormat="1">
      <c r="A236" s="1"/>
      <c r="B236" s="847"/>
      <c r="C236" s="847"/>
      <c r="G236" s="858"/>
      <c r="H236" s="64"/>
      <c r="I236" s="79"/>
      <c r="L236" s="51"/>
      <c r="N236" s="5"/>
      <c r="O236" s="5"/>
      <c r="P236" s="4"/>
    </row>
    <row r="237" spans="1:16" s="857" customFormat="1">
      <c r="A237" s="50"/>
      <c r="B237" s="847"/>
      <c r="C237" s="847"/>
      <c r="H237" s="64"/>
      <c r="I237" s="79"/>
      <c r="L237" s="51"/>
      <c r="N237" s="5"/>
      <c r="O237" s="5"/>
      <c r="P237" s="4"/>
    </row>
    <row r="238" spans="1:16">
      <c r="A238" s="1"/>
      <c r="B238" s="2" t="s">
        <v>120</v>
      </c>
      <c r="C238" s="11"/>
      <c r="D238" s="11"/>
      <c r="E238" s="11"/>
      <c r="F238" s="11"/>
      <c r="G238" s="11"/>
      <c r="H238" s="11"/>
      <c r="I238" s="11"/>
      <c r="K238" s="5"/>
      <c r="L238" s="51"/>
      <c r="N238" s="5"/>
      <c r="O238" s="5"/>
      <c r="P238" s="4"/>
    </row>
    <row r="239" spans="1:16" ht="16.5" thickBot="1">
      <c r="A239" s="1"/>
      <c r="B239" s="2"/>
      <c r="C239" s="2"/>
      <c r="D239" s="2"/>
      <c r="E239" s="2"/>
      <c r="F239" s="2"/>
      <c r="G239" s="2"/>
      <c r="H239" s="2"/>
      <c r="I239" s="18" t="s">
        <v>121</v>
      </c>
      <c r="J239" s="11"/>
      <c r="K239" s="11"/>
      <c r="L239" s="51"/>
      <c r="N239" s="5"/>
      <c r="O239" s="5"/>
      <c r="P239" s="4"/>
    </row>
    <row r="240" spans="1:16">
      <c r="A240" s="1"/>
      <c r="B240" s="2" t="s">
        <v>122</v>
      </c>
      <c r="C240" s="11"/>
      <c r="D240" s="11"/>
      <c r="E240" s="11"/>
      <c r="F240" s="11"/>
      <c r="G240" s="90" t="s">
        <v>2</v>
      </c>
      <c r="H240" s="60"/>
      <c r="I240" s="91"/>
      <c r="J240" s="2"/>
      <c r="K240" s="2"/>
      <c r="L240" s="51"/>
      <c r="N240" s="5"/>
      <c r="O240" s="5"/>
      <c r="P240" s="4"/>
    </row>
    <row r="241" spans="1:17">
      <c r="A241" s="1">
        <v>27</v>
      </c>
      <c r="B241" s="3" t="s">
        <v>123</v>
      </c>
      <c r="C241" s="11"/>
      <c r="D241" s="11"/>
      <c r="E241" s="11" t="s">
        <v>124</v>
      </c>
      <c r="F241" s="11"/>
      <c r="H241" s="60"/>
      <c r="I241" s="43">
        <v>0</v>
      </c>
      <c r="J241" s="2"/>
      <c r="K241" s="2"/>
      <c r="L241" s="51"/>
      <c r="N241" s="46"/>
      <c r="O241" s="5"/>
      <c r="P241" s="4"/>
    </row>
    <row r="242" spans="1:17" ht="16.5" thickBot="1">
      <c r="A242" s="1">
        <v>28</v>
      </c>
      <c r="B242" s="47" t="s">
        <v>155</v>
      </c>
      <c r="C242" s="67"/>
      <c r="D242" s="69"/>
      <c r="E242" s="95"/>
      <c r="F242" s="95"/>
      <c r="G242" s="95"/>
      <c r="H242" s="11"/>
      <c r="I242" s="42">
        <v>0</v>
      </c>
      <c r="J242" s="2"/>
      <c r="K242" s="2"/>
      <c r="L242" s="51"/>
      <c r="N242" s="2"/>
      <c r="O242" s="5"/>
      <c r="P242" s="4"/>
    </row>
    <row r="243" spans="1:17">
      <c r="A243" s="1">
        <v>29</v>
      </c>
      <c r="B243" s="3" t="s">
        <v>125</v>
      </c>
      <c r="C243" s="12"/>
      <c r="D243" s="69"/>
      <c r="E243" s="95"/>
      <c r="F243" s="95"/>
      <c r="G243" s="95"/>
      <c r="H243" s="11"/>
      <c r="I243" s="846">
        <f>+I241-I242</f>
        <v>0</v>
      </c>
      <c r="J243" s="2"/>
      <c r="K243" s="2"/>
      <c r="L243" s="51"/>
      <c r="N243" s="2"/>
      <c r="O243" s="5"/>
      <c r="P243" s="4"/>
    </row>
    <row r="244" spans="1:17">
      <c r="A244" s="1"/>
      <c r="B244" s="3" t="s">
        <v>2</v>
      </c>
      <c r="C244" s="12"/>
      <c r="D244" s="69"/>
      <c r="E244" s="95"/>
      <c r="F244" s="95"/>
      <c r="G244" s="109"/>
      <c r="H244" s="11"/>
      <c r="I244" s="92" t="s">
        <v>2</v>
      </c>
      <c r="J244" s="2"/>
      <c r="K244" s="2"/>
      <c r="L244" s="51"/>
      <c r="N244" s="2"/>
      <c r="O244" s="5"/>
      <c r="P244" s="4"/>
    </row>
    <row r="245" spans="1:17">
      <c r="A245" s="1">
        <v>30</v>
      </c>
      <c r="B245" s="2" t="s">
        <v>227</v>
      </c>
      <c r="C245" s="12"/>
      <c r="D245" s="69"/>
      <c r="E245" s="95"/>
      <c r="F245" s="95"/>
      <c r="G245" s="109"/>
      <c r="H245" s="11"/>
      <c r="I245" s="92">
        <f>'Account 454'!C16</f>
        <v>37020</v>
      </c>
      <c r="J245" s="2"/>
      <c r="K245" s="2"/>
      <c r="L245" s="52"/>
      <c r="N245" s="2"/>
      <c r="O245" s="5"/>
      <c r="P245" s="4"/>
    </row>
    <row r="246" spans="1:17">
      <c r="A246" s="1"/>
      <c r="C246" s="11"/>
      <c r="D246" s="95"/>
      <c r="E246" s="95"/>
      <c r="F246" s="95"/>
      <c r="G246" s="95"/>
      <c r="H246" s="11"/>
      <c r="I246" s="92"/>
      <c r="J246" s="2"/>
      <c r="K246" s="2"/>
      <c r="L246" s="52"/>
      <c r="N246" s="2"/>
      <c r="O246" s="5"/>
      <c r="P246" s="4"/>
    </row>
    <row r="247" spans="1:17">
      <c r="B247" s="2" t="s">
        <v>187</v>
      </c>
      <c r="C247" s="11"/>
      <c r="D247" s="95"/>
      <c r="E247" s="95"/>
      <c r="F247" s="95"/>
      <c r="G247" s="95"/>
      <c r="H247" s="11"/>
      <c r="J247" s="2"/>
      <c r="K247" s="2"/>
      <c r="L247" s="52"/>
      <c r="N247" s="2"/>
      <c r="O247" s="5"/>
      <c r="P247" s="4"/>
    </row>
    <row r="248" spans="1:17">
      <c r="A248" s="1">
        <v>31</v>
      </c>
      <c r="B248" s="2" t="s">
        <v>126</v>
      </c>
      <c r="C248" s="5"/>
      <c r="D248" s="6"/>
      <c r="E248" s="6"/>
      <c r="F248" s="6"/>
      <c r="G248" s="6"/>
      <c r="H248" s="5"/>
      <c r="I248" s="534">
        <f>+'Account 456.1'!D22</f>
        <v>4652000</v>
      </c>
      <c r="J248" s="2"/>
      <c r="K248" s="2"/>
      <c r="L248" s="93" t="s">
        <v>173</v>
      </c>
      <c r="N248" s="2"/>
      <c r="O248" s="5"/>
      <c r="P248" s="4"/>
    </row>
    <row r="249" spans="1:17">
      <c r="A249" s="1">
        <v>32</v>
      </c>
      <c r="B249" s="94" t="s">
        <v>156</v>
      </c>
      <c r="C249" s="95"/>
      <c r="D249" s="95"/>
      <c r="E249" s="95"/>
      <c r="F249" s="95"/>
      <c r="G249" s="95"/>
      <c r="H249" s="11"/>
      <c r="I249" s="777">
        <f>'Account 456.1'!D23</f>
        <v>513000</v>
      </c>
      <c r="J249" s="2"/>
      <c r="K249" s="2"/>
      <c r="L249" s="93" t="s">
        <v>1019</v>
      </c>
      <c r="N249" s="2"/>
      <c r="O249" s="5"/>
      <c r="P249" s="4"/>
    </row>
    <row r="250" spans="1:17">
      <c r="A250" s="1" t="s">
        <v>1012</v>
      </c>
      <c r="B250" s="133" t="s">
        <v>274</v>
      </c>
      <c r="C250" s="134"/>
      <c r="D250" s="95"/>
      <c r="E250" s="95"/>
      <c r="F250" s="95"/>
      <c r="G250" s="95"/>
      <c r="H250" s="11"/>
      <c r="I250" s="777">
        <f>'Account 456.1'!D24</f>
        <v>3219000</v>
      </c>
      <c r="J250" s="2"/>
      <c r="K250" s="2"/>
      <c r="L250" s="46"/>
      <c r="N250" s="2"/>
      <c r="O250" s="5"/>
      <c r="P250" s="4"/>
    </row>
    <row r="251" spans="1:17" ht="16.5" thickBot="1">
      <c r="A251" s="1" t="s">
        <v>1013</v>
      </c>
      <c r="B251" s="135" t="s">
        <v>275</v>
      </c>
      <c r="C251" s="136"/>
      <c r="D251" s="95"/>
      <c r="E251" s="95"/>
      <c r="F251" s="95"/>
      <c r="G251" s="95"/>
      <c r="H251" s="11"/>
      <c r="I251" s="778">
        <f>'Account 456.1'!D25</f>
        <v>0</v>
      </c>
      <c r="J251" s="2"/>
      <c r="K251" s="2"/>
      <c r="L251" s="46"/>
      <c r="N251" s="2"/>
      <c r="O251" s="5"/>
      <c r="P251" s="4"/>
    </row>
    <row r="252" spans="1:17" s="60" customFormat="1">
      <c r="A252" s="1">
        <v>33</v>
      </c>
      <c r="B252" s="3" t="s">
        <v>256</v>
      </c>
      <c r="C252" s="1"/>
      <c r="D252" s="6"/>
      <c r="E252" s="6"/>
      <c r="F252" s="6"/>
      <c r="G252" s="6"/>
      <c r="H252" s="11"/>
      <c r="I252" s="97">
        <f>+I248-I249-I250-I251</f>
        <v>920000</v>
      </c>
      <c r="J252" s="2"/>
      <c r="K252" s="2"/>
      <c r="M252" s="3"/>
      <c r="N252" s="2"/>
      <c r="O252" s="12"/>
      <c r="P252" s="4"/>
      <c r="Q252" s="3"/>
    </row>
    <row r="253" spans="1:17">
      <c r="A253" s="1"/>
      <c r="B253" s="99"/>
      <c r="C253" s="1"/>
      <c r="D253" s="6"/>
      <c r="E253" s="6"/>
      <c r="F253" s="6"/>
      <c r="G253" s="6"/>
      <c r="H253" s="11"/>
      <c r="I253" s="97"/>
      <c r="J253" s="2"/>
      <c r="K253" s="2"/>
      <c r="M253" s="60"/>
      <c r="N253" s="96"/>
      <c r="O253" s="62"/>
      <c r="P253" s="98"/>
      <c r="Q253" s="60"/>
    </row>
    <row r="254" spans="1:17">
      <c r="A254" s="1"/>
      <c r="B254" s="99"/>
      <c r="C254" s="1"/>
      <c r="D254" s="6"/>
      <c r="E254" s="6"/>
      <c r="F254" s="6"/>
      <c r="G254" s="6"/>
      <c r="H254" s="11"/>
      <c r="I254" s="97"/>
      <c r="J254" s="2"/>
      <c r="K254" s="2"/>
      <c r="L254" s="93"/>
      <c r="N254" s="2"/>
      <c r="O254" s="12"/>
      <c r="P254" s="4"/>
    </row>
    <row r="255" spans="1:17">
      <c r="A255" s="1"/>
      <c r="B255" s="99"/>
      <c r="C255" s="1"/>
      <c r="D255" s="6"/>
      <c r="E255" s="6"/>
      <c r="F255" s="6"/>
      <c r="G255" s="6"/>
      <c r="H255" s="11"/>
      <c r="I255" s="97"/>
      <c r="J255" s="2"/>
      <c r="K255" s="2"/>
      <c r="L255" s="93"/>
      <c r="N255" s="2"/>
      <c r="O255" s="12"/>
      <c r="P255" s="4"/>
    </row>
    <row r="256" spans="1:17">
      <c r="B256" s="2"/>
      <c r="C256" s="2"/>
      <c r="E256" s="2"/>
      <c r="F256" s="2"/>
      <c r="G256" s="2"/>
      <c r="H256" s="11"/>
      <c r="I256" s="11"/>
      <c r="K256" s="13" t="s">
        <v>169</v>
      </c>
      <c r="L256" s="12"/>
      <c r="N256" s="12"/>
      <c r="O256" s="12"/>
      <c r="P256" s="12"/>
    </row>
    <row r="257" spans="1:16">
      <c r="A257" s="1"/>
      <c r="B257" s="99" t="str">
        <f>B3</f>
        <v xml:space="preserve">Formula Rate - Non-Levelized </v>
      </c>
      <c r="C257" s="956" t="str">
        <f>D3</f>
        <v xml:space="preserve">   Rate Formula Template</v>
      </c>
      <c r="D257" s="956"/>
      <c r="E257" s="5"/>
      <c r="F257" s="5"/>
      <c r="G257" s="5"/>
      <c r="H257" s="100"/>
      <c r="J257" s="12"/>
      <c r="K257" s="101" t="str">
        <f>K3</f>
        <v>For the 12 months ended 12/31/17</v>
      </c>
      <c r="L257" s="12"/>
      <c r="N257" s="12"/>
      <c r="O257" s="12"/>
      <c r="P257" s="12"/>
    </row>
    <row r="258" spans="1:16">
      <c r="A258" s="1"/>
      <c r="B258" s="99"/>
      <c r="C258" s="1"/>
      <c r="D258" s="5" t="str">
        <f>D4</f>
        <v>Utilizing EIA Form 412 Data</v>
      </c>
      <c r="E258" s="5"/>
      <c r="F258" s="5"/>
      <c r="G258" s="5"/>
      <c r="H258" s="11"/>
      <c r="I258" s="102"/>
      <c r="J258" s="91"/>
      <c r="K258" s="103"/>
      <c r="L258" s="12"/>
      <c r="N258" s="12"/>
      <c r="O258" s="12"/>
      <c r="P258" s="12"/>
    </row>
    <row r="259" spans="1:16">
      <c r="A259" s="1"/>
      <c r="B259" s="99"/>
      <c r="C259" s="1"/>
      <c r="D259" s="5" t="str">
        <f>D6</f>
        <v>Rochester Public Utilities</v>
      </c>
      <c r="E259" s="5"/>
      <c r="F259" s="5"/>
      <c r="G259" s="5"/>
      <c r="H259" s="11"/>
      <c r="I259" s="102"/>
      <c r="J259" s="91"/>
      <c r="K259" s="103"/>
      <c r="L259" s="12"/>
      <c r="N259" s="12"/>
      <c r="O259" s="12"/>
      <c r="P259" s="12"/>
    </row>
    <row r="260" spans="1:16">
      <c r="A260" s="1"/>
      <c r="B260" s="2" t="s">
        <v>127</v>
      </c>
      <c r="C260" s="1"/>
      <c r="D260" s="5"/>
      <c r="E260" s="5"/>
      <c r="F260" s="5"/>
      <c r="G260" s="5"/>
      <c r="H260" s="11"/>
      <c r="I260" s="5"/>
      <c r="J260" s="91"/>
      <c r="K260" s="103"/>
      <c r="L260" s="12"/>
      <c r="N260" s="1"/>
      <c r="O260" s="12"/>
      <c r="P260" s="4"/>
    </row>
    <row r="261" spans="1:16">
      <c r="A261" s="1"/>
      <c r="B261" s="107" t="s">
        <v>198</v>
      </c>
      <c r="C261" s="1"/>
      <c r="D261" s="5"/>
      <c r="E261" s="5"/>
      <c r="F261" s="5"/>
      <c r="G261" s="5"/>
      <c r="H261" s="11"/>
      <c r="I261" s="5"/>
      <c r="J261" s="11"/>
      <c r="K261" s="5"/>
      <c r="L261" s="12"/>
      <c r="N261" s="1"/>
      <c r="O261" s="12"/>
      <c r="P261" s="4"/>
    </row>
    <row r="262" spans="1:16">
      <c r="B262" s="107" t="s">
        <v>197</v>
      </c>
      <c r="C262" s="1"/>
      <c r="D262" s="5"/>
      <c r="E262" s="5"/>
      <c r="F262" s="5"/>
      <c r="G262" s="5"/>
      <c r="H262" s="11"/>
      <c r="I262" s="5"/>
      <c r="J262" s="11"/>
      <c r="K262" s="5"/>
      <c r="L262" s="12"/>
      <c r="N262" s="1"/>
      <c r="O262" s="12"/>
      <c r="P262" s="12"/>
    </row>
    <row r="263" spans="1:16">
      <c r="A263" s="1" t="s">
        <v>128</v>
      </c>
      <c r="B263" s="2" t="s">
        <v>196</v>
      </c>
      <c r="C263" s="11"/>
      <c r="D263" s="5"/>
      <c r="E263" s="5"/>
      <c r="F263" s="5"/>
      <c r="G263" s="25"/>
      <c r="H263" s="11"/>
      <c r="I263" s="5"/>
      <c r="J263" s="11"/>
      <c r="K263" s="5"/>
      <c r="L263" s="12"/>
      <c r="N263" s="1"/>
      <c r="O263" s="12"/>
      <c r="P263" s="12"/>
    </row>
    <row r="264" spans="1:16" ht="16.5" thickBot="1">
      <c r="A264" s="18" t="s">
        <v>129</v>
      </c>
      <c r="C264" s="11"/>
      <c r="D264" s="5"/>
      <c r="E264" s="5"/>
      <c r="F264" s="5"/>
      <c r="G264" s="5"/>
      <c r="H264" s="11"/>
      <c r="I264" s="5"/>
      <c r="J264" s="11"/>
      <c r="K264" s="5"/>
      <c r="L264" s="12"/>
      <c r="N264" s="1"/>
      <c r="O264" s="12"/>
      <c r="P264" s="12"/>
    </row>
    <row r="265" spans="1:16">
      <c r="A265" s="690" t="s">
        <v>130</v>
      </c>
      <c r="B265" s="948" t="s">
        <v>1009</v>
      </c>
      <c r="C265" s="948"/>
      <c r="D265" s="948"/>
      <c r="E265" s="948"/>
      <c r="F265" s="948"/>
      <c r="G265" s="948"/>
      <c r="H265" s="948"/>
      <c r="I265" s="948"/>
      <c r="J265" s="948"/>
      <c r="K265" s="948"/>
      <c r="L265" s="12"/>
      <c r="N265" s="1"/>
      <c r="O265" s="12"/>
      <c r="P265" s="12"/>
    </row>
    <row r="266" spans="1:16" ht="63" customHeight="1">
      <c r="A266" s="690" t="s">
        <v>131</v>
      </c>
      <c r="B266" s="948" t="s">
        <v>251</v>
      </c>
      <c r="C266" s="948"/>
      <c r="D266" s="948"/>
      <c r="E266" s="948"/>
      <c r="F266" s="948"/>
      <c r="G266" s="948"/>
      <c r="H266" s="948"/>
      <c r="I266" s="948"/>
      <c r="J266" s="948"/>
      <c r="K266" s="948"/>
      <c r="L266" s="12"/>
      <c r="N266" s="1"/>
      <c r="O266" s="12"/>
      <c r="P266" s="12"/>
    </row>
    <row r="267" spans="1:16">
      <c r="A267" s="690" t="s">
        <v>132</v>
      </c>
      <c r="B267" s="948" t="s">
        <v>252</v>
      </c>
      <c r="C267" s="948"/>
      <c r="D267" s="948"/>
      <c r="E267" s="948"/>
      <c r="F267" s="948"/>
      <c r="G267" s="948"/>
      <c r="H267" s="948"/>
      <c r="I267" s="948"/>
      <c r="J267" s="948"/>
      <c r="K267" s="948"/>
      <c r="L267" s="12"/>
      <c r="N267" s="1"/>
      <c r="O267" s="12"/>
      <c r="P267" s="12"/>
    </row>
    <row r="268" spans="1:16">
      <c r="A268" s="690" t="s">
        <v>133</v>
      </c>
      <c r="B268" s="948" t="s">
        <v>252</v>
      </c>
      <c r="C268" s="948"/>
      <c r="D268" s="948"/>
      <c r="E268" s="948"/>
      <c r="F268" s="948"/>
      <c r="G268" s="948"/>
      <c r="H268" s="948"/>
      <c r="I268" s="948"/>
      <c r="J268" s="948"/>
      <c r="K268" s="948"/>
      <c r="L268" s="12"/>
      <c r="N268" s="1"/>
      <c r="O268" s="12"/>
      <c r="P268" s="12"/>
    </row>
    <row r="269" spans="1:16">
      <c r="A269" s="690" t="s">
        <v>134</v>
      </c>
      <c r="B269" s="948" t="s">
        <v>999</v>
      </c>
      <c r="C269" s="948"/>
      <c r="D269" s="948"/>
      <c r="E269" s="948"/>
      <c r="F269" s="948"/>
      <c r="G269" s="948"/>
      <c r="H269" s="948"/>
      <c r="I269" s="948"/>
      <c r="J269" s="948"/>
      <c r="K269" s="948"/>
      <c r="L269" s="12"/>
      <c r="M269" s="869"/>
      <c r="N269" s="1"/>
      <c r="O269" s="12"/>
      <c r="P269" s="12"/>
    </row>
    <row r="270" spans="1:16" ht="48" customHeight="1">
      <c r="A270" s="690" t="s">
        <v>135</v>
      </c>
      <c r="B270" s="947" t="s">
        <v>229</v>
      </c>
      <c r="C270" s="947"/>
      <c r="D270" s="947"/>
      <c r="E270" s="947"/>
      <c r="F270" s="947"/>
      <c r="G270" s="947"/>
      <c r="H270" s="947"/>
      <c r="I270" s="947"/>
      <c r="J270" s="947"/>
      <c r="K270" s="947"/>
      <c r="L270" s="12"/>
      <c r="N270" s="1"/>
      <c r="O270" s="12"/>
      <c r="P270" s="12"/>
    </row>
    <row r="271" spans="1:16">
      <c r="A271" s="690" t="s">
        <v>136</v>
      </c>
      <c r="B271" s="947" t="s">
        <v>161</v>
      </c>
      <c r="C271" s="947"/>
      <c r="D271" s="947"/>
      <c r="E271" s="947"/>
      <c r="F271" s="947"/>
      <c r="G271" s="947"/>
      <c r="H271" s="947"/>
      <c r="I271" s="947"/>
      <c r="J271" s="947"/>
      <c r="K271" s="947"/>
      <c r="L271" s="12"/>
      <c r="N271" s="1"/>
      <c r="O271" s="12"/>
      <c r="P271" s="12"/>
    </row>
    <row r="272" spans="1:16" ht="32.25" customHeight="1">
      <c r="A272" s="690" t="s">
        <v>137</v>
      </c>
      <c r="B272" s="947" t="s">
        <v>230</v>
      </c>
      <c r="C272" s="947"/>
      <c r="D272" s="947"/>
      <c r="E272" s="947"/>
      <c r="F272" s="947"/>
      <c r="G272" s="947"/>
      <c r="H272" s="947"/>
      <c r="I272" s="947"/>
      <c r="J272" s="947"/>
      <c r="K272" s="947"/>
      <c r="L272" s="12"/>
      <c r="N272" s="1"/>
      <c r="O272" s="12"/>
      <c r="P272" s="12"/>
    </row>
    <row r="273" spans="1:16" ht="32.25" customHeight="1">
      <c r="A273" s="690" t="s">
        <v>138</v>
      </c>
      <c r="B273" s="948" t="s">
        <v>231</v>
      </c>
      <c r="C273" s="948"/>
      <c r="D273" s="948"/>
      <c r="E273" s="948"/>
      <c r="F273" s="948"/>
      <c r="G273" s="948"/>
      <c r="H273" s="948"/>
      <c r="I273" s="948"/>
      <c r="J273" s="948"/>
      <c r="K273" s="948"/>
      <c r="L273" s="12"/>
      <c r="N273" s="1"/>
      <c r="O273" s="12"/>
      <c r="P273" s="12"/>
    </row>
    <row r="274" spans="1:16" ht="32.25" customHeight="1">
      <c r="A274" s="690" t="s">
        <v>139</v>
      </c>
      <c r="B274" s="947" t="s">
        <v>232</v>
      </c>
      <c r="C274" s="947"/>
      <c r="D274" s="947"/>
      <c r="E274" s="947"/>
      <c r="F274" s="947"/>
      <c r="G274" s="947"/>
      <c r="H274" s="947"/>
      <c r="I274" s="947"/>
      <c r="J274" s="947"/>
      <c r="K274" s="947"/>
      <c r="L274" s="12"/>
      <c r="N274" s="1"/>
      <c r="O274" s="33"/>
      <c r="P274" s="12"/>
    </row>
    <row r="275" spans="1:16" ht="63.95" customHeight="1">
      <c r="A275" s="690" t="s">
        <v>140</v>
      </c>
      <c r="B275" s="947" t="s">
        <v>233</v>
      </c>
      <c r="C275" s="947"/>
      <c r="D275" s="947"/>
      <c r="E275" s="947"/>
      <c r="F275" s="947"/>
      <c r="G275" s="947"/>
      <c r="H275" s="947"/>
      <c r="I275" s="947"/>
      <c r="J275" s="947"/>
      <c r="K275" s="947"/>
      <c r="L275" s="12"/>
      <c r="N275" s="1"/>
      <c r="O275" s="12"/>
      <c r="P275" s="12"/>
    </row>
    <row r="276" spans="1:16">
      <c r="A276" s="690" t="s">
        <v>2</v>
      </c>
      <c r="B276" s="119" t="s">
        <v>228</v>
      </c>
      <c r="C276" s="116" t="s">
        <v>141</v>
      </c>
      <c r="D276" s="117">
        <v>0</v>
      </c>
      <c r="E276" s="116"/>
      <c r="F276" s="115"/>
      <c r="G276" s="115"/>
      <c r="H276" s="114"/>
      <c r="I276" s="115"/>
      <c r="J276" s="114"/>
      <c r="K276" s="115"/>
      <c r="L276" s="12"/>
      <c r="N276" s="1"/>
      <c r="O276" s="12"/>
      <c r="P276" s="12"/>
    </row>
    <row r="277" spans="1:16">
      <c r="A277" s="690"/>
      <c r="B277" s="116"/>
      <c r="C277" s="116" t="s">
        <v>142</v>
      </c>
      <c r="D277" s="117">
        <v>0</v>
      </c>
      <c r="E277" s="947" t="s">
        <v>143</v>
      </c>
      <c r="F277" s="947"/>
      <c r="G277" s="947"/>
      <c r="H277" s="947"/>
      <c r="I277" s="947"/>
      <c r="J277" s="947"/>
      <c r="K277" s="947"/>
      <c r="L277" s="104" t="s">
        <v>172</v>
      </c>
      <c r="N277" s="1"/>
      <c r="O277" s="12"/>
      <c r="P277" s="12"/>
    </row>
    <row r="278" spans="1:16">
      <c r="A278" s="690"/>
      <c r="B278" s="116"/>
      <c r="C278" s="116" t="s">
        <v>144</v>
      </c>
      <c r="D278" s="117">
        <v>0</v>
      </c>
      <c r="E278" s="947" t="s">
        <v>1022</v>
      </c>
      <c r="F278" s="947"/>
      <c r="G278" s="947"/>
      <c r="H278" s="947"/>
      <c r="I278" s="947"/>
      <c r="J278" s="947"/>
      <c r="K278" s="947"/>
      <c r="L278" s="12"/>
      <c r="N278" s="1"/>
      <c r="O278" s="12"/>
      <c r="P278" s="12"/>
    </row>
    <row r="279" spans="1:16">
      <c r="A279" s="690" t="s">
        <v>145</v>
      </c>
      <c r="B279" s="947" t="s">
        <v>188</v>
      </c>
      <c r="C279" s="947"/>
      <c r="D279" s="947"/>
      <c r="E279" s="947"/>
      <c r="F279" s="947"/>
      <c r="G279" s="947"/>
      <c r="H279" s="947"/>
      <c r="I279" s="947"/>
      <c r="J279" s="947"/>
      <c r="K279" s="947"/>
      <c r="L279" s="12"/>
      <c r="N279" s="1"/>
      <c r="O279" s="12"/>
      <c r="P279" s="12"/>
    </row>
    <row r="280" spans="1:16" ht="32.25" customHeight="1">
      <c r="A280" s="690" t="s">
        <v>146</v>
      </c>
      <c r="B280" s="947" t="s">
        <v>1020</v>
      </c>
      <c r="C280" s="947"/>
      <c r="D280" s="947"/>
      <c r="E280" s="947"/>
      <c r="F280" s="947"/>
      <c r="G280" s="947"/>
      <c r="H280" s="947"/>
      <c r="I280" s="947"/>
      <c r="J280" s="947"/>
      <c r="K280" s="947"/>
      <c r="N280" s="1"/>
      <c r="O280" s="12"/>
      <c r="P280" s="12"/>
    </row>
    <row r="281" spans="1:16" ht="51" customHeight="1">
      <c r="A281" s="690" t="s">
        <v>147</v>
      </c>
      <c r="B281" s="947" t="s">
        <v>248</v>
      </c>
      <c r="C281" s="947"/>
      <c r="D281" s="947"/>
      <c r="E281" s="947"/>
      <c r="F281" s="947"/>
      <c r="G281" s="947"/>
      <c r="H281" s="947"/>
      <c r="I281" s="947"/>
      <c r="J281" s="947"/>
      <c r="K281" s="947"/>
      <c r="L281" s="12"/>
      <c r="N281" s="1"/>
      <c r="O281" s="12"/>
      <c r="P281" s="12"/>
    </row>
    <row r="282" spans="1:16">
      <c r="A282" s="690" t="s">
        <v>148</v>
      </c>
      <c r="B282" s="947" t="s">
        <v>162</v>
      </c>
      <c r="C282" s="947"/>
      <c r="D282" s="947"/>
      <c r="E282" s="947"/>
      <c r="F282" s="947"/>
      <c r="G282" s="947"/>
      <c r="H282" s="947"/>
      <c r="I282" s="947"/>
      <c r="J282" s="947"/>
      <c r="K282" s="947"/>
      <c r="L282" s="12"/>
      <c r="N282" s="1"/>
      <c r="O282" s="33"/>
      <c r="P282" s="12"/>
    </row>
    <row r="283" spans="1:16" s="495" customFormat="1" ht="161.25" customHeight="1">
      <c r="A283" s="690" t="s">
        <v>149</v>
      </c>
      <c r="B283" s="947" t="s">
        <v>1026</v>
      </c>
      <c r="C283" s="947"/>
      <c r="D283" s="947"/>
      <c r="E283" s="947"/>
      <c r="F283" s="947"/>
      <c r="G283" s="947"/>
      <c r="H283" s="947"/>
      <c r="I283" s="947"/>
      <c r="J283" s="947"/>
      <c r="K283" s="947"/>
      <c r="L283" s="494"/>
      <c r="N283" s="496"/>
      <c r="O283" s="497"/>
      <c r="P283" s="494"/>
    </row>
    <row r="284" spans="1:16" ht="32.25" customHeight="1">
      <c r="A284" s="690" t="s">
        <v>150</v>
      </c>
      <c r="B284" s="947" t="s">
        <v>234</v>
      </c>
      <c r="C284" s="947"/>
      <c r="D284" s="947"/>
      <c r="E284" s="947"/>
      <c r="F284" s="947"/>
      <c r="G284" s="947"/>
      <c r="H284" s="947"/>
      <c r="I284" s="947"/>
      <c r="J284" s="947"/>
      <c r="K284" s="947"/>
      <c r="L284" s="12"/>
      <c r="N284" s="1"/>
      <c r="O284" s="12"/>
      <c r="P284" s="12"/>
    </row>
    <row r="285" spans="1:16">
      <c r="A285" s="690" t="s">
        <v>151</v>
      </c>
      <c r="B285" s="947" t="s">
        <v>152</v>
      </c>
      <c r="C285" s="947"/>
      <c r="D285" s="947"/>
      <c r="E285" s="947"/>
      <c r="F285" s="947"/>
      <c r="G285" s="947"/>
      <c r="H285" s="947"/>
      <c r="I285" s="947"/>
      <c r="J285" s="947"/>
      <c r="K285" s="947"/>
      <c r="L285" s="12"/>
      <c r="N285" s="1"/>
      <c r="O285" s="12"/>
      <c r="P285" s="12"/>
    </row>
    <row r="286" spans="1:16" ht="48" customHeight="1">
      <c r="A286" s="690" t="s">
        <v>163</v>
      </c>
      <c r="B286" s="947" t="s">
        <v>235</v>
      </c>
      <c r="C286" s="947"/>
      <c r="D286" s="947"/>
      <c r="E286" s="947"/>
      <c r="F286" s="947"/>
      <c r="G286" s="947"/>
      <c r="H286" s="947"/>
      <c r="I286" s="947"/>
      <c r="J286" s="947"/>
      <c r="K286" s="947"/>
      <c r="L286" s="12"/>
      <c r="N286" s="1"/>
      <c r="O286" s="12"/>
      <c r="P286" s="12"/>
    </row>
    <row r="287" spans="1:16" ht="49.5" customHeight="1">
      <c r="A287" s="870" t="s">
        <v>164</v>
      </c>
      <c r="B287" s="949" t="s">
        <v>247</v>
      </c>
      <c r="C287" s="949"/>
      <c r="D287" s="949"/>
      <c r="E287" s="949"/>
      <c r="F287" s="949"/>
      <c r="G287" s="949"/>
      <c r="H287" s="949"/>
      <c r="I287" s="949"/>
      <c r="J287" s="949"/>
      <c r="K287" s="949"/>
      <c r="L287" s="12"/>
      <c r="N287" s="1"/>
      <c r="O287" s="12"/>
      <c r="P287" s="12"/>
    </row>
    <row r="288" spans="1:16">
      <c r="A288" s="870" t="s">
        <v>181</v>
      </c>
      <c r="B288" s="949" t="s">
        <v>270</v>
      </c>
      <c r="C288" s="949"/>
      <c r="D288" s="949"/>
      <c r="E288" s="949"/>
      <c r="F288" s="949"/>
      <c r="G288" s="949"/>
      <c r="H288" s="949"/>
      <c r="I288" s="949"/>
      <c r="J288" s="949"/>
      <c r="K288" s="949"/>
      <c r="L288" s="12"/>
      <c r="N288" s="1"/>
      <c r="O288" s="12"/>
      <c r="P288" s="12"/>
    </row>
    <row r="289" spans="1:16">
      <c r="A289" s="871" t="s">
        <v>185</v>
      </c>
      <c r="B289" s="949" t="s">
        <v>271</v>
      </c>
      <c r="C289" s="949"/>
      <c r="D289" s="949"/>
      <c r="E289" s="949"/>
      <c r="F289" s="949"/>
      <c r="G289" s="949"/>
      <c r="H289" s="949"/>
      <c r="I289" s="949"/>
      <c r="J289" s="949"/>
      <c r="K289" s="949"/>
      <c r="L289" s="12"/>
      <c r="N289" s="46"/>
      <c r="O289" s="12"/>
      <c r="P289" s="12"/>
    </row>
    <row r="290" spans="1:16">
      <c r="A290" s="871" t="s">
        <v>189</v>
      </c>
      <c r="B290" s="949" t="s">
        <v>757</v>
      </c>
      <c r="C290" s="949"/>
      <c r="D290" s="949"/>
      <c r="E290" s="949"/>
      <c r="F290" s="949"/>
      <c r="G290" s="949"/>
      <c r="H290" s="949"/>
      <c r="I290" s="949"/>
      <c r="J290" s="949"/>
      <c r="K290" s="949"/>
      <c r="L290" s="12"/>
      <c r="N290" s="46"/>
      <c r="O290" s="12"/>
      <c r="P290" s="12"/>
    </row>
    <row r="291" spans="1:16" s="52" customFormat="1" ht="32.25" customHeight="1">
      <c r="A291" s="870" t="s">
        <v>190</v>
      </c>
      <c r="B291" s="949" t="s">
        <v>758</v>
      </c>
      <c r="C291" s="949"/>
      <c r="D291" s="949"/>
      <c r="E291" s="949"/>
      <c r="F291" s="949"/>
      <c r="G291" s="949"/>
      <c r="H291" s="949"/>
      <c r="I291" s="949"/>
      <c r="J291" s="949"/>
      <c r="K291" s="949"/>
      <c r="L291" s="120"/>
      <c r="N291" s="50"/>
      <c r="O291" s="120"/>
      <c r="P291" s="120"/>
    </row>
    <row r="292" spans="1:16" s="60" customFormat="1">
      <c r="A292" s="871" t="s">
        <v>257</v>
      </c>
      <c r="B292" s="949" t="s">
        <v>759</v>
      </c>
      <c r="C292" s="949"/>
      <c r="D292" s="949"/>
      <c r="E292" s="949"/>
      <c r="F292" s="949"/>
      <c r="G292" s="949"/>
      <c r="H292" s="949"/>
      <c r="I292" s="949"/>
      <c r="J292" s="949"/>
      <c r="K292" s="949"/>
      <c r="L292" s="62"/>
      <c r="N292" s="59"/>
      <c r="O292" s="62"/>
      <c r="P292" s="62"/>
    </row>
    <row r="293" spans="1:16" s="60" customFormat="1" ht="33" customHeight="1">
      <c r="A293" s="870" t="s">
        <v>258</v>
      </c>
      <c r="B293" s="949" t="s">
        <v>760</v>
      </c>
      <c r="C293" s="949"/>
      <c r="D293" s="949"/>
      <c r="E293" s="949"/>
      <c r="F293" s="949"/>
      <c r="G293" s="949"/>
      <c r="H293" s="949"/>
      <c r="I293" s="949"/>
      <c r="J293" s="949"/>
      <c r="K293" s="949"/>
      <c r="L293" s="62"/>
      <c r="N293" s="59"/>
      <c r="O293" s="62"/>
      <c r="P293" s="62"/>
    </row>
    <row r="294" spans="1:16" s="60" customFormat="1" ht="15" customHeight="1">
      <c r="A294" s="870" t="s">
        <v>259</v>
      </c>
      <c r="B294" s="131" t="s">
        <v>260</v>
      </c>
      <c r="C294" s="118"/>
      <c r="D294" s="118"/>
      <c r="E294" s="118"/>
      <c r="F294" s="118"/>
      <c r="G294" s="118"/>
      <c r="H294" s="118"/>
      <c r="I294" s="118"/>
      <c r="J294" s="118"/>
      <c r="K294" s="118"/>
      <c r="L294" s="62"/>
      <c r="N294" s="59"/>
      <c r="O294" s="62"/>
      <c r="P294" s="62"/>
    </row>
    <row r="295" spans="1:16" s="60" customFormat="1" ht="15" customHeight="1">
      <c r="A295" s="870" t="s">
        <v>261</v>
      </c>
      <c r="B295" s="132" t="s">
        <v>262</v>
      </c>
      <c r="C295" s="118"/>
      <c r="D295" s="118"/>
      <c r="E295" s="118"/>
      <c r="F295" s="118"/>
      <c r="G295" s="118"/>
      <c r="H295" s="118"/>
      <c r="I295" s="118"/>
      <c r="J295" s="118"/>
      <c r="K295" s="118"/>
      <c r="L295" s="62"/>
      <c r="N295" s="59"/>
      <c r="O295" s="62"/>
      <c r="P295" s="62"/>
    </row>
    <row r="296" spans="1:16" s="60" customFormat="1" ht="15" customHeight="1">
      <c r="A296" s="871" t="s">
        <v>682</v>
      </c>
      <c r="B296" s="132" t="s">
        <v>990</v>
      </c>
      <c r="C296" s="515"/>
      <c r="D296" s="515"/>
      <c r="E296" s="515"/>
      <c r="F296" s="515"/>
      <c r="G296" s="515"/>
      <c r="H296" s="515"/>
      <c r="I296" s="515"/>
      <c r="J296" s="118"/>
      <c r="K296" s="118"/>
      <c r="L296" s="62"/>
      <c r="N296" s="59"/>
      <c r="O296" s="62"/>
      <c r="P296" s="62"/>
    </row>
    <row r="297" spans="1:16">
      <c r="A297" s="1"/>
      <c r="B297" s="11"/>
      <c r="C297" s="11"/>
      <c r="D297" s="11"/>
      <c r="E297" s="11"/>
      <c r="F297" s="11"/>
      <c r="G297" s="11"/>
      <c r="H297" s="11"/>
      <c r="I297" s="11"/>
      <c r="J297" s="11"/>
      <c r="K297" s="11"/>
      <c r="N297" s="1"/>
      <c r="O297" s="12"/>
      <c r="P297" s="12"/>
    </row>
    <row r="298" spans="1:16">
      <c r="A298" s="1"/>
      <c r="B298" s="11"/>
      <c r="C298" s="11"/>
      <c r="D298" s="11"/>
      <c r="E298" s="11"/>
      <c r="F298" s="11"/>
      <c r="G298" s="11"/>
      <c r="H298" s="11"/>
      <c r="I298" s="11"/>
      <c r="J298" s="11"/>
      <c r="K298" s="11"/>
      <c r="N298" s="1"/>
      <c r="O298" s="12"/>
      <c r="P298" s="12"/>
    </row>
    <row r="299" spans="1:16">
      <c r="A299"/>
      <c r="C299" s="486"/>
      <c r="D299" s="486"/>
      <c r="E299" s="11"/>
      <c r="F299" s="11"/>
      <c r="G299" s="11"/>
      <c r="H299" s="11"/>
      <c r="I299" s="11"/>
      <c r="J299" s="11"/>
      <c r="K299" s="11"/>
      <c r="N299" s="1"/>
      <c r="O299" s="12"/>
      <c r="P299" s="12"/>
    </row>
    <row r="300" spans="1:16">
      <c r="A300"/>
      <c r="C300" s="52"/>
      <c r="D300" s="52"/>
      <c r="E300" s="11"/>
      <c r="F300" s="11"/>
      <c r="G300" s="11"/>
      <c r="H300" s="11"/>
      <c r="I300" s="11"/>
      <c r="J300" s="11"/>
      <c r="K300" s="11"/>
      <c r="N300" s="1"/>
      <c r="O300" s="12"/>
      <c r="P300" s="12"/>
    </row>
    <row r="301" spans="1:16">
      <c r="A301"/>
      <c r="E301" s="11"/>
      <c r="F301" s="11"/>
      <c r="G301" s="11"/>
      <c r="H301" s="11"/>
      <c r="I301" s="11"/>
      <c r="J301" s="11"/>
      <c r="K301" s="11"/>
      <c r="N301" s="1"/>
      <c r="O301" s="12"/>
      <c r="P301" s="12"/>
    </row>
    <row r="302" spans="1:16">
      <c r="A302"/>
      <c r="C302" s="52"/>
      <c r="D302" s="52"/>
      <c r="E302" s="11"/>
      <c r="F302" s="11"/>
      <c r="G302" s="11"/>
      <c r="H302" s="11"/>
      <c r="I302" s="11"/>
      <c r="J302" s="11"/>
      <c r="K302" s="11"/>
      <c r="N302" s="1"/>
      <c r="O302" s="12"/>
      <c r="P302" s="12"/>
    </row>
    <row r="303" spans="1:16">
      <c r="A303" s="1"/>
      <c r="B303" s="11"/>
      <c r="C303" s="11"/>
      <c r="D303" s="11"/>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A307" s="1"/>
      <c r="B307" s="11"/>
      <c r="C307" s="11"/>
      <c r="D307" s="11"/>
      <c r="E307" s="11"/>
      <c r="F307" s="11"/>
      <c r="G307" s="11"/>
      <c r="H307" s="11"/>
      <c r="I307" s="11"/>
      <c r="J307" s="11"/>
      <c r="K307" s="11"/>
      <c r="N307" s="1"/>
      <c r="O307" s="12"/>
      <c r="P307" s="12"/>
    </row>
    <row r="308" spans="1:16">
      <c r="B308" s="12"/>
      <c r="C308" s="12"/>
      <c r="D308" s="12"/>
      <c r="E308" s="12"/>
      <c r="F308" s="12"/>
      <c r="G308" s="12"/>
      <c r="H308" s="12"/>
      <c r="I308" s="12"/>
      <c r="J308" s="11"/>
      <c r="K308" s="11"/>
      <c r="N308" s="1"/>
      <c r="O308" s="12"/>
      <c r="P308" s="12"/>
    </row>
    <row r="309" spans="1:16">
      <c r="B309" s="516" t="s">
        <v>843</v>
      </c>
      <c r="C309" s="120"/>
      <c r="D309" s="120"/>
      <c r="E309" s="120"/>
      <c r="F309" s="120"/>
      <c r="G309" s="120"/>
      <c r="H309" s="120"/>
      <c r="I309" s="120"/>
      <c r="J309" s="120"/>
      <c r="K309" s="120"/>
      <c r="N309" s="1"/>
      <c r="O309" s="12"/>
      <c r="P309" s="12"/>
    </row>
    <row r="310" spans="1:16" ht="16.5" thickBot="1">
      <c r="B310" s="120"/>
      <c r="C310" s="120"/>
      <c r="D310" s="120"/>
      <c r="E310" s="120"/>
      <c r="F310" s="120"/>
      <c r="G310" s="120"/>
      <c r="H310" s="120"/>
      <c r="I310" s="120"/>
      <c r="J310" s="120"/>
      <c r="K310" s="120"/>
      <c r="N310" s="1"/>
      <c r="O310" s="12"/>
      <c r="P310" s="12"/>
    </row>
    <row r="311" spans="1:16">
      <c r="B311" s="829" t="s">
        <v>884</v>
      </c>
      <c r="C311" s="830"/>
      <c r="D311" s="830"/>
      <c r="E311" s="831"/>
      <c r="F311" s="832"/>
      <c r="G311" s="840"/>
      <c r="H311" s="518"/>
      <c r="I311" s="518"/>
      <c r="J311" s="518"/>
      <c r="K311" s="120"/>
      <c r="N311" s="12"/>
      <c r="O311" s="12"/>
      <c r="P311" s="12"/>
    </row>
    <row r="312" spans="1:16">
      <c r="B312" s="833" t="s">
        <v>845</v>
      </c>
      <c r="C312" s="517"/>
      <c r="D312" s="517"/>
      <c r="E312" s="518"/>
      <c r="F312" s="834"/>
      <c r="G312" s="518"/>
      <c r="H312" s="518"/>
      <c r="I312" s="518"/>
      <c r="J312" s="518"/>
      <c r="K312" s="120"/>
      <c r="N312" s="12"/>
      <c r="O312" s="12"/>
      <c r="P312" s="12"/>
    </row>
    <row r="313" spans="1:16">
      <c r="B313" s="835" t="s">
        <v>890</v>
      </c>
      <c r="C313" s="517"/>
      <c r="D313" s="517"/>
      <c r="E313" s="518"/>
      <c r="F313" s="834"/>
      <c r="G313" s="518"/>
      <c r="H313" s="518"/>
      <c r="I313" s="518"/>
      <c r="J313" s="518"/>
      <c r="K313" s="120"/>
      <c r="N313" s="12"/>
      <c r="O313" s="12"/>
      <c r="P313" s="12"/>
    </row>
    <row r="314" spans="1:16">
      <c r="B314" s="835" t="s">
        <v>856</v>
      </c>
      <c r="C314" s="517"/>
      <c r="D314" s="517"/>
      <c r="E314" s="518"/>
      <c r="F314" s="834"/>
      <c r="G314" s="518"/>
      <c r="H314" s="518"/>
      <c r="I314" s="518"/>
      <c r="J314" s="518"/>
      <c r="K314" s="120"/>
      <c r="N314" s="12"/>
      <c r="O314" s="12"/>
      <c r="P314" s="12"/>
    </row>
    <row r="315" spans="1:16">
      <c r="B315" s="835"/>
      <c r="C315" s="517"/>
      <c r="D315" s="517"/>
      <c r="E315" s="518"/>
      <c r="F315" s="834"/>
      <c r="G315" s="518"/>
      <c r="H315" s="518"/>
      <c r="I315" s="518"/>
      <c r="J315" s="518"/>
      <c r="K315" s="120"/>
      <c r="N315" s="12"/>
      <c r="O315" s="12"/>
      <c r="P315" s="12"/>
    </row>
    <row r="316" spans="1:16">
      <c r="B316" s="835" t="s">
        <v>833</v>
      </c>
      <c r="C316" s="517"/>
      <c r="D316" s="517"/>
      <c r="E316" s="518"/>
      <c r="F316" s="834"/>
      <c r="G316" s="518"/>
      <c r="H316" s="518"/>
      <c r="I316" s="518"/>
      <c r="J316" s="518"/>
      <c r="K316" s="120"/>
      <c r="N316" s="12"/>
      <c r="O316" s="12"/>
      <c r="P316" s="12"/>
    </row>
    <row r="317" spans="1:16">
      <c r="B317" s="835" t="s">
        <v>857</v>
      </c>
      <c r="C317" s="517"/>
      <c r="D317" s="517"/>
      <c r="E317" s="518"/>
      <c r="F317" s="834"/>
      <c r="G317" s="518"/>
      <c r="H317" s="518"/>
      <c r="I317" s="518"/>
      <c r="J317" s="518"/>
      <c r="K317" s="120"/>
      <c r="N317" s="12"/>
      <c r="O317" s="12"/>
      <c r="P317" s="12"/>
    </row>
    <row r="318" spans="1:16">
      <c r="B318" s="836">
        <f>IF(OR(MOD(E319,400)=0,AND(MOD(E319,4)=0,MOD(E319,100)&lt;&gt;0)),DATEVALUE(RIGHT('Att O_RPU'!K3,8))-366, DATEVALUE(RIGHT('Att O_RPU'!K3,8))-365)</f>
        <v>42735</v>
      </c>
      <c r="C318" s="517" t="str">
        <f>TEXT(B318,"mm/dd/yyyy")</f>
        <v>12/31/2016</v>
      </c>
      <c r="D318" s="517"/>
      <c r="E318" s="519">
        <f>E319-1</f>
        <v>2016</v>
      </c>
      <c r="F318" s="834"/>
      <c r="G318" s="518"/>
      <c r="H318" s="518"/>
      <c r="I318" s="518"/>
      <c r="J318" s="518"/>
      <c r="K318" s="52"/>
      <c r="N318" s="12"/>
      <c r="O318" s="12"/>
      <c r="P318" s="12"/>
    </row>
    <row r="319" spans="1:16">
      <c r="B319" s="836">
        <f>DATEVALUE(RIGHT('Att O_RPU'!K3,8))</f>
        <v>43100</v>
      </c>
      <c r="C319" s="517" t="str">
        <f>TEXT(B319,"mm/dd/yyyy")</f>
        <v>12/31/2017</v>
      </c>
      <c r="D319" s="517"/>
      <c r="E319" s="519">
        <f>RIGHT('Att O_RPU'!K3,2)+2000</f>
        <v>2017</v>
      </c>
      <c r="F319" s="834"/>
      <c r="G319" s="518"/>
      <c r="H319" s="518"/>
      <c r="I319" s="518"/>
      <c r="J319" s="518"/>
      <c r="K319" s="52"/>
      <c r="N319" s="12"/>
      <c r="O319" s="12"/>
      <c r="P319" s="12"/>
    </row>
    <row r="320" spans="1:16">
      <c r="B320" s="836">
        <f>IF(OR(MOD(E320,400)=0,AND(MOD(E320,4)=0,MOD(E320,100)&lt;&gt;0)),DATEVALUE(RIGHT('Att O_RPU'!K3,8))+366, DATEVALUE(RIGHT('Att O_RPU'!K3,8))+365)</f>
        <v>43465</v>
      </c>
      <c r="C320" s="517" t="str">
        <f>TEXT(B320,"mm/dd/yyyy")</f>
        <v>12/31/2018</v>
      </c>
      <c r="D320" s="517"/>
      <c r="E320" s="519">
        <f>E319+1</f>
        <v>2018</v>
      </c>
      <c r="F320" s="834"/>
      <c r="G320" s="518"/>
      <c r="H320" s="518"/>
      <c r="I320" s="518"/>
      <c r="J320" s="518"/>
      <c r="K320" s="52"/>
    </row>
    <row r="321" spans="2:11" ht="16.5" thickBot="1">
      <c r="B321" s="837"/>
      <c r="C321" s="838"/>
      <c r="D321" s="838"/>
      <c r="E321" s="838"/>
      <c r="F321" s="839"/>
      <c r="G321" s="518"/>
      <c r="H321" s="518"/>
      <c r="I321" s="518"/>
      <c r="J321" s="518"/>
      <c r="K321" s="52"/>
    </row>
    <row r="322" spans="2:11">
      <c r="B322" s="841"/>
      <c r="C322" s="517"/>
      <c r="D322" s="517"/>
      <c r="E322" s="490"/>
      <c r="F322" s="518"/>
      <c r="G322" s="518"/>
      <c r="H322" s="518"/>
      <c r="I322" s="518"/>
      <c r="J322" s="518"/>
      <c r="K322" s="52"/>
    </row>
    <row r="323" spans="2:11">
      <c r="B323" s="517"/>
      <c r="C323" s="517"/>
      <c r="D323" s="517"/>
      <c r="E323" s="518"/>
      <c r="F323" s="518"/>
      <c r="G323" s="518"/>
      <c r="H323" s="518"/>
      <c r="I323" s="518"/>
      <c r="J323" s="518"/>
      <c r="K323" s="52"/>
    </row>
    <row r="324" spans="2:11">
      <c r="B324" s="517"/>
      <c r="C324" s="517"/>
      <c r="D324" s="517"/>
      <c r="E324" s="518"/>
      <c r="F324" s="518"/>
      <c r="G324" s="518"/>
      <c r="H324" s="518"/>
      <c r="I324" s="518"/>
      <c r="J324" s="518"/>
      <c r="K324" s="52"/>
    </row>
    <row r="325" spans="2:11">
      <c r="B325" s="52"/>
      <c r="C325" s="52"/>
      <c r="D325" s="52"/>
      <c r="E325" s="52"/>
      <c r="F325" s="52"/>
      <c r="G325" s="52"/>
      <c r="H325" s="52"/>
      <c r="I325" s="52"/>
      <c r="J325" s="52"/>
      <c r="K325" s="52"/>
    </row>
  </sheetData>
  <mergeCells count="32">
    <mergeCell ref="M44:O44"/>
    <mergeCell ref="B274:K274"/>
    <mergeCell ref="B273:K273"/>
    <mergeCell ref="B272:K272"/>
    <mergeCell ref="B271:K271"/>
    <mergeCell ref="L205:Q205"/>
    <mergeCell ref="B267:K267"/>
    <mergeCell ref="C257:D257"/>
    <mergeCell ref="B266:K266"/>
    <mergeCell ref="B265:K265"/>
    <mergeCell ref="B293:K293"/>
    <mergeCell ref="B287:K287"/>
    <mergeCell ref="B286:K286"/>
    <mergeCell ref="B285:K285"/>
    <mergeCell ref="B288:K288"/>
    <mergeCell ref="B292:K292"/>
    <mergeCell ref="B290:K290"/>
    <mergeCell ref="B291:K291"/>
    <mergeCell ref="B289:K289"/>
    <mergeCell ref="C31:D31"/>
    <mergeCell ref="E278:K278"/>
    <mergeCell ref="E277:K277"/>
    <mergeCell ref="B284:K284"/>
    <mergeCell ref="B283:K283"/>
    <mergeCell ref="B282:K282"/>
    <mergeCell ref="B281:K281"/>
    <mergeCell ref="B280:K280"/>
    <mergeCell ref="B279:K279"/>
    <mergeCell ref="B270:K270"/>
    <mergeCell ref="B269:K269"/>
    <mergeCell ref="B268:K268"/>
    <mergeCell ref="B275:K275"/>
  </mergeCells>
  <phoneticPr fontId="0" type="noConversion"/>
  <pageMargins left="0.5" right="0.25" top="0.5" bottom="0.75" header="0.09" footer="0.5"/>
  <pageSetup scale="62" fitToHeight="5" orientation="portrait" r:id="rId1"/>
  <headerFooter alignWithMargins="0">
    <oddFooter>&amp;L&amp;8&amp;Z&amp;F&amp;A&amp;R&amp;8&amp;D</oddFooter>
  </headerFooter>
  <rowBreaks count="4" manualBreakCount="4">
    <brk id="54" max="10" man="1"/>
    <brk id="120" max="10" man="1"/>
    <brk id="187" max="10" man="1"/>
    <brk id="255" max="10" man="1"/>
  </rowBreaks>
  <ignoredErrors>
    <ignoredError sqref="I249 I251"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zoomScale="90" zoomScaleNormal="90" zoomScaleSheetLayoutView="80" workbookViewId="0">
      <selection sqref="A1:D1"/>
    </sheetView>
  </sheetViews>
  <sheetFormatPr defaultColWidth="8.88671875" defaultRowHeight="15"/>
  <cols>
    <col min="1" max="1" width="54.88671875" style="316" customWidth="1"/>
    <col min="2" max="2" width="10.33203125" style="316" customWidth="1"/>
    <col min="3" max="3" width="14.5546875" style="316" bestFit="1" customWidth="1"/>
    <col min="4" max="16384" width="8.88671875" style="316"/>
  </cols>
  <sheetData>
    <row r="1" spans="1:4" ht="18.75">
      <c r="A1" s="1000" t="str">
        <f>Coversheet!B3</f>
        <v>Rochester Public Utilities</v>
      </c>
      <c r="B1" s="1000"/>
      <c r="C1" s="1000"/>
      <c r="D1" s="343"/>
    </row>
    <row r="2" spans="1:4" ht="18.75">
      <c r="A2" s="1000" t="s">
        <v>944</v>
      </c>
      <c r="B2" s="1000"/>
      <c r="C2" s="1000"/>
      <c r="D2" s="343"/>
    </row>
    <row r="3" spans="1:4" ht="18.75">
      <c r="A3" s="1000" t="str">
        <f>'Transmission O&amp;M'!A3</f>
        <v>FLTY Forecast for 12 Months Ended December 31, 2017</v>
      </c>
      <c r="B3" s="1000"/>
      <c r="C3" s="1000"/>
      <c r="D3" s="343"/>
    </row>
    <row r="4" spans="1:4" ht="18.75">
      <c r="A4" s="314"/>
    </row>
    <row r="5" spans="1:4" ht="18.75">
      <c r="A5" s="314"/>
    </row>
    <row r="6" spans="1:4" ht="15.75">
      <c r="A6" s="329" t="s">
        <v>943</v>
      </c>
      <c r="C6" s="613" t="s">
        <v>7</v>
      </c>
    </row>
    <row r="7" spans="1:4" ht="15.75">
      <c r="A7" s="329"/>
      <c r="C7" s="586"/>
      <c r="D7" s="330"/>
    </row>
    <row r="8" spans="1:4" ht="15.75">
      <c r="A8" s="338" t="s">
        <v>559</v>
      </c>
      <c r="B8" s="332"/>
      <c r="C8" s="614"/>
    </row>
    <row r="9" spans="1:4" ht="15.75">
      <c r="A9" s="333" t="s">
        <v>560</v>
      </c>
      <c r="B9" s="332"/>
      <c r="C9" s="579">
        <v>31100</v>
      </c>
    </row>
    <row r="10" spans="1:4" ht="15.75">
      <c r="A10" s="333" t="s">
        <v>561</v>
      </c>
      <c r="B10" s="332"/>
      <c r="C10" s="580">
        <v>119100</v>
      </c>
    </row>
    <row r="11" spans="1:4" ht="15.75">
      <c r="A11" s="333" t="s">
        <v>562</v>
      </c>
      <c r="B11" s="332"/>
      <c r="C11" s="580">
        <v>1458100</v>
      </c>
    </row>
    <row r="12" spans="1:4" ht="15.75">
      <c r="A12" s="333" t="s">
        <v>563</v>
      </c>
      <c r="B12" s="332"/>
      <c r="C12" s="580">
        <v>156200</v>
      </c>
    </row>
    <row r="13" spans="1:4" ht="15.75">
      <c r="A13" s="333" t="s">
        <v>564</v>
      </c>
      <c r="B13" s="332"/>
      <c r="C13" s="580">
        <v>0</v>
      </c>
    </row>
    <row r="14" spans="1:4" ht="15.75">
      <c r="A14" s="339" t="s">
        <v>565</v>
      </c>
      <c r="B14" s="332"/>
      <c r="C14" s="615">
        <f>SUM(C8:C13)</f>
        <v>1764500</v>
      </c>
      <c r="D14" s="734" t="s">
        <v>566</v>
      </c>
    </row>
    <row r="15" spans="1:4" ht="15.75">
      <c r="A15" s="333"/>
      <c r="B15" s="332"/>
      <c r="C15" s="616"/>
    </row>
    <row r="16" spans="1:4" ht="15.75">
      <c r="A16" s="338" t="s">
        <v>567</v>
      </c>
      <c r="B16" s="332"/>
      <c r="C16" s="616"/>
    </row>
    <row r="17" spans="1:4" ht="15.75">
      <c r="A17" s="333" t="s">
        <v>568</v>
      </c>
      <c r="B17" s="332"/>
      <c r="C17" s="579">
        <v>0</v>
      </c>
    </row>
    <row r="18" spans="1:4" ht="15.75">
      <c r="A18" s="333" t="s">
        <v>569</v>
      </c>
      <c r="B18" s="332"/>
      <c r="C18" s="580">
        <v>1396200</v>
      </c>
    </row>
    <row r="19" spans="1:4" ht="15.75">
      <c r="A19" s="333" t="s">
        <v>570</v>
      </c>
      <c r="B19" s="332"/>
      <c r="C19" s="580">
        <v>196100</v>
      </c>
    </row>
    <row r="20" spans="1:4" ht="15.75">
      <c r="A20" s="333" t="s">
        <v>571</v>
      </c>
      <c r="B20" s="332"/>
      <c r="C20" s="580">
        <v>88400</v>
      </c>
    </row>
    <row r="21" spans="1:4" ht="15.75">
      <c r="A21" s="339" t="s">
        <v>572</v>
      </c>
      <c r="B21" s="332"/>
      <c r="C21" s="615">
        <f>SUM(C17:C20)</f>
        <v>1680700</v>
      </c>
      <c r="D21" s="734" t="s">
        <v>573</v>
      </c>
    </row>
    <row r="22" spans="1:4" ht="18" customHeight="1">
      <c r="A22" s="333"/>
      <c r="B22" s="332"/>
      <c r="C22" s="616"/>
    </row>
    <row r="23" spans="1:4" ht="15.75">
      <c r="A23" s="338" t="s">
        <v>574</v>
      </c>
      <c r="B23" s="332"/>
      <c r="C23" s="616"/>
    </row>
    <row r="24" spans="1:4" ht="15.75">
      <c r="A24" s="333" t="s">
        <v>575</v>
      </c>
      <c r="B24" s="332"/>
      <c r="C24" s="579">
        <v>0</v>
      </c>
    </row>
    <row r="25" spans="1:4" ht="15.75">
      <c r="A25" s="333" t="s">
        <v>576</v>
      </c>
      <c r="B25" s="332"/>
      <c r="C25" s="580">
        <v>193165</v>
      </c>
    </row>
    <row r="26" spans="1:4" ht="15.75">
      <c r="A26" s="333" t="s">
        <v>577</v>
      </c>
      <c r="B26" s="332"/>
      <c r="C26" s="580">
        <v>283362</v>
      </c>
    </row>
    <row r="27" spans="1:4" ht="15.75">
      <c r="A27" s="333" t="s">
        <v>578</v>
      </c>
      <c r="B27" s="332"/>
      <c r="C27" s="580">
        <v>73374</v>
      </c>
    </row>
    <row r="28" spans="1:4" ht="15.75">
      <c r="A28" s="338" t="s">
        <v>574</v>
      </c>
      <c r="B28" s="332"/>
      <c r="C28" s="615">
        <f>SUM(C24:C27)</f>
        <v>549901</v>
      </c>
      <c r="D28" s="734" t="s">
        <v>579</v>
      </c>
    </row>
    <row r="29" spans="1:4" ht="15.75">
      <c r="A29" s="333"/>
      <c r="B29" s="332"/>
      <c r="C29" s="616"/>
    </row>
    <row r="30" spans="1:4" ht="15.75">
      <c r="A30" s="338" t="s">
        <v>547</v>
      </c>
      <c r="B30" s="332"/>
      <c r="C30" s="616"/>
    </row>
    <row r="31" spans="1:4" ht="15.75">
      <c r="A31" s="333" t="s">
        <v>533</v>
      </c>
      <c r="B31" s="332"/>
      <c r="C31" s="579">
        <v>2813500</v>
      </c>
    </row>
    <row r="32" spans="1:4" ht="15.75">
      <c r="A32" s="333" t="s">
        <v>534</v>
      </c>
      <c r="B32" s="332"/>
      <c r="C32" s="580">
        <v>1421200</v>
      </c>
    </row>
    <row r="33" spans="1:4" ht="15.75">
      <c r="A33" s="333" t="s">
        <v>535</v>
      </c>
      <c r="B33" s="332"/>
      <c r="C33" s="617">
        <v>0</v>
      </c>
    </row>
    <row r="34" spans="1:4" ht="15.75">
      <c r="A34" s="333" t="s">
        <v>536</v>
      </c>
      <c r="B34" s="332"/>
      <c r="C34" s="580">
        <v>1491500</v>
      </c>
    </row>
    <row r="35" spans="1:4" ht="15.75">
      <c r="A35" s="333" t="s">
        <v>537</v>
      </c>
      <c r="B35" s="332"/>
      <c r="C35" s="580">
        <v>436800</v>
      </c>
    </row>
    <row r="36" spans="1:4" ht="15.75">
      <c r="A36" s="333" t="s">
        <v>538</v>
      </c>
      <c r="B36" s="332"/>
      <c r="C36" s="580">
        <v>765200</v>
      </c>
    </row>
    <row r="37" spans="1:4" ht="15.75">
      <c r="A37" s="333" t="s">
        <v>539</v>
      </c>
      <c r="B37" s="332"/>
      <c r="C37" s="580">
        <v>3153800</v>
      </c>
    </row>
    <row r="38" spans="1:4" ht="15.75">
      <c r="A38" s="333" t="s">
        <v>540</v>
      </c>
      <c r="B38" s="332"/>
      <c r="C38" s="580">
        <v>0</v>
      </c>
    </row>
    <row r="39" spans="1:4" ht="15.75">
      <c r="A39" s="333" t="s">
        <v>541</v>
      </c>
      <c r="B39" s="332"/>
      <c r="C39" s="580">
        <v>230500</v>
      </c>
    </row>
    <row r="40" spans="1:4" ht="15.75">
      <c r="A40" s="333" t="s">
        <v>542</v>
      </c>
      <c r="B40" s="332"/>
      <c r="C40" s="580">
        <v>0</v>
      </c>
    </row>
    <row r="41" spans="1:4" ht="15.75">
      <c r="A41" s="333" t="s">
        <v>543</v>
      </c>
      <c r="B41" s="332"/>
      <c r="C41" s="580">
        <v>86900</v>
      </c>
    </row>
    <row r="42" spans="1:4" ht="15.75">
      <c r="A42" s="333" t="s">
        <v>544</v>
      </c>
      <c r="C42" s="580">
        <v>373000</v>
      </c>
    </row>
    <row r="43" spans="1:4" ht="15.75">
      <c r="A43" s="333" t="s">
        <v>545</v>
      </c>
      <c r="C43" s="580">
        <v>0</v>
      </c>
    </row>
    <row r="44" spans="1:4" ht="15.75">
      <c r="A44" s="333" t="s">
        <v>546</v>
      </c>
      <c r="C44" s="580">
        <v>453079</v>
      </c>
    </row>
    <row r="45" spans="1:4" ht="15.75">
      <c r="A45" s="338" t="s">
        <v>547</v>
      </c>
      <c r="C45" s="618">
        <f>SUM(C31:C44)</f>
        <v>11225479</v>
      </c>
      <c r="D45" s="734" t="s">
        <v>580</v>
      </c>
    </row>
    <row r="48" spans="1:4">
      <c r="A48" s="334" t="s">
        <v>552</v>
      </c>
    </row>
    <row r="49" spans="1:5">
      <c r="A49" s="340" t="s">
        <v>581</v>
      </c>
      <c r="B49" s="353" t="s">
        <v>670</v>
      </c>
    </row>
    <row r="50" spans="1:5">
      <c r="A50" s="340" t="s">
        <v>554</v>
      </c>
    </row>
    <row r="51" spans="1:5" ht="15.75">
      <c r="A51" s="333"/>
    </row>
    <row r="52" spans="1:5">
      <c r="A52" s="340" t="s">
        <v>582</v>
      </c>
      <c r="B52" s="340"/>
      <c r="C52" s="340"/>
      <c r="D52" s="340"/>
      <c r="E52" s="353" t="s">
        <v>671</v>
      </c>
    </row>
    <row r="53" spans="1:5">
      <c r="A53" s="340" t="s">
        <v>554</v>
      </c>
    </row>
    <row r="54" spans="1:5" ht="15.75">
      <c r="A54" s="333"/>
    </row>
    <row r="55" spans="1:5" ht="15.75">
      <c r="A55" s="333"/>
    </row>
    <row r="56" spans="1:5" ht="15.75">
      <c r="A56" s="338"/>
    </row>
    <row r="57" spans="1:5" ht="15.75">
      <c r="A57" s="333"/>
    </row>
    <row r="58" spans="1:5" ht="15.75">
      <c r="A58" s="333"/>
    </row>
    <row r="59" spans="1:5" ht="15.75">
      <c r="A59" s="333"/>
    </row>
    <row r="60" spans="1:5" ht="15.75">
      <c r="A60" s="333"/>
    </row>
    <row r="61" spans="1:5" ht="15.75">
      <c r="A61" s="338"/>
    </row>
    <row r="62" spans="1:5" ht="15.75">
      <c r="A62" s="333"/>
    </row>
    <row r="63" spans="1:5" ht="15.75">
      <c r="A63" s="333"/>
    </row>
    <row r="64" spans="1:5" ht="15.75">
      <c r="A64" s="333"/>
    </row>
    <row r="65" spans="1:1" ht="15.75">
      <c r="A65" s="333"/>
    </row>
    <row r="66" spans="1:1" ht="15.75">
      <c r="A66" s="338"/>
    </row>
    <row r="67" spans="1:1" ht="15.75">
      <c r="A67" s="333"/>
    </row>
    <row r="68" spans="1:1" ht="15.75">
      <c r="A68" s="333"/>
    </row>
    <row r="69" spans="1:1" ht="15.75">
      <c r="A69" s="333"/>
    </row>
    <row r="70" spans="1:1" ht="15.75">
      <c r="A70" s="333"/>
    </row>
    <row r="71" spans="1:1" ht="15.75">
      <c r="A71" s="333"/>
    </row>
    <row r="72" spans="1:1" ht="15.75">
      <c r="A72" s="333"/>
    </row>
    <row r="73" spans="1:1" ht="15.75">
      <c r="A73" s="333"/>
    </row>
    <row r="74" spans="1:1" ht="15.75">
      <c r="A74" s="333"/>
    </row>
    <row r="75" spans="1:1" ht="15.75">
      <c r="A75" s="333"/>
    </row>
    <row r="76" spans="1:1" ht="15.75">
      <c r="A76" s="333"/>
    </row>
    <row r="77" spans="1:1" ht="15.75">
      <c r="A77" s="333"/>
    </row>
    <row r="78" spans="1:1" ht="15.75">
      <c r="A78" s="333"/>
    </row>
    <row r="79" spans="1:1" ht="15.75">
      <c r="A79" s="333"/>
    </row>
    <row r="80" spans="1:1" ht="15.75">
      <c r="A80" s="333"/>
    </row>
  </sheetData>
  <mergeCells count="3">
    <mergeCell ref="A3:C3"/>
    <mergeCell ref="A1:C1"/>
    <mergeCell ref="A2:C2"/>
  </mergeCells>
  <pageMargins left="0.2" right="0.2" top="0.5" bottom="0.5" header="0.05" footer="0.05"/>
  <pageSetup scale="98" orientation="portrait" r:id="rId1"/>
  <headerFooter>
    <oddHeader>&amp;L&amp;"Arial MT,Bold"Rochester Public Utilities
2017 Work Papers&amp;R&amp;"Arial MT,Bold"Exhibit RPU-8
Page 13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topLeftCell="A7" zoomScaleNormal="100" zoomScaleSheetLayoutView="100" workbookViewId="0">
      <selection activeCell="C27" sqref="C27"/>
    </sheetView>
  </sheetViews>
  <sheetFormatPr defaultColWidth="8.88671875" defaultRowHeight="15"/>
  <cols>
    <col min="1" max="1" width="37.44140625" style="351" customWidth="1"/>
    <col min="2" max="2" width="13.109375" style="351" customWidth="1"/>
    <col min="3" max="3" width="10.33203125" style="351" customWidth="1"/>
    <col min="4" max="4" width="11" style="351" customWidth="1"/>
    <col min="5" max="7" width="8.88671875" style="351"/>
    <col min="8" max="8" width="5.44140625" style="351" customWidth="1"/>
    <col min="9" max="16384" width="8.88671875" style="351"/>
  </cols>
  <sheetData>
    <row r="1" spans="1:9" ht="15.75">
      <c r="A1" s="1002" t="str">
        <f>Coversheet!B3</f>
        <v>Rochester Public Utilities</v>
      </c>
      <c r="B1" s="1002"/>
      <c r="C1" s="1002"/>
      <c r="D1" s="1002"/>
      <c r="E1" s="722"/>
      <c r="F1" s="722"/>
    </row>
    <row r="2" spans="1:9" ht="15.75">
      <c r="A2" s="1002" t="s">
        <v>945</v>
      </c>
      <c r="B2" s="1002"/>
      <c r="C2" s="1002"/>
      <c r="D2" s="1002"/>
      <c r="E2" s="722"/>
      <c r="F2" s="722"/>
    </row>
    <row r="3" spans="1:9" ht="15.75">
      <c r="A3" s="1003" t="str">
        <f>IF('Att O_RPU'!$I$19&gt;0.5,CONCATENATE("FLTY Forecast for 12 Months Ended December 31, ",'Att O_RPU'!E319),CONCATENATE("True-up Actual for 12 Months Ended December 31, ",'Att O_RPU'!E319))</f>
        <v>FLTY Forecast for 12 Months Ended December 31, 2017</v>
      </c>
      <c r="B3" s="1003"/>
      <c r="C3" s="1003"/>
      <c r="D3" s="1003"/>
      <c r="E3" s="722"/>
      <c r="F3" s="722"/>
    </row>
    <row r="4" spans="1:9" ht="15.75">
      <c r="A4" s="596"/>
      <c r="B4" s="596"/>
      <c r="C4" s="596"/>
      <c r="D4" s="596"/>
      <c r="E4" s="596"/>
      <c r="F4" s="596"/>
    </row>
    <row r="5" spans="1:9" ht="15.75">
      <c r="A5" s="1001" t="s">
        <v>946</v>
      </c>
      <c r="B5" s="1001"/>
      <c r="C5" s="1001"/>
      <c r="D5" s="596"/>
      <c r="E5" s="596"/>
      <c r="F5" s="596"/>
    </row>
    <row r="6" spans="1:9" ht="15.75">
      <c r="A6" s="596"/>
      <c r="B6" s="596"/>
      <c r="C6" s="596"/>
      <c r="D6" s="596"/>
      <c r="E6" s="596"/>
      <c r="F6" s="596"/>
    </row>
    <row r="7" spans="1:9" ht="15.75">
      <c r="A7" s="596"/>
      <c r="B7" s="596"/>
      <c r="C7" s="596"/>
      <c r="D7" s="596"/>
      <c r="E7" s="596"/>
      <c r="F7" s="596"/>
    </row>
    <row r="8" spans="1:9" ht="15.75">
      <c r="A8" s="722" t="s">
        <v>471</v>
      </c>
      <c r="C8" s="607">
        <f>C29</f>
        <v>504095.36320324335</v>
      </c>
      <c r="E8" s="735" t="s">
        <v>634</v>
      </c>
      <c r="F8" s="596"/>
      <c r="I8" s="352"/>
    </row>
    <row r="9" spans="1:9" ht="15.75">
      <c r="A9" s="722" t="s">
        <v>39</v>
      </c>
      <c r="C9" s="604">
        <f>C31</f>
        <v>546553.28614972543</v>
      </c>
      <c r="E9" s="735" t="s">
        <v>635</v>
      </c>
      <c r="F9" s="596"/>
    </row>
    <row r="10" spans="1:9" ht="15.75">
      <c r="A10" s="722" t="s">
        <v>451</v>
      </c>
      <c r="C10" s="604">
        <f>C33</f>
        <v>3689384.017115952</v>
      </c>
      <c r="E10" s="735" t="s">
        <v>636</v>
      </c>
      <c r="F10" s="596"/>
    </row>
    <row r="11" spans="1:9" ht="15.75">
      <c r="A11" s="722" t="s">
        <v>637</v>
      </c>
      <c r="C11" s="608">
        <f>C38</f>
        <v>1613603.1935887393</v>
      </c>
      <c r="E11" s="735" t="s">
        <v>638</v>
      </c>
      <c r="F11" s="596"/>
    </row>
    <row r="12" spans="1:9" ht="15.75">
      <c r="A12" s="596"/>
      <c r="C12" s="595">
        <f>SUM(C8:C11)</f>
        <v>6353635.8600576594</v>
      </c>
      <c r="E12" s="735" t="s">
        <v>639</v>
      </c>
      <c r="F12" s="596"/>
    </row>
    <row r="13" spans="1:9" ht="15.75">
      <c r="A13" s="596"/>
      <c r="B13" s="596"/>
      <c r="C13" s="596"/>
      <c r="E13" s="735" t="s">
        <v>640</v>
      </c>
      <c r="F13" s="596"/>
    </row>
    <row r="14" spans="1:9" ht="15.75">
      <c r="A14" s="596"/>
      <c r="B14" s="596"/>
      <c r="C14" s="596"/>
      <c r="E14" s="736" t="s">
        <v>641</v>
      </c>
      <c r="F14" s="596"/>
    </row>
    <row r="15" spans="1:9" ht="15.75">
      <c r="A15" s="596"/>
      <c r="B15" s="596"/>
      <c r="C15" s="596"/>
      <c r="D15" s="597"/>
      <c r="E15" s="596"/>
      <c r="F15" s="596"/>
    </row>
    <row r="16" spans="1:9" ht="15.75">
      <c r="A16" s="596"/>
      <c r="B16" s="596"/>
      <c r="C16" s="596"/>
      <c r="D16" s="596"/>
      <c r="E16" s="596"/>
      <c r="F16" s="596"/>
    </row>
    <row r="17" spans="1:6" ht="15.75">
      <c r="A17" s="596" t="s">
        <v>870</v>
      </c>
      <c r="B17" s="596"/>
      <c r="C17" s="598"/>
      <c r="D17" s="596"/>
      <c r="E17" s="596"/>
      <c r="F17" s="596"/>
    </row>
    <row r="18" spans="1:6" ht="15.75">
      <c r="A18" s="596" t="s">
        <v>871</v>
      </c>
      <c r="B18" s="596"/>
      <c r="C18" s="596"/>
      <c r="D18" s="596"/>
      <c r="E18" s="596"/>
      <c r="F18" s="596"/>
    </row>
    <row r="19" spans="1:6" ht="15.75">
      <c r="A19" s="599"/>
      <c r="B19" s="596"/>
      <c r="C19" s="596"/>
      <c r="D19" s="596"/>
      <c r="E19" s="596"/>
      <c r="F19" s="596"/>
    </row>
    <row r="20" spans="1:6" ht="15.75">
      <c r="A20" s="596" t="s">
        <v>642</v>
      </c>
      <c r="B20" s="596"/>
      <c r="C20" s="596"/>
      <c r="D20" s="596"/>
      <c r="E20" s="596"/>
      <c r="F20" s="596"/>
    </row>
    <row r="21" spans="1:6" ht="15.75">
      <c r="A21" s="600" t="s">
        <v>643</v>
      </c>
      <c r="B21" s="596"/>
      <c r="C21" s="596"/>
      <c r="D21" s="596"/>
      <c r="E21" s="596"/>
      <c r="F21" s="596"/>
    </row>
    <row r="22" spans="1:6" ht="15.75">
      <c r="A22" s="596"/>
      <c r="B22" s="596"/>
      <c r="C22" s="596"/>
      <c r="D22" s="596"/>
      <c r="E22" s="596"/>
      <c r="F22" s="596"/>
    </row>
    <row r="23" spans="1:6" ht="15.75">
      <c r="A23" s="602"/>
      <c r="B23" s="603" t="s">
        <v>644</v>
      </c>
      <c r="C23" s="603" t="s">
        <v>645</v>
      </c>
      <c r="D23" s="603" t="s">
        <v>646</v>
      </c>
      <c r="E23" s="596"/>
      <c r="F23" s="596"/>
    </row>
    <row r="24" spans="1:6" ht="15.75">
      <c r="A24" s="602"/>
      <c r="B24" s="602"/>
      <c r="C24" s="602"/>
      <c r="D24" s="602"/>
      <c r="E24" s="596"/>
      <c r="F24" s="596"/>
    </row>
    <row r="25" spans="1:6" ht="15.75">
      <c r="A25" s="602" t="s">
        <v>421</v>
      </c>
      <c r="B25" s="604">
        <f>D25-C25</f>
        <v>0</v>
      </c>
      <c r="C25" s="609">
        <v>0</v>
      </c>
      <c r="D25" s="604">
        <f>'Op &amp; Maint Sched 7'!F10</f>
        <v>0</v>
      </c>
      <c r="E25" s="601"/>
      <c r="F25" s="596"/>
    </row>
    <row r="26" spans="1:6" ht="15.75">
      <c r="A26" s="602" t="s">
        <v>424</v>
      </c>
      <c r="B26" s="604">
        <f>D26-C26</f>
        <v>54819.077250353199</v>
      </c>
      <c r="C26" s="609">
        <v>32280.922749646801</v>
      </c>
      <c r="D26" s="604">
        <f>'Op &amp; Maint Sched 7'!F13</f>
        <v>87100</v>
      </c>
      <c r="E26" s="601"/>
      <c r="F26" s="596"/>
    </row>
    <row r="27" spans="1:6" ht="15.75">
      <c r="A27" s="602" t="s">
        <v>426</v>
      </c>
      <c r="B27" s="604">
        <f>D27-C27</f>
        <v>1367885.5595464036</v>
      </c>
      <c r="C27" s="609">
        <v>471814.44045359653</v>
      </c>
      <c r="D27" s="604">
        <f>'Op &amp; Maint Sched 7'!F15</f>
        <v>1839700</v>
      </c>
      <c r="E27" s="601"/>
      <c r="F27" s="596"/>
    </row>
    <row r="28" spans="1:6" ht="15.75">
      <c r="A28" s="602" t="s">
        <v>647</v>
      </c>
      <c r="B28" s="604">
        <f>D28-C28</f>
        <v>94419000</v>
      </c>
      <c r="C28" s="609">
        <v>0</v>
      </c>
      <c r="D28" s="604">
        <f>'Op &amp; Maint Sched 7'!F16</f>
        <v>94419000</v>
      </c>
      <c r="E28" s="601"/>
      <c r="F28" s="596"/>
    </row>
    <row r="29" spans="1:6" ht="15.75">
      <c r="A29" s="602" t="s">
        <v>431</v>
      </c>
      <c r="B29" s="605">
        <f t="shared" ref="B29:C29" si="0">SUM(B25:B28)</f>
        <v>95841704.636796758</v>
      </c>
      <c r="C29" s="605">
        <f t="shared" si="0"/>
        <v>504095.36320324335</v>
      </c>
      <c r="D29" s="605">
        <f>SUM(D25:D28)</f>
        <v>96345800</v>
      </c>
      <c r="E29" s="601"/>
      <c r="F29" s="596"/>
    </row>
    <row r="30" spans="1:6" ht="15.75">
      <c r="A30" s="602"/>
      <c r="B30" s="602"/>
      <c r="C30" s="602"/>
      <c r="D30" s="602"/>
      <c r="E30" s="601"/>
      <c r="F30" s="596"/>
    </row>
    <row r="31" spans="1:6" ht="15.75">
      <c r="A31" s="602" t="s">
        <v>432</v>
      </c>
      <c r="B31" s="604">
        <f>D31-C31</f>
        <v>7904846.7138502747</v>
      </c>
      <c r="C31" s="609">
        <v>546553.28614972543</v>
      </c>
      <c r="D31" s="604">
        <f>'Op &amp; Maint Sched 7'!F21</f>
        <v>8451400</v>
      </c>
      <c r="E31" s="601"/>
      <c r="F31" s="596"/>
    </row>
    <row r="32" spans="1:6" ht="15.75">
      <c r="A32" s="602"/>
      <c r="B32" s="602"/>
      <c r="C32" s="606"/>
      <c r="D32" s="602"/>
      <c r="E32" s="601"/>
      <c r="F32" s="596"/>
    </row>
    <row r="33" spans="1:6" ht="15.75">
      <c r="A33" s="602" t="s">
        <v>435</v>
      </c>
      <c r="B33" s="604">
        <f>D33-C33</f>
        <v>2269515.982884048</v>
      </c>
      <c r="C33" s="609">
        <v>3689384.017115952</v>
      </c>
      <c r="D33" s="604">
        <f>'Op &amp; Maint Sched 7'!F23</f>
        <v>5958900</v>
      </c>
      <c r="E33" s="601"/>
      <c r="F33" s="596"/>
    </row>
    <row r="34" spans="1:6" ht="15.75">
      <c r="A34" s="602"/>
      <c r="B34" s="602"/>
      <c r="C34" s="606"/>
      <c r="D34" s="602"/>
      <c r="E34" s="601"/>
      <c r="F34" s="596"/>
    </row>
    <row r="35" spans="1:6" ht="15.75">
      <c r="A35" s="602" t="s">
        <v>437</v>
      </c>
      <c r="B35" s="604">
        <f t="shared" ref="B35:B37" si="1">D35-C35</f>
        <v>964471.97758335632</v>
      </c>
      <c r="C35" s="609">
        <v>800028.02241664368</v>
      </c>
      <c r="D35" s="604">
        <f>'Op &amp; Maint Sched 7'!F25</f>
        <v>1764500</v>
      </c>
      <c r="E35" s="601"/>
      <c r="F35" s="596"/>
    </row>
    <row r="36" spans="1:6" ht="15.75">
      <c r="A36" s="602" t="s">
        <v>648</v>
      </c>
      <c r="B36" s="604">
        <f t="shared" si="1"/>
        <v>1043259.5763848223</v>
      </c>
      <c r="C36" s="609">
        <v>637440.42361517774</v>
      </c>
      <c r="D36" s="604">
        <f>'Op &amp; Maint Sched 7'!F27</f>
        <v>1680700</v>
      </c>
      <c r="E36" s="601"/>
      <c r="F36" s="596"/>
    </row>
    <row r="37" spans="1:6" ht="15.75">
      <c r="A37" s="602" t="s">
        <v>574</v>
      </c>
      <c r="B37" s="604">
        <f t="shared" si="1"/>
        <v>373766.25244308216</v>
      </c>
      <c r="C37" s="609">
        <v>176134.74755691781</v>
      </c>
      <c r="D37" s="604">
        <f>'Op &amp; Maint Sched 7'!F28</f>
        <v>549901</v>
      </c>
      <c r="E37" s="601"/>
      <c r="F37" s="596"/>
    </row>
    <row r="38" spans="1:6" ht="15.75">
      <c r="A38" s="602" t="s">
        <v>649</v>
      </c>
      <c r="B38" s="605">
        <f t="shared" ref="B38:C38" si="2">SUM(B35:B37)</f>
        <v>2381497.8064112607</v>
      </c>
      <c r="C38" s="605">
        <f t="shared" si="2"/>
        <v>1613603.1935887393</v>
      </c>
      <c r="D38" s="605">
        <f>SUM(D35:D37)</f>
        <v>3995101</v>
      </c>
      <c r="E38" s="601"/>
      <c r="F38" s="596"/>
    </row>
    <row r="39" spans="1:6">
      <c r="E39" s="354"/>
    </row>
  </sheetData>
  <mergeCells count="4">
    <mergeCell ref="A5:C5"/>
    <mergeCell ref="A2:D2"/>
    <mergeCell ref="A1:D1"/>
    <mergeCell ref="A3:D3"/>
  </mergeCells>
  <pageMargins left="0.45" right="0.45" top="0.75" bottom="0.5" header="0.3" footer="0.3"/>
  <pageSetup orientation="portrait" r:id="rId1"/>
  <headerFooter>
    <oddHeader>&amp;L&amp;"Arial MT,Bold"Rochester Public Utilities
2017 Work Papers&amp;R&amp;"Arial MT,Bold"Exhibit RPU-8
Page 14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18"/>
  <sheetViews>
    <sheetView zoomScaleNormal="100" zoomScaleSheetLayoutView="100" workbookViewId="0">
      <selection sqref="A1:D1"/>
    </sheetView>
  </sheetViews>
  <sheetFormatPr defaultColWidth="8.88671875" defaultRowHeight="15"/>
  <cols>
    <col min="1" max="1" width="56.109375" style="316" bestFit="1" customWidth="1"/>
    <col min="2" max="2" width="8.109375" style="316" customWidth="1"/>
    <col min="3" max="3" width="8.44140625" style="316" customWidth="1"/>
    <col min="4" max="16384" width="8.88671875" style="316"/>
  </cols>
  <sheetData>
    <row r="1" spans="1:7" ht="18.75">
      <c r="A1" s="1000" t="str">
        <f>Coversheet!B3</f>
        <v>Rochester Public Utilities</v>
      </c>
      <c r="B1" s="1000"/>
      <c r="C1" s="1000"/>
      <c r="D1" s="332"/>
      <c r="E1" s="332"/>
      <c r="F1" s="332"/>
      <c r="G1" s="332"/>
    </row>
    <row r="2" spans="1:7" ht="18.75">
      <c r="A2" s="1000" t="s">
        <v>948</v>
      </c>
      <c r="B2" s="1000"/>
      <c r="C2" s="1000"/>
      <c r="D2" s="332"/>
      <c r="E2" s="332"/>
      <c r="F2" s="332"/>
      <c r="G2" s="332"/>
    </row>
    <row r="3" spans="1:7" ht="18.75">
      <c r="A3" s="1000" t="str">
        <f>'Admin &amp; General'!A3</f>
        <v>FLTY Forecast for 12 Months Ended December 31, 2017</v>
      </c>
      <c r="B3" s="1000"/>
      <c r="C3" s="1000"/>
      <c r="D3" s="332"/>
      <c r="E3" s="332"/>
      <c r="F3" s="332"/>
      <c r="G3" s="332"/>
    </row>
    <row r="5" spans="1:7" ht="15.75">
      <c r="A5" s="1004" t="s">
        <v>947</v>
      </c>
      <c r="B5" s="1004"/>
      <c r="C5" s="1004"/>
      <c r="D5" s="334"/>
    </row>
    <row r="6" spans="1:7">
      <c r="E6" s="369"/>
    </row>
    <row r="7" spans="1:7" ht="15.75">
      <c r="A7" s="676"/>
      <c r="B7" s="676" t="s">
        <v>583</v>
      </c>
      <c r="C7" s="667"/>
      <c r="D7" s="341"/>
    </row>
    <row r="8" spans="1:7" ht="15.75">
      <c r="A8" s="329" t="s">
        <v>584</v>
      </c>
      <c r="B8" s="329" t="s">
        <v>585</v>
      </c>
      <c r="C8" s="329" t="s">
        <v>7</v>
      </c>
    </row>
    <row r="9" spans="1:7" ht="15.75">
      <c r="A9" s="667"/>
      <c r="B9" s="667"/>
      <c r="C9" s="667"/>
    </row>
    <row r="10" spans="1:7" ht="15.75">
      <c r="A10" s="331" t="s">
        <v>586</v>
      </c>
      <c r="B10" s="737">
        <v>0</v>
      </c>
      <c r="C10" s="614">
        <v>0</v>
      </c>
    </row>
    <row r="11" spans="1:7" ht="15.75">
      <c r="A11" s="331" t="s">
        <v>587</v>
      </c>
      <c r="B11" s="737">
        <v>0</v>
      </c>
      <c r="C11" s="614">
        <v>0</v>
      </c>
    </row>
    <row r="12" spans="1:7" ht="18">
      <c r="A12" s="331" t="s">
        <v>588</v>
      </c>
      <c r="B12" s="738">
        <v>0</v>
      </c>
      <c r="C12" s="739">
        <v>0</v>
      </c>
    </row>
    <row r="13" spans="1:7" ht="15.75">
      <c r="A13" s="667"/>
      <c r="B13" s="667"/>
      <c r="C13" s="667"/>
    </row>
    <row r="14" spans="1:7" ht="15.75">
      <c r="A14" s="331" t="s">
        <v>9</v>
      </c>
      <c r="B14" s="740">
        <f>SUM(B10:B13)</f>
        <v>0</v>
      </c>
      <c r="C14" s="741">
        <f>SUM(C10:C13)</f>
        <v>0</v>
      </c>
    </row>
    <row r="17" spans="1:1">
      <c r="A17" s="335"/>
    </row>
    <row r="18" spans="1:1">
      <c r="A18" s="335"/>
    </row>
  </sheetData>
  <mergeCells count="4">
    <mergeCell ref="A1:C1"/>
    <mergeCell ref="A3:C3"/>
    <mergeCell ref="A5:C5"/>
    <mergeCell ref="A2:C2"/>
  </mergeCells>
  <pageMargins left="0.7" right="0.7" top="0.75" bottom="0.75" header="0.3" footer="0.3"/>
  <pageSetup orientation="landscape" r:id="rId1"/>
  <headerFooter>
    <oddHeader>&amp;L&amp;"Arial MT,Bold"Rochester Public Utilities
2017 Work Papers&amp;R&amp;"Arial MT,Bold"Exhibit RPU-8
Page 15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zoomScaleNormal="100" zoomScaleSheetLayoutView="100" workbookViewId="0">
      <selection sqref="A1:D1"/>
    </sheetView>
  </sheetViews>
  <sheetFormatPr defaultColWidth="8.88671875" defaultRowHeight="15"/>
  <cols>
    <col min="1" max="1" width="70" style="316" customWidth="1"/>
    <col min="2" max="2" width="9.77734375" style="316" bestFit="1" customWidth="1"/>
    <col min="3" max="3" width="9" style="316" bestFit="1" customWidth="1"/>
    <col min="4" max="4" width="2.21875" style="316" customWidth="1"/>
    <col min="5" max="5" width="8.21875" style="316" bestFit="1" customWidth="1"/>
    <col min="6" max="16384" width="8.88671875" style="316"/>
  </cols>
  <sheetData>
    <row r="1" spans="1:9" ht="18.75">
      <c r="A1" s="1000" t="str">
        <f>Coversheet!B3</f>
        <v>Rochester Public Utilities</v>
      </c>
      <c r="B1" s="1000"/>
      <c r="C1" s="1000"/>
      <c r="D1" s="332"/>
      <c r="E1" s="332"/>
      <c r="F1" s="332"/>
      <c r="G1" s="332"/>
      <c r="H1" s="332"/>
    </row>
    <row r="2" spans="1:9" ht="18.75">
      <c r="A2" s="1000" t="s">
        <v>950</v>
      </c>
      <c r="B2" s="1000"/>
      <c r="C2" s="1000"/>
      <c r="D2" s="332"/>
      <c r="E2" s="332"/>
      <c r="F2" s="332"/>
      <c r="G2" s="332"/>
      <c r="H2" s="332"/>
    </row>
    <row r="3" spans="1:9" ht="18.75">
      <c r="A3" s="1000" t="str">
        <f>'FERC Fees'!A3</f>
        <v>FLTY Forecast for 12 Months Ended December 31, 2017</v>
      </c>
      <c r="B3" s="1000"/>
      <c r="C3" s="1000"/>
      <c r="D3" s="332"/>
      <c r="E3" s="332"/>
      <c r="F3" s="332"/>
      <c r="G3" s="332"/>
      <c r="H3" s="332"/>
      <c r="I3" s="332"/>
    </row>
    <row r="5" spans="1:9" ht="18.75">
      <c r="A5" s="1000" t="s">
        <v>949</v>
      </c>
      <c r="B5" s="1000"/>
      <c r="C5" s="1000"/>
      <c r="D5" s="334"/>
      <c r="E5" s="334"/>
    </row>
    <row r="8" spans="1:9" ht="15.75">
      <c r="A8" s="667" t="s">
        <v>589</v>
      </c>
      <c r="B8" s="614">
        <v>0</v>
      </c>
      <c r="D8" s="725" t="s">
        <v>867</v>
      </c>
      <c r="E8" s="667"/>
      <c r="F8" s="667"/>
    </row>
    <row r="9" spans="1:9" ht="15.75">
      <c r="A9" s="667"/>
      <c r="B9" s="667"/>
      <c r="D9" s="725"/>
      <c r="E9" s="667"/>
      <c r="F9" s="667"/>
    </row>
    <row r="10" spans="1:9" ht="15.75">
      <c r="A10" s="667"/>
      <c r="B10" s="667"/>
      <c r="D10" s="725"/>
      <c r="E10" s="667"/>
      <c r="F10" s="667"/>
    </row>
    <row r="11" spans="1:9" ht="15.75">
      <c r="A11" s="667"/>
      <c r="B11" s="667"/>
      <c r="D11" s="725"/>
      <c r="E11" s="667"/>
      <c r="F11" s="667"/>
    </row>
    <row r="12" spans="1:9" ht="15.75">
      <c r="A12" s="667"/>
      <c r="B12" s="667"/>
      <c r="D12" s="725"/>
      <c r="E12" s="667"/>
      <c r="F12" s="667"/>
    </row>
    <row r="13" spans="1:9" ht="15.75">
      <c r="A13" s="667" t="s">
        <v>953</v>
      </c>
      <c r="B13" s="667"/>
      <c r="D13" s="725"/>
      <c r="E13" s="725" t="s">
        <v>954</v>
      </c>
      <c r="F13" s="667"/>
    </row>
    <row r="14" spans="1:9" ht="15.75">
      <c r="A14" s="866" t="s">
        <v>866</v>
      </c>
      <c r="B14" s="579">
        <v>230500</v>
      </c>
      <c r="D14" s="725" t="s">
        <v>955</v>
      </c>
      <c r="E14" s="667"/>
      <c r="F14" s="667"/>
    </row>
    <row r="15" spans="1:9" ht="31.5">
      <c r="A15" s="865" t="s">
        <v>994</v>
      </c>
      <c r="B15" s="863">
        <v>0</v>
      </c>
      <c r="D15" s="725" t="s">
        <v>868</v>
      </c>
      <c r="E15" s="667"/>
      <c r="F15" s="667"/>
    </row>
    <row r="16" spans="1:9" ht="15.75">
      <c r="A16" s="667"/>
      <c r="B16" s="742">
        <f>SUM(B14:B15)</f>
        <v>230500</v>
      </c>
      <c r="D16" s="725"/>
      <c r="E16" s="667"/>
      <c r="F16" s="667"/>
    </row>
    <row r="17" spans="1:6" ht="15.75">
      <c r="A17" s="667"/>
      <c r="B17" s="667"/>
      <c r="D17" s="725"/>
      <c r="E17" s="667"/>
      <c r="F17" s="667"/>
    </row>
    <row r="18" spans="1:6" ht="15.75">
      <c r="A18" s="667"/>
      <c r="B18" s="667"/>
      <c r="D18" s="725"/>
      <c r="E18" s="667"/>
      <c r="F18" s="667"/>
    </row>
    <row r="19" spans="1:6" ht="15.75">
      <c r="A19" s="667" t="s">
        <v>590</v>
      </c>
      <c r="B19" s="667"/>
      <c r="D19" s="725"/>
      <c r="E19" s="667"/>
      <c r="F19" s="667"/>
    </row>
    <row r="20" spans="1:6" ht="15.75">
      <c r="A20" s="597" t="s">
        <v>661</v>
      </c>
      <c r="B20" s="579">
        <v>86900</v>
      </c>
      <c r="D20" s="735" t="s">
        <v>662</v>
      </c>
      <c r="E20" s="667"/>
      <c r="F20" s="667"/>
    </row>
    <row r="21" spans="1:6" ht="15.75">
      <c r="A21" s="331" t="s">
        <v>591</v>
      </c>
      <c r="B21" s="588">
        <v>0</v>
      </c>
      <c r="D21" s="725" t="s">
        <v>869</v>
      </c>
      <c r="E21" s="667"/>
      <c r="F21" s="667"/>
    </row>
    <row r="22" spans="1:6" ht="18" customHeight="1">
      <c r="A22" s="667"/>
      <c r="B22" s="589">
        <f>SUM(B20:B21)</f>
        <v>86900</v>
      </c>
      <c r="C22" s="667"/>
      <c r="D22" s="667"/>
      <c r="E22" s="667"/>
      <c r="F22" s="667"/>
    </row>
    <row r="23" spans="1:6" ht="15.75">
      <c r="A23" s="667"/>
      <c r="B23" s="667"/>
      <c r="C23" s="667"/>
      <c r="D23" s="667"/>
      <c r="E23" s="667"/>
      <c r="F23" s="667"/>
    </row>
    <row r="24" spans="1:6" ht="15.75">
      <c r="A24" s="667"/>
      <c r="B24" s="667"/>
      <c r="C24" s="667"/>
      <c r="D24" s="667"/>
      <c r="E24" s="667"/>
      <c r="F24" s="667"/>
    </row>
    <row r="25" spans="1:6" ht="15.75">
      <c r="A25" s="338" t="s">
        <v>934</v>
      </c>
      <c r="B25" s="338"/>
      <c r="C25" s="338"/>
      <c r="D25" s="338"/>
      <c r="E25" s="338"/>
      <c r="F25" s="338"/>
    </row>
    <row r="26" spans="1:6" ht="15.75">
      <c r="A26" s="667"/>
      <c r="B26" s="667"/>
      <c r="C26" s="667"/>
      <c r="D26" s="667"/>
      <c r="E26" s="667"/>
      <c r="F26" s="667"/>
    </row>
    <row r="27" spans="1:6" ht="15.75">
      <c r="A27" s="667"/>
      <c r="B27" s="667"/>
      <c r="C27" s="667"/>
      <c r="D27" s="667"/>
      <c r="E27" s="667"/>
      <c r="F27" s="667"/>
    </row>
    <row r="28" spans="1:6" ht="15.75">
      <c r="A28" s="596" t="s">
        <v>669</v>
      </c>
      <c r="B28" s="667"/>
      <c r="C28" s="667"/>
      <c r="D28" s="667"/>
      <c r="E28" s="667"/>
      <c r="F28" s="667"/>
    </row>
    <row r="29" spans="1:6" ht="15.75">
      <c r="A29" s="667"/>
      <c r="B29" s="667"/>
      <c r="C29" s="667"/>
      <c r="D29" s="667"/>
      <c r="E29" s="667"/>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2017 Work Papers&amp;R&amp;"Arial MT,Bold"Exhibit RPU-8
Page 16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18"/>
  <sheetViews>
    <sheetView zoomScaleNormal="100" zoomScaleSheetLayoutView="100" workbookViewId="0">
      <selection sqref="A1:D1"/>
    </sheetView>
  </sheetViews>
  <sheetFormatPr defaultColWidth="8.88671875" defaultRowHeight="15"/>
  <cols>
    <col min="1" max="1" width="32.33203125" style="316" bestFit="1" customWidth="1"/>
    <col min="2" max="3" width="6.5546875" style="316" customWidth="1"/>
    <col min="4" max="4" width="11.5546875" style="316" bestFit="1" customWidth="1"/>
    <col min="5" max="5" width="2.109375" style="316" customWidth="1"/>
    <col min="6" max="16384" width="8.88671875" style="316"/>
  </cols>
  <sheetData>
    <row r="1" spans="1:7" ht="22.5">
      <c r="A1" s="1000" t="str">
        <f>Coversheet!B3</f>
        <v>Rochester Public Utilities</v>
      </c>
      <c r="B1" s="1000"/>
      <c r="C1" s="1000"/>
      <c r="D1" s="1000"/>
      <c r="E1" s="743"/>
      <c r="F1" s="743"/>
      <c r="G1" s="743"/>
    </row>
    <row r="2" spans="1:7" ht="22.5">
      <c r="A2" s="1000" t="s">
        <v>951</v>
      </c>
      <c r="B2" s="1000"/>
      <c r="C2" s="1000"/>
      <c r="D2" s="1000"/>
      <c r="E2" s="743"/>
      <c r="F2" s="743"/>
      <c r="G2" s="743"/>
    </row>
    <row r="3" spans="1:7" ht="22.5">
      <c r="A3" s="1005" t="str">
        <f>'EPRI Reg Comm Non Safety'!A3</f>
        <v>FLTY Forecast for 12 Months Ended December 31, 2017</v>
      </c>
      <c r="B3" s="1005"/>
      <c r="C3" s="1005"/>
      <c r="D3" s="1005"/>
      <c r="E3" s="743"/>
      <c r="F3" s="743"/>
      <c r="G3" s="743"/>
    </row>
    <row r="4" spans="1:7">
      <c r="A4" s="586"/>
      <c r="B4" s="586"/>
      <c r="C4" s="586"/>
      <c r="D4" s="586"/>
      <c r="E4" s="586"/>
      <c r="F4" s="586"/>
      <c r="G4" s="586"/>
    </row>
    <row r="5" spans="1:7" ht="15.75">
      <c r="A5" s="1005" t="s">
        <v>592</v>
      </c>
      <c r="B5" s="1005"/>
      <c r="C5" s="1005"/>
      <c r="D5" s="1005"/>
      <c r="E5" s="586"/>
      <c r="F5" s="586"/>
      <c r="G5" s="586"/>
    </row>
    <row r="6" spans="1:7">
      <c r="A6" s="586"/>
      <c r="B6" s="586"/>
      <c r="C6" s="586"/>
      <c r="D6" s="586"/>
      <c r="E6" s="586"/>
      <c r="F6" s="586"/>
      <c r="G6" s="586"/>
    </row>
    <row r="7" spans="1:7" ht="15.75">
      <c r="A7" s="744" t="s">
        <v>593</v>
      </c>
      <c r="B7" s="586"/>
      <c r="C7" s="586"/>
      <c r="D7" s="579">
        <v>940000</v>
      </c>
      <c r="E7" s="586"/>
      <c r="F7" s="747" t="s">
        <v>594</v>
      </c>
      <c r="G7" s="747"/>
    </row>
    <row r="8" spans="1:7" ht="15.75">
      <c r="A8" s="586" t="s">
        <v>595</v>
      </c>
      <c r="B8" s="586"/>
      <c r="C8" s="586"/>
      <c r="D8" s="755">
        <v>0</v>
      </c>
      <c r="E8" s="586"/>
      <c r="F8" s="747" t="s">
        <v>596</v>
      </c>
      <c r="G8" s="747"/>
    </row>
    <row r="9" spans="1:7" ht="15.75">
      <c r="A9" s="586" t="s">
        <v>597</v>
      </c>
      <c r="B9" s="586"/>
      <c r="C9" s="586"/>
      <c r="D9" s="755">
        <v>0</v>
      </c>
      <c r="E9" s="586"/>
      <c r="F9" s="747" t="s">
        <v>598</v>
      </c>
      <c r="G9" s="747"/>
    </row>
    <row r="10" spans="1:7" ht="15.75">
      <c r="A10" s="586" t="s">
        <v>599</v>
      </c>
      <c r="B10" s="586"/>
      <c r="C10" s="586"/>
      <c r="D10" s="755">
        <v>0</v>
      </c>
      <c r="E10" s="586"/>
      <c r="F10" s="747" t="s">
        <v>600</v>
      </c>
      <c r="G10" s="747"/>
    </row>
    <row r="11" spans="1:7" ht="15.75">
      <c r="A11" s="745" t="s">
        <v>450</v>
      </c>
      <c r="B11" s="586"/>
      <c r="C11" s="586"/>
      <c r="D11" s="779">
        <v>8676000</v>
      </c>
      <c r="E11" s="586"/>
      <c r="F11" s="747" t="s">
        <v>601</v>
      </c>
      <c r="G11" s="747"/>
    </row>
    <row r="12" spans="1:7" ht="15.75">
      <c r="A12" s="586" t="s">
        <v>602</v>
      </c>
      <c r="B12" s="586"/>
      <c r="C12" s="586"/>
      <c r="D12" s="746">
        <v>0</v>
      </c>
      <c r="E12" s="586"/>
      <c r="F12" s="747" t="s">
        <v>603</v>
      </c>
      <c r="G12" s="747"/>
    </row>
    <row r="13" spans="1:7" ht="15.75">
      <c r="A13" s="586" t="s">
        <v>9</v>
      </c>
      <c r="B13" s="586"/>
      <c r="C13" s="586"/>
      <c r="D13" s="614">
        <f>SUM(D7:D12)</f>
        <v>9616000</v>
      </c>
      <c r="E13" s="586"/>
      <c r="F13" s="747" t="s">
        <v>604</v>
      </c>
      <c r="G13" s="747"/>
    </row>
    <row r="14" spans="1:7">
      <c r="A14" s="586"/>
      <c r="B14" s="586"/>
      <c r="C14" s="586"/>
      <c r="D14" s="586"/>
      <c r="E14" s="586"/>
      <c r="F14" s="747" t="s">
        <v>605</v>
      </c>
      <c r="G14" s="747"/>
    </row>
    <row r="15" spans="1:7">
      <c r="A15" s="586"/>
      <c r="B15" s="586"/>
      <c r="C15" s="586"/>
      <c r="D15" s="586"/>
      <c r="E15" s="586"/>
      <c r="F15" s="747" t="s">
        <v>606</v>
      </c>
      <c r="G15" s="747"/>
    </row>
    <row r="16" spans="1:7">
      <c r="A16" s="586"/>
      <c r="B16" s="586"/>
      <c r="C16" s="586"/>
      <c r="D16" s="586"/>
      <c r="E16" s="586"/>
      <c r="F16" s="747" t="s">
        <v>607</v>
      </c>
      <c r="G16" s="747"/>
    </row>
    <row r="18" spans="4:4">
      <c r="D18" s="884"/>
    </row>
  </sheetData>
  <mergeCells count="4">
    <mergeCell ref="A1:D1"/>
    <mergeCell ref="A3:D3"/>
    <mergeCell ref="A5:D5"/>
    <mergeCell ref="A2:D2"/>
  </mergeCells>
  <pageMargins left="0.45" right="0.2" top="0.75" bottom="0.75" header="0.3" footer="0.3"/>
  <pageSetup orientation="landscape" r:id="rId1"/>
  <headerFooter>
    <oddHeader>&amp;L&amp;"Arial MT,Bold"Rochester Public Utilities
2017 Work Papers&amp;R&amp;"Arial MT,Bold"Exhibit RPU-8
Page 17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sqref="A1:D1"/>
    </sheetView>
  </sheetViews>
  <sheetFormatPr defaultColWidth="8.88671875" defaultRowHeight="15"/>
  <cols>
    <col min="1" max="1" width="5.5546875" style="316" customWidth="1"/>
    <col min="2" max="2" width="62.109375" style="316" customWidth="1"/>
    <col min="3" max="3" width="8.77734375" style="316" customWidth="1"/>
    <col min="4" max="4" width="0.6640625" style="316" customWidth="1"/>
    <col min="5" max="5" width="57.21875" style="316" bestFit="1" customWidth="1"/>
    <col min="6" max="16384" width="8.88671875" style="316"/>
  </cols>
  <sheetData>
    <row r="1" spans="1:5" ht="15.75">
      <c r="B1" s="676" t="str">
        <f>Coversheet!B3</f>
        <v>Rochester Public Utilities</v>
      </c>
      <c r="C1" s="669"/>
      <c r="D1" s="669"/>
      <c r="E1" s="669"/>
    </row>
    <row r="2" spans="1:5" ht="15.4" customHeight="1">
      <c r="A2" s="1005" t="s">
        <v>1001</v>
      </c>
      <c r="B2" s="1005"/>
      <c r="C2" s="1005"/>
      <c r="D2" s="669"/>
      <c r="E2" s="669"/>
    </row>
    <row r="3" spans="1:5" ht="15.75">
      <c r="B3" s="997" t="str">
        <f>IF('Att O_RPU'!$I$19&gt;0.5,CONCATENATE("FLTY Forecast for 12 Months Ended December 31, ",'Att O_RPU'!E319),CONCATENATE("True-up Actual for 12 Months Ended December 31, ",'Att O_RPU'!E319))</f>
        <v>FLTY Forecast for 12 Months Ended December 31, 2017</v>
      </c>
      <c r="C3" s="997"/>
      <c r="D3" s="997"/>
      <c r="E3" s="670"/>
    </row>
    <row r="4" spans="1:5">
      <c r="B4" s="671"/>
      <c r="C4" s="669"/>
      <c r="D4" s="669"/>
    </row>
    <row r="5" spans="1:5">
      <c r="B5" s="689" t="s">
        <v>608</v>
      </c>
      <c r="C5" s="586"/>
      <c r="D5" s="586"/>
      <c r="E5" s="586"/>
    </row>
    <row r="6" spans="1:5">
      <c r="C6" s="672"/>
      <c r="D6" s="672"/>
      <c r="E6" s="586"/>
    </row>
    <row r="7" spans="1:5" ht="18.75">
      <c r="B7" s="677" t="s">
        <v>935</v>
      </c>
      <c r="C7" s="586"/>
      <c r="D7" s="586"/>
      <c r="E7" s="586"/>
    </row>
    <row r="8" spans="1:5">
      <c r="B8" s="586"/>
      <c r="C8" s="586"/>
      <c r="D8" s="586"/>
      <c r="E8" s="586"/>
    </row>
    <row r="9" spans="1:5" ht="15.75">
      <c r="B9" s="613" t="s">
        <v>609</v>
      </c>
      <c r="C9" s="613" t="s">
        <v>7</v>
      </c>
      <c r="D9" s="586"/>
      <c r="E9" s="725" t="s">
        <v>611</v>
      </c>
    </row>
    <row r="10" spans="1:5" ht="15.75">
      <c r="A10" s="678" t="s">
        <v>448</v>
      </c>
      <c r="B10" s="673"/>
      <c r="C10" s="613"/>
      <c r="D10" s="586"/>
      <c r="E10" s="726" t="s">
        <v>612</v>
      </c>
    </row>
    <row r="11" spans="1:5" ht="15.75">
      <c r="A11" s="679" t="s">
        <v>6</v>
      </c>
      <c r="B11"/>
      <c r="C11" s="586"/>
      <c r="D11" s="586"/>
      <c r="E11" s="725" t="s">
        <v>613</v>
      </c>
    </row>
    <row r="12" spans="1:5" ht="15.75">
      <c r="A12" s="678">
        <v>1</v>
      </c>
      <c r="B12" s="599" t="s">
        <v>658</v>
      </c>
      <c r="C12" s="754">
        <v>600</v>
      </c>
      <c r="D12" s="586"/>
      <c r="E12" s="725" t="s">
        <v>1002</v>
      </c>
    </row>
    <row r="13" spans="1:5" ht="15.75">
      <c r="A13" s="678">
        <f>A12+1</f>
        <v>2</v>
      </c>
      <c r="B13" s="596" t="s">
        <v>663</v>
      </c>
      <c r="C13" s="609">
        <v>36420</v>
      </c>
      <c r="D13" s="586"/>
      <c r="E13" s="725" t="s">
        <v>614</v>
      </c>
    </row>
    <row r="14" spans="1:5" ht="15.75">
      <c r="A14" s="678">
        <f t="shared" ref="A14:A16" si="0">A13+1</f>
        <v>3</v>
      </c>
      <c r="B14" s="667" t="s">
        <v>610</v>
      </c>
      <c r="C14" s="755">
        <v>0</v>
      </c>
      <c r="D14" s="586"/>
      <c r="E14" s="725" t="s">
        <v>615</v>
      </c>
    </row>
    <row r="15" spans="1:5" ht="15.75">
      <c r="A15" s="678">
        <f t="shared" si="0"/>
        <v>4</v>
      </c>
      <c r="B15" s="667" t="s">
        <v>610</v>
      </c>
      <c r="C15" s="756">
        <v>0</v>
      </c>
      <c r="D15" s="586"/>
    </row>
    <row r="16" spans="1:5" ht="15.75">
      <c r="A16" s="678">
        <f t="shared" si="0"/>
        <v>5</v>
      </c>
      <c r="B16" s="586" t="s">
        <v>933</v>
      </c>
      <c r="C16" s="757">
        <f>SUM(C12:C15)</f>
        <v>37020</v>
      </c>
      <c r="D16" s="586"/>
      <c r="E16" s="725" t="s">
        <v>1003</v>
      </c>
    </row>
    <row r="17" spans="2:5" ht="15.75">
      <c r="B17" s="667"/>
      <c r="C17" s="668"/>
      <c r="D17" s="586"/>
    </row>
    <row r="18" spans="2:5" ht="15.75">
      <c r="B18" s="667"/>
      <c r="C18" s="668"/>
      <c r="D18" s="586"/>
      <c r="E18" s="667"/>
    </row>
    <row r="19" spans="2:5">
      <c r="B19" s="586"/>
      <c r="C19" s="586"/>
      <c r="D19" s="586"/>
    </row>
    <row r="20" spans="2:5" ht="15" customHeight="1">
      <c r="B20" s="674" t="s">
        <v>659</v>
      </c>
      <c r="C20" s="758">
        <v>216400</v>
      </c>
      <c r="D20" s="586"/>
    </row>
    <row r="21" spans="2:5" ht="15.75" thickBot="1">
      <c r="B21" s="675" t="s">
        <v>660</v>
      </c>
      <c r="C21" s="724">
        <f>C16+C20</f>
        <v>253420</v>
      </c>
      <c r="D21" s="586"/>
    </row>
    <row r="22" spans="2:5" ht="15.75" thickTop="1">
      <c r="B22" s="586"/>
      <c r="C22" s="586"/>
      <c r="D22" s="586"/>
    </row>
    <row r="23" spans="2:5">
      <c r="B23" s="586"/>
      <c r="C23" s="586"/>
      <c r="D23" s="586"/>
      <c r="E23" s="586"/>
    </row>
  </sheetData>
  <mergeCells count="2">
    <mergeCell ref="B3:D3"/>
    <mergeCell ref="A2:C2"/>
  </mergeCells>
  <pageMargins left="0.7" right="0.45" top="0.75" bottom="0.75" header="0.3" footer="0.3"/>
  <pageSetup orientation="landscape" r:id="rId1"/>
  <headerFooter>
    <oddHeader>&amp;L&amp;"Arial MT,Bold"Rochester Public Utilities
2017 Work Papers&amp;R&amp;"Arial MT,Bold"Exhibit RPU-8
Page 18 of 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32"/>
  <sheetViews>
    <sheetView topLeftCell="C7" zoomScale="90" zoomScaleNormal="90" zoomScaleSheetLayoutView="100" workbookViewId="0">
      <selection sqref="A1:D1"/>
    </sheetView>
  </sheetViews>
  <sheetFormatPr defaultColWidth="8.88671875" defaultRowHeight="15"/>
  <cols>
    <col min="1" max="1" width="15.77734375" style="316" customWidth="1"/>
    <col min="2" max="2" width="5" style="316" customWidth="1"/>
    <col min="3" max="3" width="72.88671875" style="316" customWidth="1"/>
    <col min="4" max="4" width="19" style="316" customWidth="1"/>
    <col min="5" max="5" width="1.5546875" style="316" customWidth="1"/>
    <col min="6" max="6" width="21.21875" style="316" bestFit="1" customWidth="1"/>
    <col min="7" max="16384" width="8.88671875" style="316"/>
  </cols>
  <sheetData>
    <row r="1" spans="1:9" ht="20.25" customHeight="1">
      <c r="B1" s="1005" t="str">
        <f>Coversheet!B3</f>
        <v>Rochester Public Utilities</v>
      </c>
      <c r="C1" s="1005"/>
      <c r="D1" s="1005"/>
      <c r="E1" s="669"/>
      <c r="F1" s="332"/>
      <c r="G1" s="332"/>
      <c r="H1" s="332"/>
      <c r="I1" s="332"/>
    </row>
    <row r="2" spans="1:9" ht="20.25" customHeight="1">
      <c r="B2" s="1005" t="s">
        <v>952</v>
      </c>
      <c r="C2" s="1005"/>
      <c r="D2" s="1005"/>
      <c r="E2" s="669"/>
      <c r="F2" s="332"/>
      <c r="G2" s="332"/>
      <c r="H2" s="332"/>
      <c r="I2" s="332"/>
    </row>
    <row r="3" spans="1:9" ht="15.75">
      <c r="B3" s="997" t="str">
        <f>IF('Att O_RPU'!$I$19&gt;0.5,CONCATENATE("FLTY Forecast for 12 Months Ended December 31, ",'Att O_RPU'!E319),CONCATENATE("True-up Actual for 12 Months Ended December 31, ",'Att O_RPU'!E319))</f>
        <v>FLTY Forecast for 12 Months Ended December 31, 2017</v>
      </c>
      <c r="C3" s="997"/>
      <c r="D3" s="997"/>
      <c r="E3" s="721"/>
      <c r="F3" s="344"/>
      <c r="G3" s="344"/>
      <c r="H3" s="344"/>
    </row>
    <row r="4" spans="1:9" ht="15.75">
      <c r="A4" s="342"/>
      <c r="B4" s="332"/>
      <c r="D4" s="723"/>
      <c r="E4" s="680"/>
      <c r="F4" s="680"/>
    </row>
    <row r="5" spans="1:9" ht="15.75">
      <c r="A5" s="332"/>
      <c r="B5" s="332"/>
      <c r="C5" s="669"/>
      <c r="D5" s="680"/>
      <c r="E5" s="680"/>
      <c r="F5" s="680"/>
      <c r="G5" s="332"/>
      <c r="H5" s="332"/>
    </row>
    <row r="6" spans="1:9" ht="15.75">
      <c r="A6" s="332"/>
      <c r="B6" s="678" t="s">
        <v>4</v>
      </c>
      <c r="D6" s="681" t="s">
        <v>616</v>
      </c>
      <c r="E6" s="680"/>
      <c r="F6" s="687"/>
      <c r="G6" s="332"/>
      <c r="H6" s="332"/>
    </row>
    <row r="7" spans="1:9" ht="15.75">
      <c r="A7" s="332"/>
      <c r="B7" s="679" t="s">
        <v>6</v>
      </c>
      <c r="C7" s="750" t="s">
        <v>616</v>
      </c>
      <c r="D7" s="682" t="s">
        <v>617</v>
      </c>
      <c r="E7" s="667"/>
      <c r="F7" s="680"/>
      <c r="G7" s="332"/>
      <c r="H7" s="332"/>
    </row>
    <row r="8" spans="1:9" ht="15.75">
      <c r="A8" s="332"/>
      <c r="B8" s="678"/>
      <c r="C8" s="680"/>
      <c r="D8" s="680"/>
      <c r="E8" s="680"/>
      <c r="F8" s="680"/>
      <c r="G8" s="332"/>
      <c r="H8" s="332"/>
    </row>
    <row r="9" spans="1:9" ht="15.75">
      <c r="A9" s="332"/>
      <c r="B9" s="678">
        <v>1</v>
      </c>
      <c r="C9" s="680" t="s">
        <v>956</v>
      </c>
      <c r="D9" s="751">
        <v>145000</v>
      </c>
      <c r="E9" s="680"/>
      <c r="F9" s="680"/>
      <c r="G9" s="332"/>
      <c r="H9" s="332"/>
    </row>
    <row r="10" spans="1:9" ht="15.75">
      <c r="A10" s="332"/>
      <c r="B10" s="678">
        <f>+B9+1</f>
        <v>2</v>
      </c>
      <c r="C10" s="680" t="s">
        <v>957</v>
      </c>
      <c r="D10" s="752">
        <v>513000</v>
      </c>
      <c r="E10" s="680"/>
      <c r="F10" s="680"/>
      <c r="G10" s="332"/>
      <c r="H10" s="332"/>
    </row>
    <row r="11" spans="1:9" ht="15.75">
      <c r="A11" s="332"/>
      <c r="B11" s="678">
        <f t="shared" ref="B11:B18" si="0">+B10+1</f>
        <v>3</v>
      </c>
      <c r="C11" s="680" t="s">
        <v>618</v>
      </c>
      <c r="D11" s="752">
        <v>0</v>
      </c>
      <c r="E11" s="680"/>
      <c r="F11" s="680"/>
      <c r="G11" s="332"/>
      <c r="H11" s="332"/>
    </row>
    <row r="12" spans="1:9" ht="15.75">
      <c r="A12" s="332"/>
      <c r="B12" s="678">
        <f t="shared" si="0"/>
        <v>4</v>
      </c>
      <c r="C12" s="680" t="s">
        <v>619</v>
      </c>
      <c r="D12" s="752">
        <v>0</v>
      </c>
      <c r="E12" s="680"/>
      <c r="F12" s="680"/>
      <c r="G12" s="332"/>
      <c r="H12" s="332"/>
    </row>
    <row r="13" spans="1:9" ht="15.75">
      <c r="A13" s="332"/>
      <c r="B13" s="678">
        <f t="shared" si="0"/>
        <v>5</v>
      </c>
      <c r="C13" s="680" t="s">
        <v>620</v>
      </c>
      <c r="D13" s="752">
        <v>0</v>
      </c>
      <c r="E13" s="680"/>
      <c r="F13" s="680"/>
      <c r="G13" s="332"/>
      <c r="H13" s="332"/>
    </row>
    <row r="14" spans="1:9" ht="15.75">
      <c r="A14" s="332"/>
      <c r="B14" s="678">
        <f t="shared" si="0"/>
        <v>6</v>
      </c>
      <c r="C14" s="680" t="s">
        <v>621</v>
      </c>
      <c r="D14" s="752">
        <v>3254000</v>
      </c>
      <c r="E14" s="680"/>
      <c r="F14" s="680"/>
      <c r="G14" s="332"/>
      <c r="H14" s="332"/>
    </row>
    <row r="15" spans="1:9" ht="15.75">
      <c r="A15" s="332"/>
      <c r="B15" s="842" t="s">
        <v>627</v>
      </c>
      <c r="C15" s="680" t="s">
        <v>976</v>
      </c>
      <c r="D15" s="752">
        <v>-35000</v>
      </c>
      <c r="E15" s="680"/>
      <c r="F15" s="859"/>
      <c r="G15" s="332"/>
      <c r="H15" s="332"/>
    </row>
    <row r="16" spans="1:9" ht="15.75">
      <c r="A16" s="332"/>
      <c r="B16" s="678">
        <f>+B14+1</f>
        <v>7</v>
      </c>
      <c r="C16" s="680" t="s">
        <v>622</v>
      </c>
      <c r="D16" s="752">
        <v>0</v>
      </c>
      <c r="E16" s="680"/>
      <c r="F16" s="688"/>
      <c r="G16" s="332"/>
      <c r="H16" s="332"/>
    </row>
    <row r="17" spans="1:8" ht="15.75">
      <c r="A17" s="332"/>
      <c r="B17" s="678">
        <f t="shared" si="0"/>
        <v>8</v>
      </c>
      <c r="C17" s="680" t="s">
        <v>873</v>
      </c>
      <c r="D17" s="752">
        <v>775000</v>
      </c>
      <c r="E17" s="680"/>
      <c r="F17" s="688"/>
      <c r="G17" s="332"/>
      <c r="H17" s="332"/>
    </row>
    <row r="18" spans="1:8" ht="15.75">
      <c r="A18" s="332"/>
      <c r="B18" s="678">
        <f t="shared" si="0"/>
        <v>9</v>
      </c>
      <c r="C18" s="891" t="s">
        <v>1025</v>
      </c>
      <c r="D18" s="752">
        <v>0</v>
      </c>
      <c r="E18" s="875"/>
      <c r="F18" s="688"/>
      <c r="G18" s="332"/>
      <c r="H18" s="332"/>
    </row>
    <row r="19" spans="1:8" ht="15.75">
      <c r="A19" s="332"/>
      <c r="B19" s="332"/>
      <c r="C19" s="680" t="s">
        <v>623</v>
      </c>
      <c r="D19" s="683">
        <f>SUM(D9:D18)</f>
        <v>4652000</v>
      </c>
      <c r="E19" s="680"/>
      <c r="F19" s="688"/>
      <c r="G19" s="332"/>
      <c r="H19" s="332"/>
    </row>
    <row r="20" spans="1:8" ht="15.75">
      <c r="A20" s="332"/>
      <c r="B20" s="332"/>
      <c r="C20" s="332"/>
      <c r="D20" s="684"/>
      <c r="E20" s="680"/>
      <c r="F20" s="688"/>
      <c r="G20" s="332"/>
      <c r="H20" s="332"/>
    </row>
    <row r="21" spans="1:8" ht="15.75">
      <c r="A21" s="332"/>
      <c r="C21" s="332"/>
      <c r="D21" s="685"/>
      <c r="E21" s="680"/>
      <c r="F21" s="688"/>
      <c r="G21" s="332"/>
      <c r="H21" s="332"/>
    </row>
    <row r="22" spans="1:8" ht="15.75">
      <c r="A22" s="345"/>
      <c r="B22" s="345">
        <f>B18+1</f>
        <v>10</v>
      </c>
      <c r="C22" s="346" t="s">
        <v>126</v>
      </c>
      <c r="D22" s="685">
        <f>D19</f>
        <v>4652000</v>
      </c>
      <c r="E22" s="680"/>
      <c r="F22" s="748" t="s">
        <v>625</v>
      </c>
      <c r="G22" s="332"/>
      <c r="H22" s="332"/>
    </row>
    <row r="23" spans="1:8" ht="15.75">
      <c r="A23" s="345"/>
      <c r="B23" s="678">
        <f t="shared" ref="B23:B26" si="1">+B22+1</f>
        <v>11</v>
      </c>
      <c r="C23" s="347" t="s">
        <v>624</v>
      </c>
      <c r="D23" s="685">
        <f>D10+D11+D12+D13+D18</f>
        <v>513000</v>
      </c>
      <c r="E23" s="875"/>
      <c r="F23" s="748" t="s">
        <v>1004</v>
      </c>
      <c r="G23" s="332"/>
      <c r="H23" s="332"/>
    </row>
    <row r="24" spans="1:8" ht="15.75">
      <c r="A24" s="348"/>
      <c r="B24" s="630">
        <f t="shared" si="1"/>
        <v>12</v>
      </c>
      <c r="C24" s="860" t="s">
        <v>1014</v>
      </c>
      <c r="D24" s="861">
        <f>D14+D15</f>
        <v>3219000</v>
      </c>
      <c r="E24" s="644"/>
      <c r="F24" s="862" t="s">
        <v>1005</v>
      </c>
      <c r="G24" s="332"/>
      <c r="H24" s="332"/>
    </row>
    <row r="25" spans="1:8" ht="15.75">
      <c r="A25" s="348"/>
      <c r="B25" s="678">
        <f t="shared" si="1"/>
        <v>13</v>
      </c>
      <c r="C25" s="349" t="s">
        <v>275</v>
      </c>
      <c r="D25" s="685">
        <f>D16</f>
        <v>0</v>
      </c>
      <c r="E25" s="680"/>
      <c r="F25" s="748" t="s">
        <v>1006</v>
      </c>
      <c r="G25" s="332"/>
      <c r="H25" s="332"/>
    </row>
    <row r="26" spans="1:8" ht="15.75">
      <c r="A26" s="345"/>
      <c r="B26" s="678">
        <f t="shared" si="1"/>
        <v>14</v>
      </c>
      <c r="C26" s="349" t="s">
        <v>626</v>
      </c>
      <c r="D26" s="686">
        <f>D22-D23-D24-D25</f>
        <v>920000</v>
      </c>
      <c r="E26" s="680"/>
      <c r="F26" s="748" t="s">
        <v>1007</v>
      </c>
      <c r="G26" s="332"/>
      <c r="H26" s="332"/>
    </row>
    <row r="29" spans="1:8" ht="15.75">
      <c r="C29" s="1006" t="s">
        <v>914</v>
      </c>
      <c r="D29" s="1006"/>
    </row>
    <row r="30" spans="1:8" ht="15.75">
      <c r="C30" s="753" t="s">
        <v>992</v>
      </c>
      <c r="D30" s="667"/>
    </row>
    <row r="31" spans="1:8" ht="15.75">
      <c r="C31" s="753" t="s">
        <v>993</v>
      </c>
      <c r="D31" s="667"/>
    </row>
    <row r="32" spans="1:8" ht="15.75">
      <c r="C32" s="753"/>
    </row>
  </sheetData>
  <mergeCells count="4">
    <mergeCell ref="B1:D1"/>
    <mergeCell ref="B2:D2"/>
    <mergeCell ref="B3:D3"/>
    <mergeCell ref="C29:D29"/>
  </mergeCells>
  <pageMargins left="0.45" right="0.45" top="0.75" bottom="0.5" header="0.3" footer="0.3"/>
  <pageSetup scale="83" orientation="portrait" r:id="rId1"/>
  <headerFooter>
    <oddHeader>&amp;L&amp;"Arial MT,Bold"Rochester Public Utilities
2017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topLeftCell="A69" zoomScale="80" zoomScaleNormal="80" zoomScaleSheetLayoutView="70" workbookViewId="0">
      <selection activeCell="L96" sqref="L96"/>
    </sheetView>
  </sheetViews>
  <sheetFormatPr defaultColWidth="8.88671875" defaultRowHeight="12.75"/>
  <cols>
    <col min="1" max="1" width="6" style="378" customWidth="1"/>
    <col min="2" max="2" width="1.44140625" style="378" customWidth="1"/>
    <col min="3" max="3" width="39.109375" style="378" customWidth="1"/>
    <col min="4" max="4" width="12" style="378" customWidth="1"/>
    <col min="5" max="5" width="14.44140625" style="378" customWidth="1"/>
    <col min="6" max="6" width="11.88671875" style="378" customWidth="1"/>
    <col min="7" max="7" width="14.109375" style="378" customWidth="1"/>
    <col min="8" max="8" width="13.88671875" style="378" customWidth="1"/>
    <col min="9" max="10" width="12.77734375" style="378" customWidth="1"/>
    <col min="11" max="11" width="13.5546875" style="378" customWidth="1"/>
    <col min="12" max="12" width="16" style="378" customWidth="1"/>
    <col min="13" max="13" width="12.77734375" style="378" customWidth="1"/>
    <col min="14" max="14" width="23.5546875" style="378" customWidth="1"/>
    <col min="15" max="15" width="1.88671875" style="378" customWidth="1"/>
    <col min="16" max="16" width="13" style="378" customWidth="1"/>
    <col min="17" max="17" width="8.88671875" style="378"/>
    <col min="18" max="18" width="16.88671875" style="378" customWidth="1"/>
    <col min="19" max="16384" width="8.88671875" style="378"/>
  </cols>
  <sheetData>
    <row r="1" spans="1:65">
      <c r="N1" s="379"/>
    </row>
    <row r="2" spans="1:65">
      <c r="N2" s="379"/>
    </row>
    <row r="4" spans="1:65" ht="18">
      <c r="N4" s="467" t="s">
        <v>761</v>
      </c>
    </row>
    <row r="5" spans="1:65" ht="15">
      <c r="C5" s="380" t="s">
        <v>683</v>
      </c>
      <c r="D5" s="380"/>
      <c r="E5" s="380"/>
      <c r="F5" s="380"/>
      <c r="G5" s="381" t="s">
        <v>684</v>
      </c>
      <c r="H5" s="380"/>
      <c r="I5" s="380"/>
      <c r="J5" s="380"/>
      <c r="K5" s="382"/>
      <c r="M5" s="383"/>
      <c r="N5" s="384" t="str">
        <f>'Att O_RPU'!K3</f>
        <v>For the 12 months ended 12/31/17</v>
      </c>
      <c r="O5" s="385"/>
      <c r="P5" s="386"/>
      <c r="Q5" s="386"/>
      <c r="R5" s="385"/>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row>
    <row r="6" spans="1:65" ht="15">
      <c r="C6" s="380"/>
      <c r="D6" s="380"/>
      <c r="E6" s="388" t="s">
        <v>2</v>
      </c>
      <c r="F6" s="388"/>
      <c r="G6" s="388" t="s">
        <v>685</v>
      </c>
      <c r="H6" s="388"/>
      <c r="I6" s="388"/>
      <c r="J6" s="388"/>
      <c r="K6" s="382"/>
      <c r="M6" s="383"/>
      <c r="N6" s="382"/>
      <c r="O6" s="385"/>
      <c r="P6" s="389"/>
      <c r="Q6" s="386"/>
      <c r="R6" s="385"/>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row>
    <row r="7" spans="1:65" ht="15">
      <c r="C7" s="383"/>
      <c r="D7" s="383"/>
      <c r="E7" s="383"/>
      <c r="F7" s="383"/>
      <c r="G7" s="383"/>
      <c r="H7" s="383"/>
      <c r="I7" s="383"/>
      <c r="J7" s="383"/>
      <c r="K7" s="383"/>
      <c r="M7" s="383"/>
      <c r="N7" s="383" t="s">
        <v>686</v>
      </c>
      <c r="O7" s="385"/>
      <c r="P7" s="386"/>
      <c r="Q7" s="386"/>
      <c r="R7" s="385"/>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row>
    <row r="8" spans="1:65" ht="15">
      <c r="A8" s="390"/>
      <c r="C8" s="383"/>
      <c r="D8" s="383"/>
      <c r="E8" s="383"/>
      <c r="F8" s="383"/>
      <c r="G8" s="394" t="s">
        <v>633</v>
      </c>
      <c r="H8" s="383"/>
      <c r="I8" s="383"/>
      <c r="J8" s="383"/>
      <c r="K8" s="383"/>
      <c r="L8" s="383"/>
      <c r="M8" s="383"/>
      <c r="N8" s="383"/>
      <c r="O8" s="385"/>
      <c r="P8" s="386"/>
      <c r="Q8" s="386"/>
      <c r="R8" s="385"/>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row>
    <row r="9" spans="1:65" ht="15">
      <c r="A9" s="390"/>
      <c r="C9" s="383"/>
      <c r="D9" s="383"/>
      <c r="E9" s="383"/>
      <c r="F9" s="383"/>
      <c r="G9" s="391"/>
      <c r="H9" s="383"/>
      <c r="I9" s="383"/>
      <c r="J9" s="383"/>
      <c r="K9" s="383"/>
      <c r="L9" s="383"/>
      <c r="M9" s="383"/>
      <c r="N9" s="383"/>
      <c r="O9" s="385"/>
      <c r="P9" s="386"/>
      <c r="Q9" s="386"/>
      <c r="R9" s="385"/>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row>
    <row r="10" spans="1:65" ht="15">
      <c r="A10" s="390"/>
      <c r="C10" s="383" t="s">
        <v>773</v>
      </c>
      <c r="D10" s="383"/>
      <c r="E10" s="383"/>
      <c r="F10" s="383"/>
      <c r="G10" s="391"/>
      <c r="H10" s="383"/>
      <c r="I10" s="383"/>
      <c r="J10" s="383"/>
      <c r="K10" s="383"/>
      <c r="L10" s="383"/>
      <c r="M10" s="383"/>
      <c r="N10" s="383"/>
      <c r="O10" s="385"/>
      <c r="P10" s="386"/>
      <c r="Q10" s="386"/>
      <c r="R10" s="385"/>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row>
    <row r="11" spans="1:65" ht="15">
      <c r="A11" s="390"/>
      <c r="C11" s="383"/>
      <c r="D11" s="383"/>
      <c r="E11" s="383"/>
      <c r="F11" s="383"/>
      <c r="G11" s="391"/>
      <c r="L11" s="383"/>
      <c r="M11" s="383"/>
      <c r="N11" s="383"/>
      <c r="O11" s="385"/>
      <c r="P11" s="385"/>
      <c r="Q11" s="385"/>
      <c r="R11" s="385"/>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row>
    <row r="12" spans="1:65" ht="15">
      <c r="A12" s="390"/>
      <c r="C12" s="383"/>
      <c r="D12" s="383"/>
      <c r="E12" s="383"/>
      <c r="F12" s="383"/>
      <c r="G12" s="383"/>
      <c r="L12" s="392"/>
      <c r="M12" s="383"/>
      <c r="N12" s="383"/>
      <c r="O12" s="385"/>
      <c r="P12" s="385"/>
      <c r="Q12" s="385"/>
      <c r="R12" s="385"/>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1:65" ht="15">
      <c r="C13" s="393" t="s">
        <v>33</v>
      </c>
      <c r="D13" s="393"/>
      <c r="E13" s="393" t="s">
        <v>34</v>
      </c>
      <c r="F13" s="393"/>
      <c r="G13" s="393" t="s">
        <v>35</v>
      </c>
      <c r="L13" s="394" t="s">
        <v>36</v>
      </c>
      <c r="M13" s="388"/>
      <c r="N13" s="394"/>
      <c r="O13" s="395"/>
      <c r="P13" s="394"/>
      <c r="Q13" s="395"/>
      <c r="R13" s="396"/>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1:65" ht="15.75">
      <c r="C14" s="397"/>
      <c r="D14" s="397"/>
      <c r="E14" s="398" t="s">
        <v>687</v>
      </c>
      <c r="F14" s="398"/>
      <c r="G14" s="388"/>
      <c r="M14" s="388"/>
      <c r="O14" s="395"/>
      <c r="P14" s="399"/>
      <c r="Q14" s="399"/>
      <c r="R14" s="396"/>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spans="1:65" ht="15.75">
      <c r="A15" s="567" t="s">
        <v>4</v>
      </c>
      <c r="C15" s="397"/>
      <c r="D15" s="397"/>
      <c r="E15" s="400" t="s">
        <v>688</v>
      </c>
      <c r="F15" s="400"/>
      <c r="G15" s="401" t="s">
        <v>39</v>
      </c>
      <c r="L15" s="401" t="s">
        <v>10</v>
      </c>
      <c r="M15" s="388"/>
      <c r="O15" s="385"/>
      <c r="P15" s="402"/>
      <c r="Q15" s="399"/>
      <c r="R15" s="396"/>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row>
    <row r="16" spans="1:65" ht="15.75">
      <c r="A16" s="567" t="s">
        <v>6</v>
      </c>
      <c r="C16" s="403"/>
      <c r="D16" s="403"/>
      <c r="E16" s="388"/>
      <c r="F16" s="388"/>
      <c r="G16" s="388"/>
      <c r="L16" s="388"/>
      <c r="M16" s="388"/>
      <c r="N16" s="388"/>
      <c r="O16" s="385"/>
      <c r="P16" s="395"/>
      <c r="Q16" s="395"/>
      <c r="R16" s="396"/>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row>
    <row r="17" spans="1:65" ht="15.75">
      <c r="A17" s="404"/>
      <c r="C17" s="397"/>
      <c r="D17" s="397"/>
      <c r="E17" s="388"/>
      <c r="F17" s="388"/>
      <c r="G17" s="388"/>
      <c r="L17" s="388"/>
      <c r="M17" s="388"/>
      <c r="N17" s="388"/>
      <c r="O17" s="385"/>
      <c r="P17" s="395"/>
      <c r="Q17" s="395"/>
      <c r="R17" s="396"/>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row>
    <row r="18" spans="1:65" ht="15">
      <c r="A18" s="405">
        <v>1</v>
      </c>
      <c r="C18" s="397" t="s">
        <v>689</v>
      </c>
      <c r="D18" s="397"/>
      <c r="E18" s="405" t="s">
        <v>690</v>
      </c>
      <c r="F18" s="405"/>
      <c r="G18" s="388">
        <f>'Att O_RPU'!I66</f>
        <v>58212279.359999999</v>
      </c>
      <c r="M18" s="388"/>
      <c r="N18" s="388"/>
      <c r="O18" s="385"/>
      <c r="P18" s="395"/>
      <c r="Q18" s="395"/>
      <c r="R18" s="396"/>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row>
    <row r="19" spans="1:65" ht="15">
      <c r="A19" s="405">
        <v>2</v>
      </c>
      <c r="C19" s="397" t="s">
        <v>691</v>
      </c>
      <c r="D19" s="397"/>
      <c r="E19" s="405" t="s">
        <v>692</v>
      </c>
      <c r="F19" s="405"/>
      <c r="G19" s="537">
        <f>'Att O_RPU'!I82</f>
        <v>44793993.964796156</v>
      </c>
      <c r="M19" s="388"/>
      <c r="N19" s="388"/>
      <c r="O19" s="385"/>
      <c r="P19" s="395"/>
      <c r="Q19" s="395"/>
      <c r="R19" s="396"/>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row>
    <row r="20" spans="1:65" ht="15">
      <c r="A20" s="405"/>
      <c r="E20" s="405"/>
      <c r="F20" s="405"/>
      <c r="M20" s="388"/>
      <c r="N20" s="388"/>
      <c r="O20" s="385"/>
      <c r="P20" s="395"/>
      <c r="Q20" s="395"/>
      <c r="R20" s="396"/>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row>
    <row r="21" spans="1:65" ht="15">
      <c r="A21" s="405"/>
      <c r="C21" s="397" t="s">
        <v>693</v>
      </c>
      <c r="D21" s="397"/>
      <c r="E21" s="405"/>
      <c r="F21" s="405"/>
      <c r="G21" s="388"/>
      <c r="L21" s="388"/>
      <c r="M21" s="388"/>
      <c r="N21" s="388"/>
      <c r="O21" s="395"/>
      <c r="P21" s="395"/>
      <c r="Q21" s="395"/>
      <c r="R21" s="396"/>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row>
    <row r="22" spans="1:65" ht="15">
      <c r="A22" s="405">
        <v>3</v>
      </c>
      <c r="C22" s="397" t="s">
        <v>694</v>
      </c>
      <c r="D22" s="397"/>
      <c r="E22" s="405" t="s">
        <v>695</v>
      </c>
      <c r="F22" s="405"/>
      <c r="G22" s="388">
        <f>'Att O_RPU'!I140</f>
        <v>2020335.012118726</v>
      </c>
      <c r="M22" s="388"/>
      <c r="N22" s="388"/>
      <c r="O22" s="395"/>
      <c r="P22" s="395"/>
      <c r="Q22" s="395"/>
      <c r="R22" s="396"/>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row>
    <row r="23" spans="1:65" ht="15.75">
      <c r="A23" s="405">
        <v>4</v>
      </c>
      <c r="C23" s="397" t="s">
        <v>696</v>
      </c>
      <c r="D23" s="397"/>
      <c r="E23" s="405" t="s">
        <v>697</v>
      </c>
      <c r="F23" s="405"/>
      <c r="G23" s="406">
        <f>IF(G22=0,0,G22/G18)</f>
        <v>3.4706337465750907E-2</v>
      </c>
      <c r="L23" s="407">
        <f>G23</f>
        <v>3.4706337465750907E-2</v>
      </c>
      <c r="M23" s="388"/>
      <c r="N23" s="408"/>
      <c r="O23" s="409"/>
      <c r="P23" s="410"/>
      <c r="Q23" s="395"/>
      <c r="R23" s="396"/>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row>
    <row r="24" spans="1:65" ht="15.75">
      <c r="A24" s="405"/>
      <c r="C24" s="397"/>
      <c r="D24" s="397"/>
      <c r="E24" s="405"/>
      <c r="F24" s="405"/>
      <c r="G24" s="406"/>
      <c r="L24" s="407"/>
      <c r="M24" s="388"/>
      <c r="N24" s="408"/>
      <c r="O24" s="409"/>
      <c r="P24" s="410"/>
      <c r="Q24" s="395"/>
      <c r="R24" s="396"/>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row>
    <row r="25" spans="1:65" ht="15.75">
      <c r="A25" s="394"/>
      <c r="B25" s="387"/>
      <c r="C25" s="397" t="s">
        <v>698</v>
      </c>
      <c r="D25" s="397"/>
      <c r="E25" s="412"/>
      <c r="F25" s="412"/>
      <c r="G25" s="388"/>
      <c r="H25" s="387"/>
      <c r="I25" s="387"/>
      <c r="J25" s="387"/>
      <c r="K25" s="387"/>
      <c r="L25" s="388"/>
      <c r="M25" s="388"/>
      <c r="N25" s="408"/>
      <c r="O25" s="409"/>
      <c r="P25" s="410"/>
      <c r="Q25" s="395"/>
      <c r="R25" s="396"/>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row>
    <row r="26" spans="1:65" ht="15.75">
      <c r="A26" s="394" t="s">
        <v>699</v>
      </c>
      <c r="B26" s="387"/>
      <c r="C26" s="397" t="s">
        <v>700</v>
      </c>
      <c r="D26" s="397"/>
      <c r="E26" s="405" t="s">
        <v>701</v>
      </c>
      <c r="F26" s="405"/>
      <c r="G26" s="388">
        <f>'Att O_RPU'!I144+'Att O_RPU'!I145</f>
        <v>207356.79981261081</v>
      </c>
      <c r="H26" s="387"/>
      <c r="I26" s="387"/>
      <c r="J26" s="387"/>
      <c r="K26" s="387"/>
      <c r="L26" s="387"/>
      <c r="M26" s="388"/>
      <c r="N26" s="408"/>
      <c r="O26" s="409"/>
      <c r="P26" s="410"/>
      <c r="Q26" s="395"/>
      <c r="R26" s="396"/>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row>
    <row r="27" spans="1:65" ht="15.75">
      <c r="A27" s="394" t="s">
        <v>702</v>
      </c>
      <c r="B27" s="387"/>
      <c r="C27" s="397" t="s">
        <v>703</v>
      </c>
      <c r="D27" s="397"/>
      <c r="E27" s="405" t="s">
        <v>704</v>
      </c>
      <c r="F27" s="405"/>
      <c r="G27" s="406">
        <f>IF(G26=0,0,G26/G18)</f>
        <v>3.5620800644184021E-3</v>
      </c>
      <c r="H27" s="387"/>
      <c r="I27" s="387"/>
      <c r="J27" s="387"/>
      <c r="K27" s="387"/>
      <c r="L27" s="407">
        <f>G27</f>
        <v>3.5620800644184021E-3</v>
      </c>
      <c r="M27" s="388"/>
      <c r="N27" s="408"/>
      <c r="O27" s="409"/>
      <c r="P27" s="410"/>
      <c r="Q27" s="395"/>
      <c r="R27" s="396"/>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row>
    <row r="28" spans="1:65" ht="15.75">
      <c r="A28" s="405"/>
      <c r="C28" s="397"/>
      <c r="D28" s="397"/>
      <c r="E28" s="405"/>
      <c r="F28" s="405"/>
      <c r="G28" s="406"/>
      <c r="L28" s="407"/>
      <c r="M28" s="388"/>
      <c r="N28" s="408"/>
      <c r="O28" s="409"/>
      <c r="P28" s="410"/>
      <c r="Q28" s="395"/>
      <c r="R28" s="396"/>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row>
    <row r="29" spans="1:65" ht="15">
      <c r="A29" s="394"/>
      <c r="C29" s="397" t="s">
        <v>705</v>
      </c>
      <c r="D29" s="397"/>
      <c r="E29" s="412"/>
      <c r="F29" s="412"/>
      <c r="G29" s="388"/>
      <c r="L29" s="388"/>
      <c r="M29" s="388"/>
      <c r="N29" s="388"/>
      <c r="O29" s="395"/>
      <c r="P29" s="388"/>
      <c r="Q29" s="395"/>
      <c r="R29" s="396"/>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row>
    <row r="30" spans="1:65" ht="15.75">
      <c r="A30" s="394" t="s">
        <v>706</v>
      </c>
      <c r="C30" s="397" t="s">
        <v>707</v>
      </c>
      <c r="D30" s="397"/>
      <c r="E30" s="405" t="s">
        <v>708</v>
      </c>
      <c r="F30" s="405"/>
      <c r="G30" s="388">
        <f>'Att O_RPU'!I157</f>
        <v>1596390.0398178825</v>
      </c>
      <c r="M30" s="388"/>
      <c r="N30" s="413"/>
      <c r="O30" s="395"/>
      <c r="P30" s="414"/>
      <c r="Q30" s="399"/>
      <c r="R30" s="396"/>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row>
    <row r="31" spans="1:65" ht="15.75">
      <c r="A31" s="394" t="s">
        <v>709</v>
      </c>
      <c r="C31" s="397" t="s">
        <v>710</v>
      </c>
      <c r="D31" s="397"/>
      <c r="E31" s="405" t="s">
        <v>711</v>
      </c>
      <c r="F31" s="405"/>
      <c r="G31" s="406">
        <f>IF(G30=0,0,G30/G18)</f>
        <v>2.7423596144473022E-2</v>
      </c>
      <c r="L31" s="407">
        <f>G31</f>
        <v>2.7423596144473022E-2</v>
      </c>
      <c r="M31" s="388"/>
      <c r="N31" s="408"/>
      <c r="O31" s="395"/>
      <c r="P31" s="410"/>
      <c r="Q31" s="399"/>
      <c r="R31" s="396"/>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row>
    <row r="32" spans="1:65" ht="15">
      <c r="A32" s="394"/>
      <c r="C32" s="397"/>
      <c r="D32" s="397"/>
      <c r="E32" s="405"/>
      <c r="F32" s="405"/>
      <c r="G32" s="388"/>
      <c r="L32" s="388"/>
      <c r="M32" s="388"/>
      <c r="Q32" s="395"/>
      <c r="R32" s="396"/>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row>
    <row r="33" spans="1:65" ht="15.75">
      <c r="A33" s="415" t="s">
        <v>712</v>
      </c>
      <c r="B33" s="416"/>
      <c r="C33" s="403" t="s">
        <v>713</v>
      </c>
      <c r="D33" s="403"/>
      <c r="E33" s="398" t="s">
        <v>714</v>
      </c>
      <c r="F33" s="398"/>
      <c r="G33" s="417"/>
      <c r="L33" s="418">
        <f>L23+L27+L31</f>
        <v>6.5692013674642336E-2</v>
      </c>
      <c r="M33" s="388"/>
      <c r="Q33" s="395"/>
      <c r="R33" s="396"/>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row>
    <row r="34" spans="1:65" ht="15">
      <c r="A34" s="394"/>
      <c r="C34" s="397"/>
      <c r="D34" s="397"/>
      <c r="E34" s="405"/>
      <c r="F34" s="405"/>
      <c r="G34" s="388"/>
      <c r="L34" s="388"/>
      <c r="M34" s="388"/>
      <c r="N34" s="388"/>
      <c r="O34" s="395"/>
      <c r="P34" s="419"/>
      <c r="Q34" s="395"/>
      <c r="R34" s="396"/>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row>
    <row r="35" spans="1:65" ht="15">
      <c r="A35" s="394"/>
      <c r="B35" s="420"/>
      <c r="C35" s="388" t="s">
        <v>715</v>
      </c>
      <c r="D35" s="388"/>
      <c r="E35" s="405"/>
      <c r="F35" s="405"/>
      <c r="G35" s="388"/>
      <c r="L35" s="388"/>
      <c r="M35" s="421"/>
      <c r="N35" s="420"/>
      <c r="Q35" s="399"/>
      <c r="R35" s="395" t="s">
        <v>2</v>
      </c>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row>
    <row r="36" spans="1:65" ht="15">
      <c r="A36" s="394" t="s">
        <v>716</v>
      </c>
      <c r="B36" s="420"/>
      <c r="C36" s="388" t="s">
        <v>88</v>
      </c>
      <c r="D36" s="388"/>
      <c r="E36" s="405" t="s">
        <v>717</v>
      </c>
      <c r="F36" s="405"/>
      <c r="G36" s="388">
        <f>'Att O_RPU'!I169</f>
        <v>0</v>
      </c>
      <c r="L36" s="388"/>
      <c r="M36" s="421"/>
      <c r="N36" s="420"/>
      <c r="Q36" s="399"/>
      <c r="R36" s="395"/>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row>
    <row r="37" spans="1:65" ht="15">
      <c r="A37" s="394" t="s">
        <v>718</v>
      </c>
      <c r="B37" s="420"/>
      <c r="C37" s="388" t="s">
        <v>719</v>
      </c>
      <c r="D37" s="388"/>
      <c r="E37" s="405" t="s">
        <v>720</v>
      </c>
      <c r="F37" s="405"/>
      <c r="G37" s="406">
        <f>IF(G36=0,0,G36/G19)</f>
        <v>0</v>
      </c>
      <c r="L37" s="407">
        <f>G37</f>
        <v>0</v>
      </c>
      <c r="M37" s="421"/>
      <c r="N37" s="420"/>
      <c r="O37" s="395"/>
      <c r="P37" s="395"/>
      <c r="Q37" s="399"/>
      <c r="R37" s="395"/>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row>
    <row r="38" spans="1:65" ht="15">
      <c r="A38" s="394"/>
      <c r="C38" s="388"/>
      <c r="D38" s="388"/>
      <c r="E38" s="405"/>
      <c r="F38" s="405"/>
      <c r="G38" s="388"/>
      <c r="L38" s="388"/>
      <c r="M38" s="388"/>
      <c r="O38" s="385"/>
      <c r="P38" s="395"/>
      <c r="Q38" s="385"/>
      <c r="R38" s="396"/>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row>
    <row r="39" spans="1:65" ht="15">
      <c r="A39" s="394"/>
      <c r="C39" s="397" t="s">
        <v>89</v>
      </c>
      <c r="D39" s="397"/>
      <c r="E39" s="422"/>
      <c r="F39" s="422"/>
      <c r="M39" s="388"/>
      <c r="O39" s="395"/>
      <c r="P39" s="395"/>
      <c r="Q39" s="395"/>
      <c r="R39" s="396"/>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row>
    <row r="40" spans="1:65" ht="15">
      <c r="A40" s="394" t="s">
        <v>721</v>
      </c>
      <c r="C40" s="397" t="s">
        <v>722</v>
      </c>
      <c r="D40" s="397"/>
      <c r="E40" s="405" t="s">
        <v>723</v>
      </c>
      <c r="F40" s="405"/>
      <c r="G40" s="388">
        <f>'Att O_RPU'!I171</f>
        <v>2988820.3214264861</v>
      </c>
      <c r="L40" s="388"/>
      <c r="M40" s="388"/>
      <c r="O40" s="395"/>
      <c r="P40" s="395"/>
      <c r="Q40" s="395"/>
      <c r="R40" s="396"/>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row>
    <row r="41" spans="1:65" ht="15">
      <c r="A41" s="394" t="s">
        <v>724</v>
      </c>
      <c r="B41" s="420"/>
      <c r="C41" s="388" t="s">
        <v>725</v>
      </c>
      <c r="D41" s="388"/>
      <c r="E41" s="405" t="s">
        <v>726</v>
      </c>
      <c r="F41" s="405"/>
      <c r="G41" s="423">
        <f>IF(G40=0,0,G40/G19)</f>
        <v>6.6723684513942116E-2</v>
      </c>
      <c r="L41" s="407">
        <f>G41</f>
        <v>6.6723684513942116E-2</v>
      </c>
      <c r="M41" s="388"/>
      <c r="P41" s="424"/>
      <c r="Q41" s="399"/>
      <c r="R41" s="395"/>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row>
    <row r="42" spans="1:65" ht="15">
      <c r="A42" s="394"/>
      <c r="C42" s="397"/>
      <c r="D42" s="397"/>
      <c r="E42" s="405"/>
      <c r="F42" s="405"/>
      <c r="G42" s="388"/>
      <c r="L42" s="388"/>
      <c r="M42" s="388"/>
      <c r="N42" s="422"/>
      <c r="O42" s="395"/>
      <c r="P42" s="395"/>
      <c r="Q42" s="395"/>
      <c r="R42" s="396"/>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row>
    <row r="43" spans="1:65" ht="15.75">
      <c r="A43" s="415" t="s">
        <v>727</v>
      </c>
      <c r="B43" s="416"/>
      <c r="C43" s="403" t="s">
        <v>728</v>
      </c>
      <c r="D43" s="403"/>
      <c r="E43" s="398" t="s">
        <v>729</v>
      </c>
      <c r="F43" s="398"/>
      <c r="G43" s="417"/>
      <c r="L43" s="418">
        <f>L37+L41</f>
        <v>6.6723684513942116E-2</v>
      </c>
      <c r="M43" s="388"/>
      <c r="N43" s="422"/>
      <c r="O43" s="395"/>
      <c r="P43" s="395"/>
      <c r="Q43" s="395"/>
      <c r="R43" s="396"/>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row>
    <row r="44" spans="1:65" ht="15">
      <c r="M44" s="425"/>
      <c r="N44" s="425"/>
      <c r="O44" s="395"/>
      <c r="P44" s="395"/>
      <c r="Q44" s="395"/>
      <c r="R44" s="396"/>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row>
    <row r="45" spans="1:65" ht="15">
      <c r="M45" s="425"/>
      <c r="N45" s="425"/>
      <c r="O45" s="395"/>
      <c r="P45" s="395"/>
      <c r="Q45" s="395"/>
      <c r="R45" s="396"/>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row>
    <row r="46" spans="1:65" ht="15">
      <c r="M46" s="425"/>
      <c r="N46" s="425"/>
      <c r="O46" s="395"/>
      <c r="P46" s="395"/>
      <c r="Q46" s="395"/>
      <c r="R46" s="396"/>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row>
    <row r="47" spans="1:65" ht="15">
      <c r="M47" s="383"/>
      <c r="N47" s="383"/>
      <c r="O47" s="396"/>
      <c r="P47" s="396"/>
      <c r="Q47" s="396"/>
      <c r="R47" s="396"/>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row>
    <row r="48" spans="1:65" ht="15">
      <c r="M48" s="388"/>
      <c r="N48" s="388"/>
      <c r="O48" s="395"/>
      <c r="P48" s="385"/>
      <c r="Q48" s="395"/>
      <c r="R48" s="396"/>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row>
    <row r="49" spans="1:65" ht="15.75">
      <c r="M49" s="388"/>
      <c r="N49" s="408"/>
      <c r="O49" s="395"/>
      <c r="P49" s="395"/>
      <c r="Q49" s="414"/>
      <c r="R49" s="395"/>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row>
    <row r="50" spans="1:65" ht="15.75">
      <c r="M50" s="388"/>
      <c r="N50" s="408"/>
      <c r="O50" s="395"/>
      <c r="P50" s="395"/>
      <c r="Q50" s="414"/>
      <c r="R50" s="395"/>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row>
    <row r="51" spans="1:65" ht="15.75">
      <c r="M51" s="388"/>
      <c r="N51" s="408"/>
      <c r="O51" s="395"/>
      <c r="P51" s="395"/>
      <c r="Q51" s="414"/>
      <c r="R51" s="395"/>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row>
    <row r="52" spans="1:65" ht="15.75">
      <c r="A52" s="411"/>
      <c r="B52" s="420"/>
      <c r="C52" s="426"/>
      <c r="D52" s="426"/>
      <c r="E52" s="412"/>
      <c r="F52" s="412"/>
      <c r="G52" s="388"/>
      <c r="H52" s="426"/>
      <c r="I52" s="426"/>
      <c r="J52" s="406"/>
      <c r="K52" s="426"/>
      <c r="L52" s="388"/>
      <c r="M52" s="388"/>
      <c r="N52" s="408"/>
      <c r="O52" s="395"/>
      <c r="P52" s="395"/>
      <c r="Q52" s="414"/>
      <c r="R52" s="395"/>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row>
    <row r="53" spans="1:65" ht="15.75">
      <c r="A53" s="411"/>
      <c r="B53" s="420"/>
      <c r="C53" s="426"/>
      <c r="D53" s="426"/>
      <c r="E53" s="412"/>
      <c r="F53" s="412"/>
      <c r="G53" s="388"/>
      <c r="H53" s="426"/>
      <c r="I53" s="426"/>
      <c r="J53" s="406"/>
      <c r="K53" s="426"/>
      <c r="L53" s="388"/>
      <c r="M53" s="388"/>
      <c r="N53" s="408"/>
      <c r="O53" s="395"/>
      <c r="P53" s="395"/>
      <c r="Q53" s="414"/>
      <c r="R53" s="395"/>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7"/>
    </row>
    <row r="54" spans="1:65" ht="15.75">
      <c r="A54" s="427"/>
      <c r="B54" s="387"/>
      <c r="C54" s="411"/>
      <c r="D54" s="411"/>
      <c r="E54" s="412"/>
      <c r="F54" s="412"/>
      <c r="G54" s="388"/>
      <c r="H54" s="426"/>
      <c r="I54" s="426"/>
      <c r="J54" s="406"/>
      <c r="K54" s="426"/>
      <c r="M54" s="388"/>
      <c r="N54" s="428"/>
      <c r="O54" s="429"/>
      <c r="P54" s="395"/>
      <c r="Q54" s="414"/>
      <c r="R54" s="395"/>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row>
    <row r="55" spans="1:65" ht="15.75">
      <c r="A55" s="427"/>
      <c r="B55" s="387"/>
      <c r="C55" s="411"/>
      <c r="D55" s="411"/>
      <c r="E55" s="412"/>
      <c r="F55" s="412"/>
      <c r="G55" s="388"/>
      <c r="H55" s="426"/>
      <c r="I55" s="426"/>
      <c r="J55" s="406"/>
      <c r="K55" s="426"/>
      <c r="M55" s="388"/>
      <c r="N55" s="408"/>
      <c r="O55" s="429"/>
      <c r="P55" s="395"/>
      <c r="Q55" s="414"/>
      <c r="R55" s="395"/>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row>
    <row r="56" spans="1:65" ht="15.75">
      <c r="A56" s="430"/>
      <c r="B56" s="387"/>
      <c r="C56" s="411"/>
      <c r="D56" s="411"/>
      <c r="E56" s="412"/>
      <c r="F56" s="412"/>
      <c r="G56" s="388"/>
      <c r="H56" s="426"/>
      <c r="I56" s="426"/>
      <c r="J56" s="406"/>
      <c r="K56" s="426"/>
      <c r="M56" s="388"/>
      <c r="N56" s="408"/>
      <c r="O56" s="429"/>
      <c r="P56" s="395"/>
      <c r="Q56" s="414"/>
      <c r="R56" s="395"/>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row>
    <row r="57" spans="1:65" ht="15">
      <c r="A57" s="390"/>
      <c r="C57" s="426"/>
      <c r="D57" s="426"/>
      <c r="E57" s="426"/>
      <c r="F57" s="426"/>
      <c r="G57" s="388"/>
      <c r="H57" s="426"/>
      <c r="I57" s="426"/>
      <c r="J57" s="426"/>
      <c r="K57" s="426"/>
      <c r="M57" s="388"/>
      <c r="N57" s="388"/>
      <c r="O57" s="395"/>
      <c r="P57" s="395"/>
      <c r="Q57" s="399"/>
      <c r="R57" s="395" t="s">
        <v>2</v>
      </c>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row>
    <row r="58" spans="1:65">
      <c r="N58" s="379"/>
    </row>
    <row r="59" spans="1:65">
      <c r="N59" s="379"/>
    </row>
    <row r="61" spans="1:65" ht="18">
      <c r="A61" s="390"/>
      <c r="C61" s="426"/>
      <c r="D61" s="426"/>
      <c r="E61" s="426"/>
      <c r="F61" s="426"/>
      <c r="G61" s="388"/>
      <c r="H61" s="426"/>
      <c r="I61" s="426"/>
      <c r="J61" s="426"/>
      <c r="K61" s="426"/>
      <c r="M61" s="388"/>
      <c r="N61" s="467" t="s">
        <v>761</v>
      </c>
      <c r="O61" s="395"/>
      <c r="P61" s="385"/>
      <c r="Q61" s="395"/>
      <c r="R61" s="396"/>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row>
    <row r="62" spans="1:65" ht="15">
      <c r="A62" s="390"/>
      <c r="C62" s="397" t="str">
        <f>C5</f>
        <v>Formula Rate calculation</v>
      </c>
      <c r="D62" s="397"/>
      <c r="E62" s="426"/>
      <c r="F62" s="426"/>
      <c r="G62" s="426" t="str">
        <f>G5</f>
        <v xml:space="preserve">     Rate Formula Template</v>
      </c>
      <c r="H62" s="426"/>
      <c r="I62" s="426"/>
      <c r="J62" s="426"/>
      <c r="K62" s="426"/>
      <c r="M62" s="388"/>
      <c r="N62" s="431" t="str">
        <f>N5</f>
        <v>For the 12 months ended 12/31/17</v>
      </c>
      <c r="O62" s="395"/>
      <c r="P62" s="385"/>
      <c r="Q62" s="395"/>
      <c r="R62" s="396"/>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row>
    <row r="63" spans="1:65" ht="15">
      <c r="A63" s="390"/>
      <c r="C63" s="397"/>
      <c r="D63" s="397"/>
      <c r="E63" s="426"/>
      <c r="F63" s="426"/>
      <c r="G63" s="426" t="str">
        <f>G6</f>
        <v xml:space="preserve"> Utilizing Attachment O Data</v>
      </c>
      <c r="H63" s="426"/>
      <c r="I63" s="426"/>
      <c r="J63" s="426"/>
      <c r="K63" s="426"/>
      <c r="L63" s="388"/>
      <c r="M63" s="388"/>
      <c r="O63" s="395"/>
      <c r="P63" s="385"/>
      <c r="Q63" s="395"/>
      <c r="R63" s="396"/>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7"/>
      <c r="BJ63" s="387"/>
      <c r="BK63" s="387"/>
      <c r="BL63" s="387"/>
      <c r="BM63" s="387"/>
    </row>
    <row r="64" spans="1:65" ht="14.25" customHeight="1">
      <c r="A64" s="390"/>
      <c r="C64" s="426"/>
      <c r="D64" s="426"/>
      <c r="E64" s="426"/>
      <c r="F64" s="426"/>
      <c r="G64" s="426"/>
      <c r="H64" s="426"/>
      <c r="I64" s="426"/>
      <c r="J64" s="426"/>
      <c r="K64" s="426"/>
      <c r="M64" s="388"/>
      <c r="N64" s="426" t="s">
        <v>730</v>
      </c>
      <c r="O64" s="395"/>
      <c r="P64" s="385"/>
      <c r="Q64" s="395"/>
      <c r="R64"/>
      <c r="S64"/>
      <c r="T64"/>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row>
    <row r="65" spans="1:65" ht="15">
      <c r="A65" s="390"/>
      <c r="E65" s="426"/>
      <c r="F65" s="426"/>
      <c r="G65" s="426" t="str">
        <f>G8</f>
        <v>Rochester Public Utilities</v>
      </c>
      <c r="H65" s="426"/>
      <c r="I65" s="426"/>
      <c r="J65" s="426"/>
      <c r="K65" s="426"/>
      <c r="L65" s="426"/>
      <c r="M65" s="388"/>
      <c r="N65" s="388"/>
      <c r="O65" s="395"/>
      <c r="P65" s="385"/>
      <c r="Q65" s="395"/>
      <c r="R65"/>
      <c r="S65"/>
      <c r="T65"/>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87"/>
      <c r="BM65" s="387"/>
    </row>
    <row r="66" spans="1:65" ht="15">
      <c r="A66" s="390"/>
      <c r="E66" s="397"/>
      <c r="F66" s="397"/>
      <c r="G66" s="397"/>
      <c r="H66" s="397"/>
      <c r="I66" s="397"/>
      <c r="J66" s="397"/>
      <c r="K66" s="397"/>
      <c r="L66" s="397"/>
      <c r="M66" s="397"/>
      <c r="N66" s="397"/>
      <c r="O66" s="395"/>
      <c r="P66" s="385"/>
      <c r="Q66" s="395"/>
      <c r="R66"/>
      <c r="S66"/>
      <c r="T66"/>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7"/>
      <c r="BM66" s="387"/>
    </row>
    <row r="67" spans="1:65" ht="15.75">
      <c r="A67" s="390"/>
      <c r="C67" s="426"/>
      <c r="D67" s="426"/>
      <c r="E67" s="403" t="s">
        <v>731</v>
      </c>
      <c r="F67" s="403"/>
      <c r="H67" s="383"/>
      <c r="I67" s="383"/>
      <c r="J67" s="383"/>
      <c r="K67" s="383"/>
      <c r="L67" s="383"/>
      <c r="M67" s="388"/>
      <c r="N67" s="388"/>
      <c r="O67" s="395"/>
      <c r="P67" s="385"/>
      <c r="Q67" s="395"/>
      <c r="R67"/>
      <c r="S67"/>
      <c r="T6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7"/>
      <c r="BM67" s="387"/>
    </row>
    <row r="68" spans="1:65" ht="15.75">
      <c r="A68" s="390"/>
      <c r="C68" s="426"/>
      <c r="D68" s="426"/>
      <c r="E68" s="403"/>
      <c r="F68" s="403"/>
      <c r="H68" s="383"/>
      <c r="I68" s="383"/>
      <c r="J68" s="383"/>
      <c r="K68" s="383"/>
      <c r="L68" s="383"/>
      <c r="M68" s="388"/>
      <c r="N68" s="388"/>
      <c r="O68" s="395"/>
      <c r="P68" s="385"/>
      <c r="Q68" s="395"/>
      <c r="R68"/>
      <c r="S68"/>
      <c r="T68"/>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c r="BM68" s="387"/>
    </row>
    <row r="69" spans="1:65" ht="15.75">
      <c r="A69" s="390"/>
      <c r="C69" s="432">
        <v>-1</v>
      </c>
      <c r="D69" s="432">
        <v>-2</v>
      </c>
      <c r="E69" s="432">
        <v>-3</v>
      </c>
      <c r="F69" s="432">
        <v>-4</v>
      </c>
      <c r="G69" s="432">
        <v>-5</v>
      </c>
      <c r="H69" s="432">
        <v>-6</v>
      </c>
      <c r="I69" s="432">
        <v>-7</v>
      </c>
      <c r="J69" s="432">
        <v>-8</v>
      </c>
      <c r="K69" s="432">
        <v>-9</v>
      </c>
      <c r="L69" s="432">
        <v>-10</v>
      </c>
      <c r="M69" s="432">
        <v>-11</v>
      </c>
      <c r="N69" s="432">
        <v>-12</v>
      </c>
      <c r="O69" s="395"/>
      <c r="P69" s="385"/>
      <c r="Q69" s="395"/>
      <c r="R69"/>
      <c r="S69"/>
      <c r="T69"/>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row>
    <row r="70" spans="1:65" ht="67.5" customHeight="1">
      <c r="A70" s="433" t="s">
        <v>466</v>
      </c>
      <c r="B70" s="434"/>
      <c r="C70" s="434" t="s">
        <v>732</v>
      </c>
      <c r="D70" s="435" t="s">
        <v>733</v>
      </c>
      <c r="E70" s="436" t="s">
        <v>734</v>
      </c>
      <c r="F70" s="436" t="s">
        <v>713</v>
      </c>
      <c r="G70" s="437" t="s">
        <v>735</v>
      </c>
      <c r="H70" s="436" t="s">
        <v>736</v>
      </c>
      <c r="I70" s="436" t="s">
        <v>728</v>
      </c>
      <c r="J70" s="437" t="s">
        <v>737</v>
      </c>
      <c r="K70" s="436" t="s">
        <v>738</v>
      </c>
      <c r="L70" s="438" t="s">
        <v>739</v>
      </c>
      <c r="M70" s="439" t="s">
        <v>740</v>
      </c>
      <c r="N70" s="438" t="s">
        <v>741</v>
      </c>
      <c r="O70" s="409"/>
      <c r="P70" s="385"/>
      <c r="Q70" s="395"/>
      <c r="R70"/>
      <c r="S70"/>
      <c r="T70"/>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7"/>
    </row>
    <row r="71" spans="1:65" ht="35.25" customHeight="1">
      <c r="A71" s="440"/>
      <c r="B71" s="441"/>
      <c r="C71" s="441"/>
      <c r="D71" s="441"/>
      <c r="E71" s="442" t="s">
        <v>22</v>
      </c>
      <c r="F71" s="442" t="s">
        <v>742</v>
      </c>
      <c r="G71" s="443" t="s">
        <v>743</v>
      </c>
      <c r="H71" s="442" t="s">
        <v>24</v>
      </c>
      <c r="I71" s="442" t="s">
        <v>744</v>
      </c>
      <c r="J71" s="443" t="s">
        <v>745</v>
      </c>
      <c r="K71" s="442" t="s">
        <v>194</v>
      </c>
      <c r="L71" s="443" t="s">
        <v>746</v>
      </c>
      <c r="M71" s="444" t="s">
        <v>747</v>
      </c>
      <c r="N71" s="445" t="s">
        <v>748</v>
      </c>
      <c r="O71" s="395"/>
      <c r="P71" s="385"/>
      <c r="Q71" s="395"/>
      <c r="R71"/>
      <c r="S71"/>
      <c r="T71"/>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387"/>
      <c r="BL71" s="387"/>
      <c r="BM71" s="387"/>
    </row>
    <row r="72" spans="1:65" ht="15">
      <c r="A72" s="446"/>
      <c r="B72" s="383"/>
      <c r="C72" s="383"/>
      <c r="D72" s="383"/>
      <c r="E72" s="383"/>
      <c r="F72" s="383"/>
      <c r="G72" s="447"/>
      <c r="H72" s="383"/>
      <c r="I72" s="383"/>
      <c r="J72" s="447"/>
      <c r="K72" s="383"/>
      <c r="L72" s="447"/>
      <c r="M72" s="388"/>
      <c r="N72" s="448"/>
      <c r="O72" s="395"/>
      <c r="P72" s="385"/>
      <c r="Q72" s="395"/>
      <c r="R72"/>
      <c r="S72"/>
      <c r="T72"/>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row>
    <row r="73" spans="1:65" ht="15">
      <c r="A73" s="449" t="s">
        <v>184</v>
      </c>
      <c r="C73" s="426" t="s">
        <v>749</v>
      </c>
      <c r="D73" s="451">
        <v>1024</v>
      </c>
      <c r="E73" s="452">
        <f>Plant!H20</f>
        <v>20128550.569999997</v>
      </c>
      <c r="F73" s="407">
        <f>$L$33</f>
        <v>6.5692013674642336E-2</v>
      </c>
      <c r="G73" s="470">
        <f>E73*F73</f>
        <v>1322285.0192951695</v>
      </c>
      <c r="H73" s="452">
        <f>Plant!H55</f>
        <v>19261335.965</v>
      </c>
      <c r="I73" s="407">
        <f>$L$43</f>
        <v>6.6723684513942116E-2</v>
      </c>
      <c r="J73" s="470">
        <f>H73*I73</f>
        <v>1285187.3042457069</v>
      </c>
      <c r="K73" s="471">
        <f>Plant!H59</f>
        <v>410517.81000000017</v>
      </c>
      <c r="L73" s="470">
        <f>G73+J73+K73</f>
        <v>3017990.1335408767</v>
      </c>
      <c r="M73" s="454">
        <f>304347.04+16820.41</f>
        <v>321167.44999999995</v>
      </c>
      <c r="N73" s="448">
        <f>L73+M73</f>
        <v>3339157.5835408764</v>
      </c>
      <c r="O73" s="455"/>
      <c r="P73" s="455"/>
      <c r="Q73" s="455"/>
      <c r="R73"/>
      <c r="S73"/>
      <c r="T73"/>
      <c r="U73" s="455"/>
    </row>
    <row r="74" spans="1:65" ht="15">
      <c r="A74" s="449" t="s">
        <v>750</v>
      </c>
      <c r="D74" s="451"/>
      <c r="E74" s="452">
        <v>0</v>
      </c>
      <c r="F74" s="407">
        <f>$L$33</f>
        <v>6.5692013674642336E-2</v>
      </c>
      <c r="G74" s="470">
        <f t="shared" ref="G74:G75" si="0">E74*F74</f>
        <v>0</v>
      </c>
      <c r="H74" s="452">
        <v>0</v>
      </c>
      <c r="I74" s="407">
        <f>$L$43</f>
        <v>6.6723684513942116E-2</v>
      </c>
      <c r="J74" s="470">
        <f>H74*I74</f>
        <v>0</v>
      </c>
      <c r="K74" s="471">
        <v>0</v>
      </c>
      <c r="L74" s="470">
        <f>G74+J74+K74</f>
        <v>0</v>
      </c>
      <c r="M74" s="454">
        <v>0</v>
      </c>
      <c r="N74" s="448">
        <f>L74+M74</f>
        <v>0</v>
      </c>
      <c r="O74" s="455"/>
      <c r="P74" s="455"/>
      <c r="Q74" s="455"/>
      <c r="R74"/>
      <c r="S74"/>
      <c r="T74"/>
      <c r="U74" s="455"/>
    </row>
    <row r="75" spans="1:65" ht="15">
      <c r="A75" s="449" t="s">
        <v>751</v>
      </c>
      <c r="D75" s="451"/>
      <c r="E75" s="452">
        <v>0</v>
      </c>
      <c r="F75" s="407">
        <f>$L$33</f>
        <v>6.5692013674642336E-2</v>
      </c>
      <c r="G75" s="470">
        <f t="shared" si="0"/>
        <v>0</v>
      </c>
      <c r="H75" s="452">
        <v>0</v>
      </c>
      <c r="I75" s="407">
        <f>$L$43</f>
        <v>6.6723684513942116E-2</v>
      </c>
      <c r="J75" s="470">
        <f>H75*I75</f>
        <v>0</v>
      </c>
      <c r="K75" s="471">
        <v>0</v>
      </c>
      <c r="L75" s="470">
        <f>G75+J75+K75</f>
        <v>0</v>
      </c>
      <c r="M75" s="452">
        <v>0</v>
      </c>
      <c r="N75" s="448">
        <f>L75+M75</f>
        <v>0</v>
      </c>
      <c r="O75" s="455"/>
      <c r="P75" s="455"/>
      <c r="Q75" s="455"/>
      <c r="R75"/>
      <c r="S75"/>
      <c r="T75"/>
      <c r="U75" s="455"/>
    </row>
    <row r="76" spans="1:65" ht="15">
      <c r="A76" s="449"/>
      <c r="D76" s="451"/>
      <c r="G76" s="453"/>
      <c r="J76" s="453"/>
      <c r="L76" s="453"/>
      <c r="N76" s="453"/>
      <c r="O76" s="455"/>
      <c r="P76" s="455"/>
      <c r="Q76" s="455"/>
      <c r="R76"/>
      <c r="S76"/>
      <c r="T76"/>
      <c r="U76" s="455"/>
    </row>
    <row r="77" spans="1:65" ht="15">
      <c r="A77" s="449"/>
      <c r="G77" s="453"/>
      <c r="J77" s="453"/>
      <c r="L77" s="453"/>
      <c r="N77" s="453"/>
      <c r="O77" s="455"/>
      <c r="P77" s="455"/>
      <c r="Q77" s="455"/>
      <c r="R77"/>
      <c r="S77"/>
      <c r="T77"/>
      <c r="U77" s="455"/>
    </row>
    <row r="78" spans="1:65" ht="15">
      <c r="A78" s="449"/>
      <c r="G78" s="453"/>
      <c r="J78" s="453"/>
      <c r="L78" s="453"/>
      <c r="N78" s="453"/>
      <c r="O78" s="455"/>
      <c r="P78" s="455"/>
      <c r="Q78" s="455"/>
      <c r="R78"/>
      <c r="S78"/>
      <c r="T78"/>
      <c r="U78" s="455"/>
    </row>
    <row r="79" spans="1:65" ht="15">
      <c r="A79" s="449"/>
      <c r="G79" s="453"/>
      <c r="J79" s="453"/>
      <c r="L79" s="453"/>
      <c r="N79" s="453"/>
      <c r="O79" s="455"/>
      <c r="P79" s="455"/>
      <c r="Q79" s="455"/>
      <c r="R79"/>
      <c r="S79"/>
      <c r="T79"/>
      <c r="U79" s="455"/>
    </row>
    <row r="80" spans="1:65" ht="15">
      <c r="A80" s="449"/>
      <c r="G80" s="453"/>
      <c r="J80" s="453"/>
      <c r="L80" s="453"/>
      <c r="N80" s="453"/>
      <c r="O80" s="455"/>
      <c r="P80" s="455"/>
      <c r="Q80" s="455"/>
      <c r="R80"/>
      <c r="S80"/>
      <c r="T80"/>
      <c r="U80" s="455"/>
    </row>
    <row r="81" spans="1:21" ht="15">
      <c r="A81" s="449"/>
      <c r="C81" s="455"/>
      <c r="D81" s="455"/>
      <c r="E81" s="455"/>
      <c r="F81" s="455"/>
      <c r="G81" s="456"/>
      <c r="H81" s="455"/>
      <c r="I81" s="455"/>
      <c r="J81" s="456"/>
      <c r="K81" s="455"/>
      <c r="L81" s="456"/>
      <c r="M81" s="455"/>
      <c r="N81" s="456"/>
      <c r="O81" s="455"/>
      <c r="P81" s="455"/>
      <c r="Q81" s="455"/>
      <c r="R81"/>
      <c r="S81"/>
      <c r="T81"/>
      <c r="U81" s="455"/>
    </row>
    <row r="82" spans="1:21" ht="15">
      <c r="A82" s="449"/>
      <c r="C82" s="455"/>
      <c r="D82" s="455"/>
      <c r="E82" s="455"/>
      <c r="F82" s="455"/>
      <c r="G82" s="456"/>
      <c r="H82" s="455"/>
      <c r="I82" s="455"/>
      <c r="J82" s="456"/>
      <c r="K82" s="455"/>
      <c r="L82" s="456"/>
      <c r="M82" s="455"/>
      <c r="N82" s="456"/>
      <c r="O82" s="455"/>
      <c r="P82" s="455"/>
      <c r="Q82" s="455"/>
      <c r="R82"/>
      <c r="S82"/>
      <c r="T82"/>
      <c r="U82" s="455"/>
    </row>
    <row r="83" spans="1:21" ht="15">
      <c r="A83" s="449"/>
      <c r="C83" s="455"/>
      <c r="D83" s="455"/>
      <c r="E83" s="455"/>
      <c r="F83" s="455"/>
      <c r="G83" s="456"/>
      <c r="H83" s="455"/>
      <c r="I83" s="455"/>
      <c r="J83" s="456"/>
      <c r="K83" s="455"/>
      <c r="L83" s="456"/>
      <c r="M83" s="455"/>
      <c r="N83" s="456"/>
      <c r="O83" s="455"/>
      <c r="P83" s="455"/>
      <c r="Q83" s="455"/>
      <c r="R83"/>
      <c r="S83"/>
      <c r="T83"/>
      <c r="U83" s="455"/>
    </row>
    <row r="84" spans="1:21" ht="15">
      <c r="A84" s="449"/>
      <c r="C84" s="455"/>
      <c r="D84" s="455"/>
      <c r="E84" s="455"/>
      <c r="F84" s="455"/>
      <c r="G84" s="456"/>
      <c r="H84" s="455"/>
      <c r="I84" s="455"/>
      <c r="J84" s="456"/>
      <c r="K84" s="455"/>
      <c r="L84" s="456"/>
      <c r="M84" s="455"/>
      <c r="N84" s="456"/>
      <c r="O84" s="455"/>
      <c r="P84" s="455"/>
      <c r="Q84" s="455"/>
      <c r="R84"/>
      <c r="S84"/>
      <c r="T84"/>
      <c r="U84" s="455"/>
    </row>
    <row r="85" spans="1:21" ht="15">
      <c r="A85" s="449"/>
      <c r="C85" s="455"/>
      <c r="D85" s="455"/>
      <c r="E85" s="455"/>
      <c r="F85" s="455"/>
      <c r="G85" s="456"/>
      <c r="H85" s="455"/>
      <c r="I85" s="455"/>
      <c r="J85" s="456"/>
      <c r="K85" s="455"/>
      <c r="L85" s="456"/>
      <c r="M85" s="455"/>
      <c r="N85" s="456"/>
      <c r="O85" s="455"/>
      <c r="P85" s="455"/>
      <c r="Q85" s="455"/>
      <c r="R85"/>
      <c r="S85"/>
      <c r="T85"/>
      <c r="U85" s="455"/>
    </row>
    <row r="86" spans="1:21" ht="15">
      <c r="A86" s="449"/>
      <c r="C86" s="455"/>
      <c r="D86" s="455"/>
      <c r="E86" s="455"/>
      <c r="F86" s="455"/>
      <c r="G86" s="456"/>
      <c r="H86" s="455"/>
      <c r="I86" s="455"/>
      <c r="J86" s="456"/>
      <c r="K86" s="455"/>
      <c r="L86" s="456"/>
      <c r="M86" s="455"/>
      <c r="N86" s="456"/>
      <c r="O86" s="455"/>
      <c r="P86" s="455"/>
      <c r="Q86" s="455"/>
      <c r="R86"/>
      <c r="S86"/>
      <c r="T86"/>
      <c r="U86" s="455"/>
    </row>
    <row r="87" spans="1:21" ht="15">
      <c r="A87" s="449"/>
      <c r="C87" s="455"/>
      <c r="D87" s="455"/>
      <c r="E87" s="455"/>
      <c r="F87" s="455"/>
      <c r="G87" s="456"/>
      <c r="H87" s="455"/>
      <c r="I87" s="455"/>
      <c r="J87" s="456"/>
      <c r="K87" s="455"/>
      <c r="L87" s="456"/>
      <c r="M87" s="455"/>
      <c r="N87" s="456"/>
      <c r="O87" s="455"/>
      <c r="P87" s="455"/>
      <c r="Q87" s="455"/>
      <c r="R87"/>
      <c r="S87"/>
      <c r="T87"/>
      <c r="U87" s="455"/>
    </row>
    <row r="88" spans="1:21" ht="15">
      <c r="A88" s="449"/>
      <c r="C88" s="455"/>
      <c r="D88" s="455"/>
      <c r="E88" s="455"/>
      <c r="F88" s="455"/>
      <c r="G88" s="456"/>
      <c r="H88" s="455"/>
      <c r="I88" s="455"/>
      <c r="J88" s="456"/>
      <c r="K88" s="455"/>
      <c r="L88" s="456"/>
      <c r="M88" s="455"/>
      <c r="N88" s="456"/>
      <c r="O88" s="455"/>
      <c r="P88" s="455"/>
      <c r="Q88" s="455"/>
      <c r="R88"/>
      <c r="S88"/>
      <c r="T88"/>
      <c r="U88" s="455"/>
    </row>
    <row r="89" spans="1:21" ht="15">
      <c r="A89" s="449"/>
      <c r="C89" s="455"/>
      <c r="D89" s="455"/>
      <c r="E89" s="455"/>
      <c r="F89" s="455"/>
      <c r="G89" s="456"/>
      <c r="H89" s="455"/>
      <c r="I89" s="455"/>
      <c r="J89" s="456"/>
      <c r="K89" s="455"/>
      <c r="L89" s="456"/>
      <c r="M89" s="455"/>
      <c r="N89" s="456"/>
      <c r="O89" s="455"/>
      <c r="P89" s="455"/>
      <c r="Q89" s="455"/>
      <c r="R89"/>
      <c r="S89"/>
      <c r="T89"/>
      <c r="U89" s="455"/>
    </row>
    <row r="90" spans="1:21" ht="15">
      <c r="A90" s="449"/>
      <c r="C90" s="455"/>
      <c r="D90" s="455"/>
      <c r="E90" s="455"/>
      <c r="F90" s="455"/>
      <c r="G90" s="456"/>
      <c r="H90" s="455"/>
      <c r="I90" s="455"/>
      <c r="J90" s="456"/>
      <c r="K90" s="455"/>
      <c r="L90" s="456"/>
      <c r="M90" s="455"/>
      <c r="N90" s="456"/>
      <c r="O90" s="455"/>
      <c r="P90" s="455"/>
      <c r="Q90" s="455"/>
      <c r="R90"/>
      <c r="S90"/>
      <c r="T90"/>
      <c r="U90" s="455"/>
    </row>
    <row r="91" spans="1:21" ht="15">
      <c r="A91" s="449"/>
      <c r="C91" s="455"/>
      <c r="D91" s="455"/>
      <c r="E91" s="455"/>
      <c r="F91" s="455"/>
      <c r="G91" s="456"/>
      <c r="H91" s="455"/>
      <c r="I91" s="455"/>
      <c r="J91" s="456"/>
      <c r="K91" s="455"/>
      <c r="L91" s="456"/>
      <c r="M91" s="455"/>
      <c r="N91" s="456"/>
      <c r="O91" s="455"/>
      <c r="P91" s="455"/>
      <c r="Q91" s="455"/>
      <c r="R91"/>
      <c r="S91"/>
      <c r="T91"/>
      <c r="U91" s="455"/>
    </row>
    <row r="92" spans="1:21" ht="15">
      <c r="A92" s="457"/>
      <c r="B92" s="458"/>
      <c r="C92" s="459"/>
      <c r="D92" s="459"/>
      <c r="E92" s="459"/>
      <c r="F92" s="459"/>
      <c r="G92" s="460"/>
      <c r="H92" s="459"/>
      <c r="I92" s="459"/>
      <c r="J92" s="460"/>
      <c r="K92" s="459"/>
      <c r="L92" s="460"/>
      <c r="M92" s="459"/>
      <c r="N92" s="460"/>
      <c r="O92" s="455"/>
      <c r="P92" s="455"/>
      <c r="Q92" s="455"/>
      <c r="R92"/>
      <c r="S92"/>
      <c r="T92"/>
      <c r="U92" s="455"/>
    </row>
    <row r="93" spans="1:21" ht="15">
      <c r="A93" s="394" t="s">
        <v>752</v>
      </c>
      <c r="B93" s="420"/>
      <c r="C93" s="397" t="s">
        <v>753</v>
      </c>
      <c r="D93" s="397"/>
      <c r="E93" s="412">
        <f>SUM(E73:E92)</f>
        <v>20128550.569999997</v>
      </c>
      <c r="F93" s="412"/>
      <c r="G93" s="388"/>
      <c r="H93" s="388"/>
      <c r="I93" s="388"/>
      <c r="J93" s="388"/>
      <c r="K93" s="388"/>
      <c r="L93" s="461">
        <f>SUM(L73:L92)</f>
        <v>3017990.1335408767</v>
      </c>
      <c r="M93" s="461">
        <f>SUM(M73:M92)</f>
        <v>321167.44999999995</v>
      </c>
      <c r="N93" s="461">
        <f>SUM(N73:N92)</f>
        <v>3339157.5835408764</v>
      </c>
      <c r="O93" s="455"/>
      <c r="P93" s="455"/>
      <c r="Q93" s="455"/>
      <c r="R93"/>
      <c r="S93"/>
      <c r="T93"/>
      <c r="U93" s="455"/>
    </row>
    <row r="94" spans="1:21" ht="15">
      <c r="A94" s="450"/>
      <c r="B94" s="455"/>
      <c r="C94" s="455"/>
      <c r="D94" s="455"/>
      <c r="E94" s="455"/>
      <c r="F94" s="455"/>
      <c r="G94" s="455"/>
      <c r="H94" s="455"/>
      <c r="I94" s="455"/>
      <c r="J94" s="455"/>
      <c r="K94" s="455"/>
      <c r="L94" s="455"/>
      <c r="M94" s="455"/>
      <c r="N94" s="455"/>
      <c r="O94" s="455"/>
      <c r="P94" s="455"/>
      <c r="Q94" s="455"/>
      <c r="R94"/>
      <c r="S94"/>
      <c r="T94"/>
      <c r="U94" s="455"/>
    </row>
    <row r="95" spans="1:21" ht="15">
      <c r="A95" s="462">
        <v>3</v>
      </c>
      <c r="B95" s="455"/>
      <c r="C95" s="426" t="s">
        <v>772</v>
      </c>
      <c r="D95" s="455"/>
      <c r="E95" s="455"/>
      <c r="F95" s="455"/>
      <c r="G95" s="455"/>
      <c r="H95" s="455"/>
      <c r="I95" s="455"/>
      <c r="J95" s="455"/>
      <c r="K95" s="455"/>
      <c r="L95" s="461">
        <f>L93</f>
        <v>3017990.1335408767</v>
      </c>
      <c r="M95" s="455"/>
      <c r="N95" s="455"/>
      <c r="O95" s="455"/>
      <c r="P95" s="455"/>
      <c r="Q95" s="455"/>
      <c r="R95"/>
      <c r="S95"/>
      <c r="T95"/>
      <c r="U95" s="455"/>
    </row>
    <row r="96" spans="1:21" ht="15">
      <c r="A96" s="455"/>
      <c r="B96" s="455"/>
      <c r="C96" s="455"/>
      <c r="D96" s="455"/>
      <c r="E96" s="455"/>
      <c r="F96" s="455"/>
      <c r="G96" s="455"/>
      <c r="H96" s="455"/>
      <c r="I96" s="455"/>
      <c r="J96" s="455"/>
      <c r="K96" s="455"/>
      <c r="L96" s="455"/>
      <c r="M96" s="455"/>
      <c r="N96" s="455"/>
      <c r="O96" s="455"/>
      <c r="P96" s="455"/>
      <c r="Q96" s="455"/>
      <c r="R96"/>
      <c r="S96"/>
      <c r="T96"/>
      <c r="U96" s="455"/>
    </row>
    <row r="97" spans="1:21" ht="15">
      <c r="A97" s="455"/>
      <c r="B97" s="455"/>
      <c r="C97" s="455"/>
      <c r="D97" s="455"/>
      <c r="E97" s="455"/>
      <c r="F97" s="455"/>
      <c r="G97" s="455"/>
      <c r="H97" s="455"/>
      <c r="I97" s="455"/>
      <c r="J97" s="455"/>
      <c r="K97" s="455"/>
      <c r="L97" s="455"/>
      <c r="M97" s="455"/>
      <c r="N97" s="455"/>
      <c r="O97" s="455"/>
      <c r="P97" s="455"/>
      <c r="Q97" s="455"/>
      <c r="R97"/>
      <c r="S97"/>
      <c r="T97"/>
      <c r="U97" s="455"/>
    </row>
    <row r="98" spans="1:21" ht="15">
      <c r="A98" s="426" t="s">
        <v>128</v>
      </c>
      <c r="B98" s="455"/>
      <c r="C98" s="455"/>
      <c r="D98" s="455"/>
      <c r="E98" s="455"/>
      <c r="F98" s="455"/>
      <c r="G98" s="455"/>
      <c r="H98" s="455"/>
      <c r="I98" s="455"/>
      <c r="J98" s="455"/>
      <c r="K98" s="455"/>
      <c r="L98" s="455"/>
      <c r="M98" s="455"/>
      <c r="N98" s="455"/>
      <c r="O98" s="455"/>
      <c r="P98" s="455"/>
      <c r="Q98" s="455"/>
      <c r="R98" s="455"/>
      <c r="S98" s="455"/>
      <c r="T98" s="455"/>
      <c r="U98" s="455"/>
    </row>
    <row r="99" spans="1:21" ht="15.75" thickBot="1">
      <c r="A99" s="463" t="s">
        <v>129</v>
      </c>
      <c r="B99" s="455"/>
      <c r="C99" s="455"/>
      <c r="D99" s="455"/>
      <c r="E99" s="455"/>
      <c r="F99" s="455"/>
      <c r="G99" s="455"/>
      <c r="H99" s="455"/>
      <c r="I99" s="455"/>
      <c r="J99" s="455"/>
      <c r="K99" s="455"/>
      <c r="L99" s="455"/>
      <c r="M99" s="455"/>
      <c r="N99" s="455"/>
      <c r="O99" s="455"/>
      <c r="P99" s="455"/>
      <c r="Q99" s="455"/>
      <c r="R99" s="455"/>
      <c r="S99" s="455"/>
      <c r="T99" s="455"/>
      <c r="U99" s="455"/>
    </row>
    <row r="100" spans="1:21" s="940" customFormat="1" ht="15.95" customHeight="1">
      <c r="A100" s="468" t="s">
        <v>130</v>
      </c>
      <c r="B100" s="938"/>
      <c r="C100" s="958" t="s">
        <v>767</v>
      </c>
      <c r="D100" s="958"/>
      <c r="E100" s="958"/>
      <c r="F100" s="958"/>
      <c r="G100" s="958"/>
      <c r="H100" s="958"/>
      <c r="I100" s="958"/>
      <c r="J100" s="958"/>
      <c r="K100" s="958"/>
      <c r="L100" s="958"/>
      <c r="M100" s="958"/>
      <c r="N100" s="958"/>
      <c r="O100" s="939"/>
      <c r="P100" s="939"/>
      <c r="Q100" s="939"/>
      <c r="R100" s="939"/>
      <c r="S100" s="939"/>
      <c r="T100" s="939"/>
      <c r="U100" s="939"/>
    </row>
    <row r="101" spans="1:21" s="940" customFormat="1" ht="15.95" customHeight="1">
      <c r="A101" s="468" t="s">
        <v>131</v>
      </c>
      <c r="B101" s="938"/>
      <c r="C101" s="958" t="s">
        <v>768</v>
      </c>
      <c r="D101" s="958"/>
      <c r="E101" s="958"/>
      <c r="F101" s="958"/>
      <c r="G101" s="958"/>
      <c r="H101" s="958"/>
      <c r="I101" s="958"/>
      <c r="J101" s="958"/>
      <c r="K101" s="958"/>
      <c r="L101" s="958"/>
      <c r="M101" s="958"/>
      <c r="N101" s="958"/>
      <c r="O101" s="939"/>
      <c r="P101" s="939"/>
      <c r="Q101" s="939"/>
      <c r="R101" s="939"/>
      <c r="S101" s="939"/>
      <c r="T101" s="939"/>
      <c r="U101" s="939"/>
    </row>
    <row r="102" spans="1:21" s="940" customFormat="1" ht="15.95" customHeight="1">
      <c r="A102" s="468" t="s">
        <v>132</v>
      </c>
      <c r="B102" s="938"/>
      <c r="C102" s="959" t="s">
        <v>769</v>
      </c>
      <c r="D102" s="960"/>
      <c r="E102" s="960"/>
      <c r="F102" s="960"/>
      <c r="G102" s="960"/>
      <c r="H102" s="960"/>
      <c r="I102" s="960"/>
      <c r="J102" s="960"/>
      <c r="K102" s="960"/>
      <c r="L102" s="960"/>
      <c r="M102" s="960"/>
      <c r="N102" s="960"/>
      <c r="O102" s="939"/>
      <c r="P102" s="939"/>
      <c r="Q102" s="939"/>
      <c r="R102" s="939"/>
      <c r="S102" s="939"/>
      <c r="T102" s="939"/>
      <c r="U102" s="939"/>
    </row>
    <row r="103" spans="1:21" s="940" customFormat="1" ht="15.95" customHeight="1">
      <c r="A103" s="468" t="s">
        <v>133</v>
      </c>
      <c r="B103" s="938"/>
      <c r="C103" s="960" t="s">
        <v>754</v>
      </c>
      <c r="D103" s="960"/>
      <c r="E103" s="960"/>
      <c r="F103" s="960"/>
      <c r="G103" s="960"/>
      <c r="H103" s="960"/>
      <c r="I103" s="960"/>
      <c r="J103" s="960"/>
      <c r="K103" s="960"/>
      <c r="L103" s="960"/>
      <c r="M103" s="960"/>
      <c r="N103" s="960"/>
      <c r="O103" s="939"/>
      <c r="P103" s="939"/>
      <c r="Q103" s="939"/>
      <c r="R103" s="939"/>
      <c r="S103" s="939"/>
      <c r="T103" s="939"/>
      <c r="U103" s="939"/>
    </row>
    <row r="104" spans="1:21" s="940" customFormat="1" ht="15.95" customHeight="1">
      <c r="A104" s="468" t="s">
        <v>134</v>
      </c>
      <c r="B104" s="938"/>
      <c r="C104" s="961" t="s">
        <v>755</v>
      </c>
      <c r="D104" s="961"/>
      <c r="E104" s="961"/>
      <c r="F104" s="961"/>
      <c r="G104" s="961"/>
      <c r="H104" s="961"/>
      <c r="I104" s="961"/>
      <c r="J104" s="961"/>
      <c r="K104" s="961"/>
      <c r="L104" s="961"/>
      <c r="M104" s="961"/>
      <c r="N104" s="961"/>
      <c r="O104" s="939"/>
      <c r="P104" s="939"/>
      <c r="Q104" s="939"/>
      <c r="R104" s="939"/>
      <c r="S104" s="939"/>
      <c r="T104" s="939"/>
      <c r="U104" s="939"/>
    </row>
    <row r="105" spans="1:21" s="940" customFormat="1" ht="15.95" customHeight="1">
      <c r="A105" s="468" t="s">
        <v>135</v>
      </c>
      <c r="B105" s="938"/>
      <c r="C105" s="962" t="s">
        <v>770</v>
      </c>
      <c r="D105" s="961"/>
      <c r="E105" s="961"/>
      <c r="F105" s="961"/>
      <c r="G105" s="961"/>
      <c r="H105" s="961"/>
      <c r="I105" s="961"/>
      <c r="J105" s="961"/>
      <c r="K105" s="961"/>
      <c r="L105" s="961"/>
      <c r="M105" s="961"/>
      <c r="N105" s="961"/>
      <c r="O105" s="939"/>
      <c r="P105" s="939"/>
      <c r="Q105" s="939"/>
      <c r="R105" s="939"/>
      <c r="S105" s="939"/>
      <c r="T105" s="939"/>
      <c r="U105" s="939"/>
    </row>
    <row r="106" spans="1:21" s="940" customFormat="1" ht="15.95" customHeight="1">
      <c r="A106" s="468" t="s">
        <v>136</v>
      </c>
      <c r="B106" s="938"/>
      <c r="C106" s="957" t="s">
        <v>771</v>
      </c>
      <c r="D106" s="957"/>
      <c r="E106" s="957"/>
      <c r="F106" s="957"/>
      <c r="G106" s="957"/>
      <c r="H106" s="957"/>
      <c r="I106" s="957"/>
      <c r="J106" s="957"/>
      <c r="K106" s="957"/>
      <c r="L106" s="957"/>
      <c r="M106" s="957"/>
      <c r="N106" s="957"/>
      <c r="O106" s="939"/>
      <c r="P106" s="939"/>
      <c r="Q106" s="939"/>
      <c r="R106" s="939"/>
      <c r="S106" s="939"/>
      <c r="T106" s="939"/>
      <c r="U106" s="939"/>
    </row>
    <row r="107" spans="1:21" s="940" customFormat="1" ht="15.95" customHeight="1">
      <c r="A107" s="941" t="s">
        <v>137</v>
      </c>
      <c r="B107" s="942"/>
      <c r="C107" s="957" t="s">
        <v>756</v>
      </c>
      <c r="D107" s="957"/>
      <c r="E107" s="957"/>
      <c r="F107" s="957"/>
      <c r="G107" s="957"/>
      <c r="H107" s="957"/>
      <c r="I107" s="957"/>
      <c r="J107" s="957"/>
      <c r="K107" s="957"/>
      <c r="L107" s="957"/>
      <c r="M107" s="957"/>
      <c r="N107" s="957"/>
      <c r="O107" s="939"/>
      <c r="P107" s="939"/>
      <c r="Q107" s="939"/>
      <c r="R107" s="939"/>
      <c r="S107" s="939"/>
      <c r="T107" s="939"/>
      <c r="U107" s="939"/>
    </row>
    <row r="108" spans="1:21">
      <c r="A108" s="464"/>
      <c r="B108" s="455"/>
      <c r="C108" s="455"/>
      <c r="D108" s="455"/>
      <c r="E108" s="455"/>
      <c r="F108" s="455"/>
      <c r="G108" s="455"/>
      <c r="H108" s="455"/>
      <c r="I108" s="455"/>
      <c r="J108" s="455"/>
      <c r="K108" s="455"/>
      <c r="L108" s="455"/>
      <c r="M108" s="455"/>
      <c r="N108" s="455"/>
      <c r="O108" s="455"/>
      <c r="P108" s="455"/>
      <c r="Q108" s="455"/>
      <c r="R108" s="455"/>
      <c r="S108" s="455"/>
      <c r="T108" s="455"/>
      <c r="U108" s="455"/>
    </row>
    <row r="109" spans="1:21" ht="15.75">
      <c r="A109" s="427"/>
      <c r="B109" s="465"/>
      <c r="C109" s="466"/>
      <c r="D109" s="411"/>
      <c r="E109" s="412"/>
      <c r="F109" s="412"/>
      <c r="G109" s="388"/>
      <c r="H109" s="426"/>
      <c r="I109" s="426"/>
      <c r="J109" s="406"/>
      <c r="K109" s="426"/>
      <c r="M109" s="388"/>
      <c r="N109" s="428"/>
      <c r="O109" s="455"/>
      <c r="P109" s="455"/>
      <c r="Q109" s="455"/>
      <c r="R109" s="455"/>
      <c r="S109" s="455"/>
      <c r="T109" s="455"/>
      <c r="U109" s="455"/>
    </row>
    <row r="110" spans="1:21" ht="15.75">
      <c r="A110" s="427"/>
      <c r="B110" s="465"/>
      <c r="C110" s="466"/>
      <c r="D110" s="411"/>
      <c r="E110" s="412"/>
      <c r="F110" s="412"/>
      <c r="G110" s="388"/>
      <c r="H110" s="426"/>
      <c r="I110" s="426"/>
      <c r="J110" s="406"/>
      <c r="K110" s="426"/>
      <c r="M110" s="388"/>
      <c r="N110" s="408"/>
      <c r="O110" s="455"/>
      <c r="P110" s="455"/>
      <c r="Q110" s="455"/>
      <c r="R110" s="455"/>
      <c r="S110" s="455"/>
      <c r="T110" s="455"/>
      <c r="U110" s="455"/>
    </row>
    <row r="111" spans="1:21">
      <c r="C111" s="455"/>
      <c r="D111" s="455"/>
      <c r="E111" s="455"/>
      <c r="F111" s="455"/>
      <c r="G111" s="455"/>
      <c r="H111" s="455"/>
      <c r="I111" s="455"/>
      <c r="J111" s="455"/>
      <c r="K111" s="455"/>
      <c r="L111" s="455"/>
      <c r="M111" s="455"/>
      <c r="N111" s="455"/>
      <c r="O111" s="455"/>
      <c r="P111" s="455"/>
      <c r="Q111" s="455"/>
      <c r="R111" s="455"/>
      <c r="S111" s="455"/>
      <c r="T111" s="455"/>
      <c r="U111" s="455"/>
    </row>
    <row r="112" spans="1:21">
      <c r="C112" s="455"/>
      <c r="D112" s="455"/>
      <c r="E112" s="455"/>
      <c r="F112" s="455"/>
      <c r="G112" s="455"/>
      <c r="H112" s="455"/>
      <c r="I112" s="455"/>
      <c r="J112" s="455"/>
      <c r="K112" s="455"/>
      <c r="L112" s="455"/>
      <c r="M112" s="455"/>
      <c r="N112" s="455"/>
      <c r="O112" s="455"/>
      <c r="P112" s="455"/>
      <c r="Q112" s="455"/>
      <c r="R112" s="455"/>
      <c r="S112" s="455"/>
      <c r="T112" s="455"/>
      <c r="U112" s="455"/>
    </row>
    <row r="113" spans="3:21">
      <c r="C113" s="455"/>
      <c r="D113" s="455"/>
      <c r="E113" s="455"/>
      <c r="F113" s="455"/>
      <c r="G113" s="455"/>
      <c r="H113" s="455"/>
      <c r="I113" s="455"/>
      <c r="J113" s="455"/>
      <c r="K113" s="455"/>
      <c r="L113" s="455"/>
      <c r="M113" s="455"/>
      <c r="N113" s="455"/>
      <c r="O113" s="455"/>
      <c r="P113" s="455"/>
      <c r="Q113" s="455"/>
      <c r="R113" s="455"/>
      <c r="S113" s="455"/>
      <c r="T113" s="455"/>
      <c r="U113" s="455"/>
    </row>
    <row r="114" spans="3:21">
      <c r="C114" s="455"/>
      <c r="D114" s="455"/>
      <c r="E114" s="455"/>
      <c r="F114" s="455"/>
      <c r="G114" s="455"/>
      <c r="H114" s="455"/>
      <c r="I114" s="455"/>
      <c r="J114" s="455"/>
      <c r="K114" s="455"/>
      <c r="L114" s="455"/>
      <c r="M114" s="455"/>
      <c r="N114" s="455"/>
      <c r="O114" s="455"/>
      <c r="P114" s="455"/>
      <c r="Q114" s="455"/>
      <c r="R114" s="455"/>
      <c r="S114" s="455"/>
      <c r="T114" s="455"/>
      <c r="U114" s="455"/>
    </row>
    <row r="115" spans="3:21">
      <c r="C115" s="455"/>
      <c r="D115" s="455"/>
      <c r="E115" s="455"/>
      <c r="F115" s="455"/>
      <c r="G115" s="455"/>
      <c r="H115" s="455"/>
      <c r="I115" s="455"/>
      <c r="J115" s="455"/>
      <c r="K115" s="455"/>
      <c r="L115" s="455"/>
      <c r="M115" s="455"/>
      <c r="N115" s="455"/>
      <c r="O115" s="455"/>
      <c r="P115" s="455"/>
      <c r="Q115" s="455"/>
      <c r="R115" s="455"/>
      <c r="S115" s="455"/>
      <c r="T115" s="455"/>
      <c r="U115" s="455"/>
    </row>
    <row r="116" spans="3:21">
      <c r="C116" s="455"/>
      <c r="D116" s="455"/>
      <c r="E116" s="455"/>
      <c r="F116" s="455"/>
      <c r="G116" s="455"/>
      <c r="H116" s="455"/>
      <c r="I116" s="455"/>
      <c r="J116" s="455"/>
      <c r="K116" s="455"/>
      <c r="L116" s="455"/>
      <c r="M116" s="455"/>
      <c r="N116" s="455"/>
      <c r="O116" s="455"/>
      <c r="P116" s="455"/>
      <c r="Q116" s="455"/>
      <c r="R116" s="455"/>
      <c r="S116" s="455"/>
      <c r="T116" s="455"/>
      <c r="U116" s="455"/>
    </row>
    <row r="117" spans="3:21">
      <c r="C117" s="455"/>
      <c r="D117" s="455"/>
      <c r="E117" s="455"/>
      <c r="F117" s="455"/>
      <c r="G117" s="455"/>
      <c r="H117" s="455"/>
      <c r="I117" s="455"/>
      <c r="J117" s="455"/>
      <c r="K117" s="455"/>
      <c r="L117" s="455"/>
      <c r="M117" s="455"/>
      <c r="N117" s="455"/>
      <c r="O117" s="455"/>
      <c r="P117" s="455"/>
      <c r="Q117" s="455"/>
      <c r="R117" s="455"/>
      <c r="S117" s="455"/>
      <c r="T117" s="455"/>
      <c r="U117" s="455"/>
    </row>
    <row r="118" spans="3:21">
      <c r="C118" s="455"/>
      <c r="D118" s="455"/>
      <c r="E118" s="455"/>
      <c r="F118" s="455"/>
      <c r="G118" s="455"/>
      <c r="H118" s="455"/>
      <c r="I118" s="455"/>
      <c r="J118" s="455"/>
      <c r="K118" s="455"/>
      <c r="L118" s="455"/>
      <c r="M118" s="455"/>
      <c r="N118" s="455"/>
      <c r="O118" s="455"/>
      <c r="P118" s="455"/>
      <c r="Q118" s="455"/>
      <c r="R118" s="455"/>
      <c r="S118" s="455"/>
      <c r="T118" s="455"/>
      <c r="U118" s="455"/>
    </row>
    <row r="119" spans="3:21">
      <c r="C119" s="455"/>
      <c r="D119" s="455"/>
      <c r="E119" s="455"/>
      <c r="F119" s="455"/>
      <c r="G119" s="455"/>
      <c r="H119" s="455"/>
      <c r="I119" s="455"/>
      <c r="J119" s="455"/>
      <c r="K119" s="455"/>
      <c r="L119" s="455"/>
      <c r="M119" s="455"/>
      <c r="N119" s="455"/>
      <c r="O119" s="455"/>
      <c r="P119" s="455"/>
      <c r="Q119" s="455"/>
      <c r="R119" s="455"/>
      <c r="S119" s="455"/>
      <c r="T119" s="455"/>
      <c r="U119" s="455"/>
    </row>
    <row r="120" spans="3:21">
      <c r="C120" s="455"/>
      <c r="D120" s="455"/>
      <c r="E120" s="455"/>
      <c r="F120" s="455"/>
      <c r="G120" s="455"/>
      <c r="H120" s="455"/>
      <c r="I120" s="455"/>
      <c r="J120" s="455"/>
      <c r="K120" s="455"/>
      <c r="L120" s="455"/>
      <c r="M120" s="455"/>
      <c r="N120" s="455"/>
      <c r="O120" s="455"/>
      <c r="P120" s="455"/>
      <c r="Q120" s="455"/>
      <c r="R120" s="455"/>
      <c r="S120" s="455"/>
      <c r="T120" s="455"/>
      <c r="U120" s="455"/>
    </row>
    <row r="121" spans="3:21">
      <c r="C121" s="455"/>
      <c r="D121" s="455"/>
      <c r="E121" s="455"/>
      <c r="F121" s="455"/>
      <c r="G121" s="455"/>
      <c r="H121" s="455"/>
      <c r="I121" s="455"/>
      <c r="J121" s="455"/>
      <c r="K121" s="455"/>
      <c r="L121" s="455"/>
      <c r="M121" s="455"/>
      <c r="N121" s="455"/>
      <c r="O121" s="455"/>
      <c r="P121" s="455"/>
      <c r="Q121" s="455"/>
      <c r="R121" s="455"/>
      <c r="S121" s="455"/>
      <c r="T121" s="455"/>
      <c r="U121" s="455"/>
    </row>
    <row r="122" spans="3:21">
      <c r="C122" s="455"/>
      <c r="D122" s="455"/>
      <c r="E122" s="455"/>
      <c r="F122" s="455"/>
      <c r="G122" s="455"/>
      <c r="H122" s="455"/>
      <c r="I122" s="455"/>
      <c r="J122" s="455"/>
      <c r="K122" s="455"/>
      <c r="L122" s="455"/>
      <c r="M122" s="455"/>
      <c r="N122" s="455"/>
      <c r="O122" s="455"/>
      <c r="P122" s="455"/>
      <c r="Q122" s="455"/>
      <c r="R122" s="455"/>
      <c r="S122" s="455"/>
      <c r="T122" s="455"/>
      <c r="U122" s="455"/>
    </row>
    <row r="123" spans="3:21">
      <c r="C123" s="455"/>
      <c r="D123" s="455"/>
      <c r="E123" s="455"/>
      <c r="F123" s="455"/>
      <c r="G123" s="455"/>
      <c r="H123" s="455"/>
      <c r="I123" s="455"/>
      <c r="J123" s="455"/>
      <c r="K123" s="455"/>
      <c r="L123" s="455"/>
      <c r="M123" s="455"/>
      <c r="N123" s="455"/>
      <c r="O123" s="455"/>
      <c r="P123" s="455"/>
      <c r="Q123" s="455"/>
      <c r="R123" s="455"/>
      <c r="S123" s="455"/>
      <c r="T123" s="455"/>
      <c r="U123" s="455"/>
    </row>
    <row r="124" spans="3:21">
      <c r="C124" s="455"/>
      <c r="D124" s="455"/>
      <c r="E124" s="455"/>
      <c r="F124" s="455"/>
      <c r="G124" s="455"/>
      <c r="H124" s="455"/>
      <c r="I124" s="455"/>
      <c r="J124" s="455"/>
      <c r="K124" s="455"/>
      <c r="L124" s="455"/>
      <c r="M124" s="455"/>
      <c r="N124" s="455"/>
      <c r="O124" s="455"/>
      <c r="P124" s="455"/>
      <c r="Q124" s="455"/>
      <c r="R124" s="455"/>
      <c r="S124" s="455"/>
      <c r="T124" s="455"/>
      <c r="U124" s="455"/>
    </row>
    <row r="125" spans="3:21">
      <c r="C125" s="455"/>
      <c r="D125" s="455"/>
      <c r="E125" s="455"/>
      <c r="F125" s="455"/>
      <c r="G125" s="455"/>
      <c r="H125" s="455"/>
      <c r="I125" s="455"/>
      <c r="J125" s="455"/>
      <c r="K125" s="455"/>
      <c r="L125" s="455"/>
      <c r="M125" s="455"/>
      <c r="N125" s="455"/>
      <c r="O125" s="455"/>
      <c r="P125" s="455"/>
      <c r="Q125" s="455"/>
      <c r="R125" s="455"/>
      <c r="S125" s="455"/>
      <c r="T125" s="455"/>
      <c r="U125" s="455"/>
    </row>
    <row r="126" spans="3:21">
      <c r="C126" s="455"/>
      <c r="D126" s="455"/>
      <c r="E126" s="455"/>
      <c r="F126" s="455"/>
      <c r="G126" s="455"/>
      <c r="H126" s="455"/>
      <c r="I126" s="455"/>
      <c r="J126" s="455"/>
      <c r="K126" s="455"/>
      <c r="L126" s="455"/>
      <c r="M126" s="455"/>
      <c r="N126" s="455"/>
      <c r="O126" s="455"/>
      <c r="P126" s="455"/>
      <c r="Q126" s="455"/>
      <c r="R126" s="455"/>
      <c r="S126" s="455"/>
      <c r="T126" s="455"/>
      <c r="U126" s="455"/>
    </row>
    <row r="127" spans="3:21">
      <c r="C127" s="455"/>
      <c r="D127" s="455"/>
      <c r="E127" s="455"/>
      <c r="F127" s="455"/>
      <c r="G127" s="455"/>
      <c r="H127" s="455"/>
      <c r="I127" s="455"/>
      <c r="J127" s="455"/>
      <c r="K127" s="455"/>
      <c r="L127" s="455"/>
      <c r="M127" s="455"/>
      <c r="N127" s="455"/>
      <c r="O127" s="455"/>
      <c r="P127" s="455"/>
      <c r="Q127" s="455"/>
      <c r="R127" s="455"/>
      <c r="S127" s="455"/>
      <c r="T127" s="455"/>
      <c r="U127" s="455"/>
    </row>
    <row r="128" spans="3:21">
      <c r="C128" s="455"/>
      <c r="D128" s="455"/>
      <c r="E128" s="455"/>
      <c r="F128" s="455"/>
      <c r="G128" s="455"/>
      <c r="H128" s="455"/>
      <c r="I128" s="455"/>
      <c r="J128" s="455"/>
      <c r="K128" s="455"/>
      <c r="L128" s="455"/>
      <c r="M128" s="455"/>
      <c r="N128" s="455"/>
      <c r="O128" s="455"/>
      <c r="P128" s="455"/>
      <c r="Q128" s="455"/>
      <c r="R128" s="455"/>
      <c r="S128" s="455"/>
      <c r="T128" s="455"/>
      <c r="U128" s="455"/>
    </row>
    <row r="129" spans="3:21">
      <c r="C129" s="455"/>
      <c r="D129" s="455"/>
      <c r="E129" s="455"/>
      <c r="F129" s="455"/>
      <c r="G129" s="455"/>
      <c r="H129" s="455"/>
      <c r="I129" s="455"/>
      <c r="J129" s="455"/>
      <c r="K129" s="455"/>
      <c r="L129" s="455"/>
      <c r="M129" s="455"/>
      <c r="N129" s="455"/>
      <c r="O129" s="455"/>
      <c r="P129" s="455"/>
      <c r="Q129" s="455"/>
      <c r="R129" s="455"/>
      <c r="S129" s="455"/>
      <c r="T129" s="455"/>
      <c r="U129" s="455"/>
    </row>
    <row r="130" spans="3:21">
      <c r="C130" s="455"/>
      <c r="D130" s="455"/>
      <c r="E130" s="455"/>
      <c r="F130" s="455"/>
      <c r="G130" s="455"/>
      <c r="H130" s="455"/>
      <c r="I130" s="455"/>
      <c r="J130" s="455"/>
      <c r="K130" s="455"/>
      <c r="L130" s="455"/>
      <c r="M130" s="455"/>
      <c r="N130" s="455"/>
      <c r="O130" s="455"/>
      <c r="P130" s="455"/>
      <c r="Q130" s="455"/>
      <c r="R130" s="455"/>
      <c r="S130" s="455"/>
      <c r="T130" s="455"/>
      <c r="U130" s="455"/>
    </row>
    <row r="131" spans="3:21">
      <c r="C131" s="455"/>
      <c r="D131" s="455"/>
      <c r="E131" s="455"/>
      <c r="F131" s="455"/>
      <c r="G131" s="455"/>
      <c r="H131" s="455"/>
      <c r="I131" s="455"/>
      <c r="J131" s="455"/>
      <c r="K131" s="455"/>
      <c r="L131" s="455"/>
      <c r="M131" s="455"/>
      <c r="N131" s="455"/>
      <c r="O131" s="455"/>
      <c r="P131" s="455"/>
      <c r="Q131" s="455"/>
      <c r="R131" s="455"/>
      <c r="S131" s="455"/>
      <c r="T131" s="455"/>
      <c r="U131" s="455"/>
    </row>
    <row r="132" spans="3:21">
      <c r="C132" s="455"/>
      <c r="D132" s="455"/>
      <c r="E132" s="455"/>
      <c r="F132" s="455"/>
      <c r="G132" s="455"/>
      <c r="H132" s="455"/>
      <c r="I132" s="455"/>
      <c r="J132" s="455"/>
      <c r="K132" s="455"/>
      <c r="L132" s="455"/>
      <c r="M132" s="455"/>
      <c r="N132" s="455"/>
      <c r="O132" s="455"/>
      <c r="P132" s="455"/>
      <c r="Q132" s="455"/>
      <c r="R132" s="455"/>
      <c r="S132" s="455"/>
      <c r="T132" s="455"/>
      <c r="U132" s="455"/>
    </row>
    <row r="133" spans="3:21">
      <c r="C133" s="455"/>
      <c r="D133" s="455"/>
      <c r="E133" s="455"/>
      <c r="F133" s="455"/>
      <c r="G133" s="455"/>
      <c r="H133" s="455"/>
      <c r="I133" s="455"/>
      <c r="J133" s="455"/>
      <c r="K133" s="455"/>
      <c r="L133" s="455"/>
      <c r="M133" s="455"/>
      <c r="N133" s="455"/>
      <c r="O133" s="455"/>
      <c r="P133" s="455"/>
      <c r="Q133" s="455"/>
      <c r="R133" s="455"/>
      <c r="S133" s="455"/>
      <c r="T133" s="455"/>
      <c r="U133" s="455"/>
    </row>
    <row r="134" spans="3:21">
      <c r="C134" s="455"/>
      <c r="D134" s="455"/>
      <c r="E134" s="455"/>
      <c r="F134" s="455"/>
      <c r="G134" s="455"/>
      <c r="H134" s="455"/>
      <c r="I134" s="455"/>
      <c r="J134" s="455"/>
      <c r="K134" s="455"/>
      <c r="L134" s="455"/>
      <c r="M134" s="455"/>
      <c r="N134" s="455"/>
      <c r="O134" s="455"/>
      <c r="P134" s="455"/>
      <c r="Q134" s="455"/>
      <c r="R134" s="455"/>
      <c r="S134" s="455"/>
      <c r="T134" s="455"/>
      <c r="U134" s="455"/>
    </row>
    <row r="135" spans="3:21">
      <c r="C135" s="455"/>
      <c r="D135" s="455"/>
      <c r="E135" s="455"/>
      <c r="F135" s="455"/>
      <c r="G135" s="455"/>
      <c r="H135" s="455"/>
      <c r="I135" s="455"/>
      <c r="J135" s="455"/>
      <c r="K135" s="455"/>
      <c r="L135" s="455"/>
      <c r="M135" s="455"/>
      <c r="N135" s="455"/>
      <c r="O135" s="455"/>
      <c r="P135" s="455"/>
      <c r="Q135" s="455"/>
      <c r="R135" s="455"/>
      <c r="S135" s="455"/>
      <c r="T135" s="455"/>
      <c r="U135" s="455"/>
    </row>
    <row r="136" spans="3:21">
      <c r="C136" s="455"/>
      <c r="D136" s="455"/>
      <c r="E136" s="455"/>
      <c r="F136" s="455"/>
      <c r="G136" s="455"/>
      <c r="H136" s="455"/>
      <c r="I136" s="455"/>
      <c r="J136" s="455"/>
      <c r="K136" s="455"/>
      <c r="L136" s="455"/>
      <c r="M136" s="455"/>
      <c r="N136" s="455"/>
      <c r="O136" s="455"/>
      <c r="P136" s="455"/>
      <c r="Q136" s="455"/>
      <c r="R136" s="455"/>
      <c r="S136" s="455"/>
      <c r="T136" s="455"/>
      <c r="U136" s="455"/>
    </row>
    <row r="137" spans="3:21">
      <c r="C137" s="455"/>
      <c r="D137" s="455"/>
      <c r="E137" s="455"/>
      <c r="F137" s="455"/>
      <c r="G137" s="455"/>
      <c r="H137" s="455"/>
      <c r="I137" s="455"/>
      <c r="J137" s="455"/>
      <c r="K137" s="455"/>
      <c r="L137" s="455"/>
      <c r="M137" s="455"/>
      <c r="N137" s="455"/>
      <c r="O137" s="455"/>
      <c r="P137" s="455"/>
      <c r="Q137" s="455"/>
      <c r="R137" s="455"/>
      <c r="S137" s="455"/>
      <c r="T137" s="455"/>
      <c r="U137" s="455"/>
    </row>
    <row r="138" spans="3:21">
      <c r="C138" s="455"/>
      <c r="D138" s="455"/>
      <c r="E138" s="455"/>
      <c r="F138" s="455"/>
      <c r="G138" s="455"/>
      <c r="H138" s="455"/>
      <c r="I138" s="455"/>
      <c r="J138" s="455"/>
      <c r="K138" s="455"/>
      <c r="L138" s="455"/>
      <c r="M138" s="455"/>
      <c r="N138" s="455"/>
      <c r="O138" s="455"/>
      <c r="P138" s="455"/>
      <c r="Q138" s="455"/>
      <c r="R138" s="455"/>
      <c r="S138" s="455"/>
      <c r="T138" s="455"/>
      <c r="U138" s="455"/>
    </row>
    <row r="139" spans="3:21">
      <c r="C139" s="455"/>
      <c r="D139" s="455"/>
      <c r="E139" s="455"/>
      <c r="F139" s="455"/>
      <c r="G139" s="455"/>
      <c r="H139" s="455"/>
      <c r="I139" s="455"/>
      <c r="J139" s="455"/>
      <c r="K139" s="455"/>
      <c r="L139" s="455"/>
      <c r="M139" s="455"/>
      <c r="N139" s="455"/>
      <c r="O139" s="455"/>
      <c r="P139" s="455"/>
      <c r="Q139" s="455"/>
      <c r="R139" s="455"/>
      <c r="S139" s="455"/>
      <c r="T139" s="455"/>
      <c r="U139" s="455"/>
    </row>
    <row r="140" spans="3:21">
      <c r="C140" s="455"/>
      <c r="D140" s="455"/>
      <c r="E140" s="455"/>
      <c r="F140" s="455"/>
      <c r="G140" s="455"/>
      <c r="H140" s="455"/>
      <c r="I140" s="455"/>
      <c r="J140" s="455"/>
      <c r="K140" s="455"/>
      <c r="L140" s="455"/>
      <c r="M140" s="455"/>
      <c r="N140" s="455"/>
      <c r="O140" s="455"/>
      <c r="P140" s="455"/>
      <c r="Q140" s="455"/>
      <c r="R140" s="455"/>
      <c r="S140" s="455"/>
      <c r="T140" s="455"/>
      <c r="U140" s="455"/>
    </row>
    <row r="141" spans="3:21">
      <c r="C141" s="455"/>
      <c r="D141" s="455"/>
      <c r="E141" s="455"/>
      <c r="F141" s="455"/>
      <c r="G141" s="455"/>
      <c r="H141" s="455"/>
      <c r="I141" s="455"/>
      <c r="J141" s="455"/>
      <c r="K141" s="455"/>
      <c r="L141" s="455"/>
      <c r="M141" s="455"/>
      <c r="N141" s="455"/>
      <c r="O141" s="455"/>
      <c r="P141" s="455"/>
      <c r="Q141" s="455"/>
      <c r="R141" s="455"/>
      <c r="S141" s="455"/>
      <c r="T141" s="455"/>
      <c r="U141" s="455"/>
    </row>
    <row r="142" spans="3:21">
      <c r="C142" s="455"/>
      <c r="D142" s="455"/>
      <c r="E142" s="455"/>
      <c r="F142" s="455"/>
      <c r="G142" s="455"/>
      <c r="H142" s="455"/>
      <c r="I142" s="455"/>
      <c r="J142" s="455"/>
      <c r="K142" s="455"/>
      <c r="L142" s="455"/>
      <c r="M142" s="455"/>
      <c r="N142" s="455"/>
      <c r="O142" s="455"/>
      <c r="P142" s="455"/>
      <c r="Q142" s="455"/>
      <c r="R142" s="455"/>
      <c r="S142" s="455"/>
      <c r="T142" s="455"/>
      <c r="U142" s="455"/>
    </row>
    <row r="143" spans="3:21">
      <c r="C143" s="455"/>
      <c r="D143" s="455"/>
      <c r="E143" s="455"/>
      <c r="F143" s="455"/>
      <c r="G143" s="455"/>
      <c r="H143" s="455"/>
      <c r="I143" s="455"/>
      <c r="J143" s="455"/>
      <c r="K143" s="455"/>
      <c r="L143" s="455"/>
      <c r="M143" s="455"/>
      <c r="N143" s="455"/>
      <c r="O143" s="455"/>
      <c r="P143" s="455"/>
      <c r="Q143" s="455"/>
      <c r="R143" s="455"/>
      <c r="S143" s="455"/>
      <c r="T143" s="455"/>
      <c r="U143" s="455"/>
    </row>
    <row r="144" spans="3:21">
      <c r="C144" s="455"/>
      <c r="D144" s="455"/>
      <c r="E144" s="455"/>
      <c r="F144" s="455"/>
      <c r="G144" s="455"/>
      <c r="H144" s="455"/>
      <c r="I144" s="455"/>
      <c r="J144" s="455"/>
      <c r="K144" s="455"/>
      <c r="L144" s="455"/>
      <c r="M144" s="455"/>
      <c r="N144" s="455"/>
      <c r="O144" s="455"/>
      <c r="P144" s="455"/>
      <c r="Q144" s="455"/>
      <c r="R144" s="455"/>
      <c r="S144" s="455"/>
      <c r="T144" s="455"/>
      <c r="U144" s="455"/>
    </row>
    <row r="145" spans="3:21">
      <c r="C145" s="455"/>
      <c r="D145" s="455"/>
      <c r="E145" s="455"/>
      <c r="F145" s="455"/>
      <c r="G145" s="455"/>
      <c r="H145" s="455"/>
      <c r="I145" s="455"/>
      <c r="J145" s="455"/>
      <c r="K145" s="455"/>
      <c r="L145" s="455"/>
      <c r="M145" s="455"/>
      <c r="N145" s="455"/>
      <c r="O145" s="455"/>
      <c r="P145" s="455"/>
      <c r="Q145" s="455"/>
      <c r="R145" s="455"/>
      <c r="S145" s="455"/>
      <c r="T145" s="455"/>
      <c r="U145" s="455"/>
    </row>
    <row r="146" spans="3:21">
      <c r="C146" s="455"/>
      <c r="D146" s="455"/>
      <c r="E146" s="455"/>
      <c r="F146" s="455"/>
      <c r="G146" s="455"/>
      <c r="H146" s="455"/>
      <c r="I146" s="455"/>
      <c r="J146" s="455"/>
      <c r="K146" s="455"/>
      <c r="L146" s="455"/>
      <c r="M146" s="455"/>
      <c r="N146" s="455"/>
      <c r="O146" s="455"/>
      <c r="P146" s="455"/>
      <c r="Q146" s="455"/>
      <c r="R146" s="455"/>
      <c r="S146" s="455"/>
      <c r="T146" s="455"/>
      <c r="U146" s="455"/>
    </row>
    <row r="147" spans="3:21">
      <c r="C147" s="455"/>
      <c r="D147" s="455"/>
      <c r="E147" s="455"/>
      <c r="F147" s="455"/>
      <c r="G147" s="455"/>
      <c r="H147" s="455"/>
      <c r="I147" s="455"/>
      <c r="J147" s="455"/>
      <c r="K147" s="455"/>
      <c r="L147" s="455"/>
      <c r="M147" s="455"/>
      <c r="N147" s="455"/>
      <c r="O147" s="455"/>
      <c r="P147" s="455"/>
      <c r="Q147" s="455"/>
      <c r="R147" s="455"/>
      <c r="S147" s="455"/>
      <c r="T147" s="455"/>
      <c r="U147" s="455"/>
    </row>
    <row r="148" spans="3:21">
      <c r="C148" s="455"/>
      <c r="D148" s="455"/>
      <c r="E148" s="455"/>
      <c r="F148" s="455"/>
      <c r="G148" s="455"/>
      <c r="H148" s="455"/>
      <c r="I148" s="455"/>
      <c r="J148" s="455"/>
      <c r="K148" s="455"/>
      <c r="L148" s="455"/>
      <c r="M148" s="455"/>
      <c r="N148" s="455"/>
      <c r="O148" s="455"/>
      <c r="P148" s="455"/>
      <c r="Q148" s="455"/>
      <c r="R148" s="455"/>
      <c r="S148" s="455"/>
      <c r="T148" s="455"/>
      <c r="U148" s="455"/>
    </row>
    <row r="149" spans="3:21">
      <c r="C149" s="455"/>
      <c r="D149" s="455"/>
      <c r="E149" s="455"/>
      <c r="F149" s="455"/>
      <c r="G149" s="455"/>
      <c r="H149" s="455"/>
      <c r="I149" s="455"/>
      <c r="J149" s="455"/>
      <c r="K149" s="455"/>
      <c r="L149" s="455"/>
      <c r="M149" s="455"/>
      <c r="N149" s="455"/>
      <c r="O149" s="455"/>
      <c r="P149" s="455"/>
      <c r="Q149" s="455"/>
      <c r="R149" s="455"/>
      <c r="S149" s="455"/>
      <c r="T149" s="455"/>
      <c r="U149" s="455"/>
    </row>
    <row r="150" spans="3:21">
      <c r="C150" s="455"/>
      <c r="D150" s="455"/>
      <c r="E150" s="455"/>
      <c r="F150" s="455"/>
      <c r="G150" s="455"/>
      <c r="H150" s="455"/>
      <c r="I150" s="455"/>
      <c r="J150" s="455"/>
      <c r="K150" s="455"/>
      <c r="L150" s="455"/>
      <c r="M150" s="455"/>
      <c r="N150" s="455"/>
      <c r="O150" s="455"/>
      <c r="P150" s="455"/>
      <c r="Q150" s="455"/>
      <c r="R150" s="455"/>
      <c r="S150" s="455"/>
      <c r="T150" s="455"/>
      <c r="U150" s="455"/>
    </row>
    <row r="151" spans="3:21">
      <c r="C151" s="455"/>
      <c r="D151" s="455"/>
      <c r="E151" s="455"/>
      <c r="F151" s="455"/>
      <c r="G151" s="455"/>
      <c r="H151" s="455"/>
      <c r="I151" s="455"/>
      <c r="J151" s="455"/>
      <c r="K151" s="455"/>
      <c r="L151" s="455"/>
      <c r="M151" s="455"/>
      <c r="N151" s="455"/>
      <c r="O151" s="455"/>
      <c r="P151" s="455"/>
      <c r="Q151" s="455"/>
      <c r="R151" s="455"/>
      <c r="S151" s="455"/>
      <c r="T151" s="455"/>
      <c r="U151" s="455"/>
    </row>
    <row r="152" spans="3:21">
      <c r="C152" s="455"/>
      <c r="D152" s="455"/>
      <c r="E152" s="455"/>
      <c r="F152" s="455"/>
      <c r="G152" s="455"/>
      <c r="H152" s="455"/>
      <c r="I152" s="455"/>
      <c r="J152" s="455"/>
      <c r="K152" s="455"/>
      <c r="L152" s="455"/>
      <c r="M152" s="455"/>
      <c r="N152" s="455"/>
      <c r="O152" s="455"/>
      <c r="P152" s="455"/>
      <c r="Q152" s="455"/>
      <c r="R152" s="455"/>
      <c r="S152" s="455"/>
      <c r="T152" s="455"/>
      <c r="U152" s="455"/>
    </row>
    <row r="153" spans="3:21">
      <c r="C153" s="455"/>
      <c r="D153" s="455"/>
      <c r="E153" s="455"/>
      <c r="F153" s="455"/>
      <c r="G153" s="455"/>
      <c r="H153" s="455"/>
      <c r="I153" s="455"/>
      <c r="J153" s="455"/>
      <c r="K153" s="455"/>
      <c r="L153" s="455"/>
      <c r="M153" s="455"/>
      <c r="N153" s="455"/>
      <c r="O153" s="455"/>
      <c r="P153" s="455"/>
      <c r="Q153" s="455"/>
      <c r="R153" s="455"/>
      <c r="S153" s="455"/>
      <c r="T153" s="455"/>
      <c r="U153" s="455"/>
    </row>
    <row r="154" spans="3:21">
      <c r="C154" s="455"/>
      <c r="D154" s="455"/>
      <c r="E154" s="455"/>
      <c r="F154" s="455"/>
      <c r="G154" s="455"/>
      <c r="H154" s="455"/>
      <c r="I154" s="455"/>
      <c r="J154" s="455"/>
      <c r="K154" s="455"/>
      <c r="L154" s="455"/>
      <c r="M154" s="455"/>
      <c r="N154" s="455"/>
      <c r="O154" s="455"/>
      <c r="P154" s="455"/>
      <c r="Q154" s="455"/>
      <c r="R154" s="455"/>
      <c r="S154" s="455"/>
      <c r="T154" s="455"/>
      <c r="U154" s="455"/>
    </row>
    <row r="155" spans="3:21">
      <c r="C155" s="455"/>
      <c r="D155" s="455"/>
      <c r="E155" s="455"/>
      <c r="F155" s="455"/>
      <c r="G155" s="455"/>
      <c r="H155" s="455"/>
      <c r="I155" s="455"/>
      <c r="J155" s="455"/>
      <c r="K155" s="455"/>
      <c r="L155" s="455"/>
      <c r="M155" s="455"/>
      <c r="N155" s="455"/>
      <c r="O155" s="455"/>
      <c r="P155" s="455"/>
      <c r="Q155" s="455"/>
      <c r="R155" s="455"/>
      <c r="S155" s="455"/>
      <c r="T155" s="455"/>
      <c r="U155" s="455"/>
    </row>
    <row r="156" spans="3:21">
      <c r="C156" s="455"/>
      <c r="D156" s="455"/>
      <c r="E156" s="455"/>
      <c r="F156" s="455"/>
      <c r="G156" s="455"/>
      <c r="H156" s="455"/>
      <c r="I156" s="455"/>
      <c r="J156" s="455"/>
      <c r="K156" s="455"/>
      <c r="L156" s="455"/>
      <c r="M156" s="455"/>
      <c r="N156" s="455"/>
      <c r="O156" s="455"/>
      <c r="P156" s="455"/>
      <c r="Q156" s="455"/>
      <c r="R156" s="455"/>
      <c r="S156" s="455"/>
      <c r="T156" s="455"/>
      <c r="U156" s="455"/>
    </row>
    <row r="157" spans="3:21">
      <c r="C157" s="455"/>
      <c r="D157" s="455"/>
      <c r="E157" s="455"/>
      <c r="F157" s="455"/>
      <c r="G157" s="455"/>
      <c r="H157" s="455"/>
      <c r="I157" s="455"/>
      <c r="J157" s="455"/>
      <c r="K157" s="455"/>
      <c r="L157" s="455"/>
      <c r="M157" s="455"/>
      <c r="N157" s="455"/>
      <c r="O157" s="455"/>
      <c r="P157" s="455"/>
      <c r="Q157" s="455"/>
      <c r="R157" s="455"/>
      <c r="S157" s="455"/>
      <c r="T157" s="455"/>
      <c r="U157" s="455"/>
    </row>
    <row r="158" spans="3:21">
      <c r="C158" s="455"/>
      <c r="D158" s="455"/>
      <c r="E158" s="455"/>
      <c r="F158" s="455"/>
      <c r="G158" s="455"/>
      <c r="H158" s="455"/>
      <c r="I158" s="455"/>
      <c r="J158" s="455"/>
      <c r="K158" s="455"/>
      <c r="L158" s="455"/>
      <c r="M158" s="455"/>
      <c r="N158" s="455"/>
      <c r="O158" s="455"/>
      <c r="P158" s="455"/>
      <c r="Q158" s="455"/>
      <c r="R158" s="455"/>
      <c r="S158" s="455"/>
      <c r="T158" s="455"/>
      <c r="U158" s="455"/>
    </row>
    <row r="159" spans="3:21">
      <c r="C159" s="455"/>
      <c r="D159" s="455"/>
      <c r="E159" s="455"/>
      <c r="F159" s="455"/>
      <c r="G159" s="455"/>
      <c r="H159" s="455"/>
      <c r="I159" s="455"/>
      <c r="J159" s="455"/>
      <c r="K159" s="455"/>
      <c r="L159" s="455"/>
      <c r="M159" s="455"/>
      <c r="N159" s="455"/>
      <c r="O159" s="455"/>
      <c r="P159" s="455"/>
      <c r="Q159" s="455"/>
      <c r="R159" s="455"/>
      <c r="S159" s="455"/>
      <c r="T159" s="455"/>
      <c r="U159" s="455"/>
    </row>
    <row r="160" spans="3:21">
      <c r="C160" s="455"/>
      <c r="D160" s="455"/>
      <c r="E160" s="455"/>
      <c r="F160" s="455"/>
      <c r="G160" s="455"/>
      <c r="H160" s="455"/>
      <c r="I160" s="455"/>
      <c r="J160" s="455"/>
      <c r="K160" s="455"/>
      <c r="L160" s="455"/>
      <c r="M160" s="455"/>
      <c r="N160" s="455"/>
      <c r="O160" s="455"/>
      <c r="P160" s="455"/>
      <c r="Q160" s="455"/>
      <c r="R160" s="455"/>
      <c r="S160" s="455"/>
      <c r="T160" s="455"/>
      <c r="U160" s="455"/>
    </row>
    <row r="161" spans="3:21">
      <c r="C161" s="455"/>
      <c r="D161" s="455"/>
      <c r="E161" s="455"/>
      <c r="F161" s="455"/>
      <c r="G161" s="455"/>
      <c r="H161" s="455"/>
      <c r="I161" s="455"/>
      <c r="J161" s="455"/>
      <c r="K161" s="455"/>
      <c r="L161" s="455"/>
      <c r="M161" s="455"/>
      <c r="N161" s="455"/>
      <c r="O161" s="455"/>
      <c r="P161" s="455"/>
      <c r="Q161" s="455"/>
      <c r="R161" s="455"/>
      <c r="S161" s="455"/>
      <c r="T161" s="455"/>
      <c r="U161" s="455"/>
    </row>
    <row r="162" spans="3:21">
      <c r="C162" s="455"/>
      <c r="D162" s="455"/>
      <c r="E162" s="455"/>
      <c r="F162" s="455"/>
      <c r="G162" s="455"/>
      <c r="H162" s="455"/>
      <c r="I162" s="455"/>
      <c r="J162" s="455"/>
      <c r="K162" s="455"/>
      <c r="L162" s="455"/>
      <c r="M162" s="455"/>
      <c r="N162" s="455"/>
      <c r="O162" s="455"/>
      <c r="P162" s="455"/>
      <c r="Q162" s="455"/>
      <c r="R162" s="455"/>
      <c r="S162" s="455"/>
      <c r="T162" s="455"/>
      <c r="U162" s="455"/>
    </row>
    <row r="163" spans="3:21">
      <c r="C163" s="455"/>
      <c r="D163" s="455"/>
      <c r="E163" s="455"/>
      <c r="F163" s="455"/>
      <c r="G163" s="455"/>
      <c r="H163" s="455"/>
      <c r="I163" s="455"/>
      <c r="J163" s="455"/>
      <c r="K163" s="455"/>
      <c r="L163" s="455"/>
      <c r="M163" s="455"/>
      <c r="N163" s="455"/>
      <c r="O163" s="455"/>
      <c r="P163" s="455"/>
      <c r="Q163" s="455"/>
      <c r="R163" s="455"/>
      <c r="S163" s="455"/>
      <c r="T163" s="455"/>
      <c r="U163" s="455"/>
    </row>
    <row r="164" spans="3:21">
      <c r="C164" s="455"/>
      <c r="D164" s="455"/>
      <c r="E164" s="455"/>
      <c r="F164" s="455"/>
      <c r="G164" s="455"/>
      <c r="H164" s="455"/>
      <c r="I164" s="455"/>
      <c r="J164" s="455"/>
      <c r="K164" s="455"/>
      <c r="L164" s="455"/>
      <c r="M164" s="455"/>
      <c r="N164" s="455"/>
      <c r="O164" s="455"/>
      <c r="P164" s="455"/>
      <c r="Q164" s="455"/>
      <c r="R164" s="455"/>
      <c r="S164" s="455"/>
      <c r="T164" s="455"/>
      <c r="U164" s="455"/>
    </row>
    <row r="165" spans="3:21">
      <c r="C165" s="455"/>
      <c r="D165" s="455"/>
      <c r="E165" s="455"/>
      <c r="F165" s="455"/>
      <c r="G165" s="455"/>
      <c r="H165" s="455"/>
      <c r="I165" s="455"/>
      <c r="J165" s="455"/>
      <c r="K165" s="455"/>
      <c r="L165" s="455"/>
      <c r="M165" s="455"/>
      <c r="N165" s="455"/>
      <c r="O165" s="455"/>
      <c r="P165" s="455"/>
      <c r="Q165" s="455"/>
      <c r="R165" s="455"/>
      <c r="S165" s="455"/>
      <c r="T165" s="455"/>
      <c r="U165" s="455"/>
    </row>
    <row r="166" spans="3:21">
      <c r="C166" s="455"/>
      <c r="D166" s="455"/>
      <c r="E166" s="455"/>
      <c r="F166" s="455"/>
      <c r="G166" s="455"/>
      <c r="H166" s="455"/>
      <c r="I166" s="455"/>
      <c r="J166" s="455"/>
      <c r="K166" s="455"/>
      <c r="L166" s="455"/>
      <c r="M166" s="455"/>
      <c r="N166" s="455"/>
      <c r="O166" s="455"/>
      <c r="P166" s="455"/>
      <c r="Q166" s="455"/>
      <c r="R166" s="455"/>
      <c r="S166" s="455"/>
      <c r="T166" s="455"/>
      <c r="U166" s="455"/>
    </row>
    <row r="167" spans="3:21">
      <c r="C167" s="455"/>
      <c r="D167" s="455"/>
      <c r="E167" s="455"/>
      <c r="F167" s="455"/>
      <c r="G167" s="455"/>
      <c r="H167" s="455"/>
      <c r="I167" s="455"/>
      <c r="J167" s="455"/>
      <c r="K167" s="455"/>
      <c r="L167" s="455"/>
      <c r="M167" s="455"/>
      <c r="N167" s="455"/>
      <c r="O167" s="455"/>
      <c r="P167" s="455"/>
      <c r="Q167" s="455"/>
      <c r="R167" s="455"/>
      <c r="S167" s="455"/>
      <c r="T167" s="455"/>
      <c r="U167" s="455"/>
    </row>
    <row r="168" spans="3:21">
      <c r="C168" s="455"/>
      <c r="D168" s="455"/>
      <c r="E168" s="455"/>
      <c r="F168" s="455"/>
      <c r="G168" s="455"/>
      <c r="H168" s="455"/>
      <c r="I168" s="455"/>
      <c r="J168" s="455"/>
      <c r="K168" s="455"/>
      <c r="L168" s="455"/>
      <c r="M168" s="455"/>
      <c r="N168" s="455"/>
      <c r="O168" s="455"/>
      <c r="P168" s="455"/>
      <c r="Q168" s="455"/>
      <c r="R168" s="455"/>
      <c r="S168" s="455"/>
      <c r="T168" s="455"/>
      <c r="U168" s="455"/>
    </row>
    <row r="169" spans="3:21">
      <c r="C169" s="455"/>
      <c r="D169" s="455"/>
      <c r="E169" s="455"/>
      <c r="F169" s="455"/>
      <c r="G169" s="455"/>
      <c r="H169" s="455"/>
      <c r="I169" s="455"/>
      <c r="J169" s="455"/>
      <c r="K169" s="455"/>
      <c r="L169" s="455"/>
      <c r="M169" s="455"/>
      <c r="N169" s="455"/>
      <c r="O169" s="455"/>
      <c r="P169" s="455"/>
      <c r="Q169" s="455"/>
      <c r="R169" s="455"/>
      <c r="S169" s="455"/>
      <c r="T169" s="455"/>
      <c r="U169" s="455"/>
    </row>
    <row r="170" spans="3:21">
      <c r="C170" s="455"/>
      <c r="D170" s="455"/>
      <c r="E170" s="455"/>
      <c r="F170" s="455"/>
      <c r="G170" s="455"/>
      <c r="H170" s="455"/>
      <c r="I170" s="455"/>
      <c r="J170" s="455"/>
      <c r="K170" s="455"/>
      <c r="L170" s="455"/>
      <c r="M170" s="455"/>
      <c r="N170" s="455"/>
      <c r="O170" s="455"/>
      <c r="P170" s="455"/>
      <c r="Q170" s="455"/>
      <c r="R170" s="455"/>
      <c r="S170" s="455"/>
      <c r="T170" s="455"/>
      <c r="U170" s="455"/>
    </row>
    <row r="171" spans="3:21">
      <c r="C171" s="455"/>
      <c r="D171" s="455"/>
      <c r="E171" s="455"/>
      <c r="F171" s="455"/>
      <c r="G171" s="455"/>
      <c r="H171" s="455"/>
      <c r="I171" s="455"/>
      <c r="J171" s="455"/>
      <c r="K171" s="455"/>
      <c r="L171" s="455"/>
      <c r="M171" s="455"/>
      <c r="N171" s="455"/>
      <c r="O171" s="455"/>
      <c r="P171" s="455"/>
      <c r="Q171" s="455"/>
      <c r="R171" s="455"/>
      <c r="S171" s="455"/>
      <c r="T171" s="455"/>
      <c r="U171" s="455"/>
    </row>
    <row r="172" spans="3:21">
      <c r="C172" s="455"/>
      <c r="D172" s="455"/>
      <c r="E172" s="455"/>
      <c r="F172" s="455"/>
      <c r="G172" s="455"/>
      <c r="H172" s="455"/>
      <c r="I172" s="455"/>
      <c r="J172" s="455"/>
      <c r="K172" s="455"/>
      <c r="L172" s="455"/>
      <c r="M172" s="455"/>
      <c r="N172" s="455"/>
      <c r="O172" s="455"/>
      <c r="P172" s="455"/>
      <c r="Q172" s="455"/>
      <c r="R172" s="455"/>
      <c r="S172" s="455"/>
      <c r="T172" s="455"/>
      <c r="U172" s="455"/>
    </row>
    <row r="173" spans="3:21">
      <c r="C173" s="455"/>
      <c r="D173" s="455"/>
      <c r="E173" s="455"/>
      <c r="F173" s="455"/>
      <c r="G173" s="455"/>
      <c r="H173" s="455"/>
      <c r="I173" s="455"/>
      <c r="J173" s="455"/>
      <c r="K173" s="455"/>
      <c r="L173" s="455"/>
      <c r="M173" s="455"/>
      <c r="N173" s="455"/>
      <c r="O173" s="455"/>
      <c r="P173" s="455"/>
      <c r="Q173" s="455"/>
      <c r="R173" s="455"/>
      <c r="S173" s="455"/>
      <c r="T173" s="455"/>
      <c r="U173" s="455"/>
    </row>
    <row r="174" spans="3:21">
      <c r="C174" s="455"/>
      <c r="D174" s="455"/>
      <c r="E174" s="455"/>
      <c r="F174" s="455"/>
      <c r="G174" s="455"/>
      <c r="H174" s="455"/>
      <c r="I174" s="455"/>
      <c r="J174" s="455"/>
      <c r="K174" s="455"/>
      <c r="L174" s="455"/>
      <c r="M174" s="455"/>
      <c r="N174" s="455"/>
      <c r="O174" s="455"/>
      <c r="P174" s="455"/>
      <c r="Q174" s="455"/>
      <c r="R174" s="455"/>
      <c r="S174" s="455"/>
      <c r="T174" s="455"/>
      <c r="U174" s="455"/>
    </row>
    <row r="175" spans="3:21">
      <c r="C175" s="455"/>
      <c r="D175" s="455"/>
      <c r="E175" s="455"/>
      <c r="F175" s="455"/>
      <c r="G175" s="455"/>
      <c r="H175" s="455"/>
      <c r="I175" s="455"/>
      <c r="J175" s="455"/>
      <c r="K175" s="455"/>
      <c r="L175" s="455"/>
      <c r="M175" s="455"/>
      <c r="N175" s="455"/>
      <c r="O175" s="455"/>
      <c r="P175" s="455"/>
      <c r="Q175" s="455"/>
      <c r="R175" s="455"/>
      <c r="S175" s="455"/>
      <c r="T175" s="455"/>
      <c r="U175" s="455"/>
    </row>
    <row r="176" spans="3:21">
      <c r="C176" s="455"/>
      <c r="D176" s="455"/>
      <c r="E176" s="455"/>
      <c r="F176" s="455"/>
      <c r="G176" s="455"/>
      <c r="H176" s="455"/>
      <c r="I176" s="455"/>
      <c r="J176" s="455"/>
      <c r="K176" s="455"/>
      <c r="L176" s="455"/>
      <c r="M176" s="455"/>
      <c r="N176" s="455"/>
      <c r="O176" s="455"/>
      <c r="P176" s="455"/>
      <c r="Q176" s="455"/>
      <c r="R176" s="455"/>
      <c r="S176" s="455"/>
      <c r="T176" s="455"/>
      <c r="U176" s="455"/>
    </row>
    <row r="177" spans="3:21">
      <c r="C177" s="455"/>
      <c r="D177" s="455"/>
      <c r="E177" s="455"/>
      <c r="F177" s="455"/>
      <c r="G177" s="455"/>
      <c r="H177" s="455"/>
      <c r="I177" s="455"/>
      <c r="J177" s="455"/>
      <c r="K177" s="455"/>
      <c r="L177" s="455"/>
      <c r="M177" s="455"/>
      <c r="N177" s="455"/>
      <c r="O177" s="455"/>
      <c r="P177" s="455"/>
      <c r="Q177" s="455"/>
      <c r="R177" s="455"/>
      <c r="S177" s="455"/>
      <c r="T177" s="455"/>
      <c r="U177" s="455"/>
    </row>
    <row r="178" spans="3:21">
      <c r="C178" s="455"/>
      <c r="D178" s="455"/>
      <c r="E178" s="455"/>
      <c r="F178" s="455"/>
      <c r="G178" s="455"/>
      <c r="H178" s="455"/>
      <c r="I178" s="455"/>
      <c r="J178" s="455"/>
      <c r="K178" s="455"/>
      <c r="L178" s="455"/>
      <c r="M178" s="455"/>
      <c r="N178" s="455"/>
      <c r="O178" s="455"/>
      <c r="P178" s="455"/>
      <c r="Q178" s="455"/>
      <c r="R178" s="455"/>
      <c r="S178" s="455"/>
      <c r="T178" s="455"/>
      <c r="U178" s="455"/>
    </row>
    <row r="179" spans="3:21">
      <c r="C179" s="455"/>
      <c r="D179" s="455"/>
      <c r="E179" s="455"/>
      <c r="F179" s="455"/>
      <c r="G179" s="455"/>
      <c r="H179" s="455"/>
      <c r="I179" s="455"/>
      <c r="J179" s="455"/>
      <c r="K179" s="455"/>
      <c r="L179" s="455"/>
      <c r="M179" s="455"/>
      <c r="N179" s="455"/>
      <c r="O179" s="455"/>
      <c r="P179" s="455"/>
      <c r="Q179" s="455"/>
      <c r="R179" s="455"/>
      <c r="S179" s="455"/>
      <c r="T179" s="455"/>
      <c r="U179" s="455"/>
    </row>
    <row r="180" spans="3:21">
      <c r="C180" s="455"/>
      <c r="D180" s="455"/>
      <c r="E180" s="455"/>
      <c r="F180" s="455"/>
      <c r="G180" s="455"/>
      <c r="H180" s="455"/>
      <c r="I180" s="455"/>
      <c r="J180" s="455"/>
      <c r="K180" s="455"/>
      <c r="L180" s="455"/>
      <c r="M180" s="455"/>
      <c r="N180" s="455"/>
      <c r="O180" s="455"/>
      <c r="P180" s="455"/>
      <c r="Q180" s="455"/>
      <c r="R180" s="455"/>
      <c r="S180" s="455"/>
      <c r="T180" s="455"/>
      <c r="U180" s="455"/>
    </row>
    <row r="181" spans="3:21">
      <c r="C181" s="455"/>
      <c r="D181" s="455"/>
      <c r="E181" s="455"/>
      <c r="F181" s="455"/>
      <c r="G181" s="455"/>
      <c r="H181" s="455"/>
      <c r="I181" s="455"/>
      <c r="J181" s="455"/>
      <c r="K181" s="455"/>
      <c r="L181" s="455"/>
      <c r="M181" s="455"/>
      <c r="N181" s="455"/>
      <c r="O181" s="455"/>
      <c r="P181" s="455"/>
      <c r="Q181" s="455"/>
      <c r="R181" s="455"/>
      <c r="S181" s="455"/>
      <c r="T181" s="455"/>
      <c r="U181" s="455"/>
    </row>
    <row r="182" spans="3:21">
      <c r="C182" s="455"/>
      <c r="D182" s="455"/>
      <c r="E182" s="455"/>
      <c r="F182" s="455"/>
      <c r="G182" s="455"/>
      <c r="H182" s="455"/>
      <c r="I182" s="455"/>
      <c r="J182" s="455"/>
      <c r="K182" s="455"/>
      <c r="L182" s="455"/>
      <c r="M182" s="455"/>
      <c r="N182" s="455"/>
      <c r="O182" s="455"/>
      <c r="P182" s="455"/>
      <c r="Q182" s="455"/>
      <c r="R182" s="455"/>
      <c r="S182" s="455"/>
      <c r="T182" s="455"/>
      <c r="U182" s="455"/>
    </row>
    <row r="183" spans="3:21">
      <c r="C183" s="455"/>
      <c r="D183" s="455"/>
      <c r="E183" s="455"/>
      <c r="F183" s="455"/>
      <c r="G183" s="455"/>
      <c r="H183" s="455"/>
      <c r="I183" s="455"/>
      <c r="J183" s="455"/>
      <c r="K183" s="455"/>
      <c r="L183" s="455"/>
      <c r="M183" s="455"/>
      <c r="N183" s="455"/>
      <c r="O183" s="455"/>
      <c r="P183" s="455"/>
      <c r="Q183" s="455"/>
      <c r="R183" s="455"/>
      <c r="S183" s="455"/>
      <c r="T183" s="455"/>
      <c r="U183" s="455"/>
    </row>
    <row r="184" spans="3:21">
      <c r="C184" s="455"/>
      <c r="D184" s="455"/>
      <c r="E184" s="455"/>
      <c r="F184" s="455"/>
      <c r="G184" s="455"/>
      <c r="H184" s="455"/>
      <c r="I184" s="455"/>
      <c r="J184" s="455"/>
      <c r="K184" s="455"/>
      <c r="L184" s="455"/>
      <c r="M184" s="455"/>
      <c r="N184" s="455"/>
      <c r="O184" s="455"/>
      <c r="P184" s="455"/>
      <c r="Q184" s="455"/>
      <c r="R184" s="455"/>
      <c r="S184" s="455"/>
      <c r="T184" s="455"/>
      <c r="U184" s="455"/>
    </row>
    <row r="185" spans="3:21">
      <c r="C185" s="455"/>
      <c r="D185" s="455"/>
      <c r="E185" s="455"/>
      <c r="F185" s="455"/>
      <c r="G185" s="455"/>
      <c r="H185" s="455"/>
      <c r="I185" s="455"/>
      <c r="J185" s="455"/>
      <c r="K185" s="455"/>
      <c r="L185" s="455"/>
      <c r="M185" s="455"/>
      <c r="N185" s="455"/>
      <c r="O185" s="455"/>
      <c r="P185" s="455"/>
      <c r="Q185" s="455"/>
      <c r="R185" s="455"/>
      <c r="S185" s="455"/>
      <c r="T185" s="455"/>
      <c r="U185" s="455"/>
    </row>
    <row r="186" spans="3:21">
      <c r="C186" s="455"/>
      <c r="D186" s="455"/>
      <c r="E186" s="455"/>
      <c r="F186" s="455"/>
      <c r="G186" s="455"/>
      <c r="H186" s="455"/>
      <c r="I186" s="455"/>
      <c r="J186" s="455"/>
      <c r="K186" s="455"/>
      <c r="L186" s="455"/>
      <c r="M186" s="455"/>
      <c r="N186" s="455"/>
      <c r="O186" s="455"/>
      <c r="P186" s="455"/>
      <c r="Q186" s="455"/>
      <c r="R186" s="455"/>
      <c r="S186" s="455"/>
      <c r="T186" s="455"/>
      <c r="U186" s="455"/>
    </row>
    <row r="187" spans="3:21">
      <c r="C187" s="455"/>
      <c r="D187" s="455"/>
      <c r="E187" s="455"/>
      <c r="F187" s="455"/>
      <c r="G187" s="455"/>
      <c r="H187" s="455"/>
      <c r="I187" s="455"/>
      <c r="J187" s="455"/>
      <c r="K187" s="455"/>
      <c r="L187" s="455"/>
      <c r="M187" s="455"/>
      <c r="N187" s="455"/>
      <c r="O187" s="455"/>
      <c r="P187" s="455"/>
      <c r="Q187" s="455"/>
      <c r="R187" s="455"/>
      <c r="S187" s="455"/>
      <c r="T187" s="455"/>
      <c r="U187" s="455"/>
    </row>
    <row r="188" spans="3:21">
      <c r="C188" s="455"/>
      <c r="D188" s="455"/>
      <c r="E188" s="455"/>
      <c r="F188" s="455"/>
      <c r="G188" s="455"/>
      <c r="H188" s="455"/>
      <c r="I188" s="455"/>
      <c r="J188" s="455"/>
      <c r="K188" s="455"/>
      <c r="L188" s="455"/>
      <c r="M188" s="455"/>
      <c r="N188" s="455"/>
      <c r="O188" s="455"/>
      <c r="P188" s="455"/>
      <c r="Q188" s="455"/>
      <c r="R188" s="455"/>
      <c r="S188" s="455"/>
      <c r="T188" s="455"/>
      <c r="U188" s="455"/>
    </row>
    <row r="189" spans="3:21">
      <c r="C189" s="455"/>
      <c r="D189" s="455"/>
      <c r="E189" s="455"/>
      <c r="F189" s="455"/>
      <c r="G189" s="455"/>
      <c r="H189" s="455"/>
      <c r="I189" s="455"/>
      <c r="J189" s="455"/>
      <c r="K189" s="455"/>
      <c r="L189" s="455"/>
      <c r="M189" s="455"/>
      <c r="N189" s="455"/>
      <c r="O189" s="455"/>
      <c r="P189" s="455"/>
      <c r="Q189" s="455"/>
      <c r="R189" s="455"/>
      <c r="S189" s="455"/>
      <c r="T189" s="455"/>
      <c r="U189" s="455"/>
    </row>
    <row r="190" spans="3:21">
      <c r="C190" s="455"/>
      <c r="D190" s="455"/>
      <c r="E190" s="455"/>
      <c r="F190" s="455"/>
      <c r="G190" s="455"/>
      <c r="H190" s="455"/>
      <c r="I190" s="455"/>
      <c r="J190" s="455"/>
      <c r="K190" s="455"/>
      <c r="L190" s="455"/>
      <c r="M190" s="455"/>
      <c r="N190" s="455"/>
      <c r="O190" s="455"/>
      <c r="P190" s="455"/>
      <c r="Q190" s="455"/>
      <c r="R190" s="455"/>
      <c r="S190" s="455"/>
      <c r="T190" s="455"/>
      <c r="U190" s="455"/>
    </row>
    <row r="191" spans="3:21">
      <c r="C191" s="455"/>
      <c r="D191" s="455"/>
      <c r="E191" s="455"/>
      <c r="F191" s="455"/>
      <c r="G191" s="455"/>
      <c r="H191" s="455"/>
      <c r="I191" s="455"/>
      <c r="J191" s="455"/>
      <c r="K191" s="455"/>
      <c r="L191" s="455"/>
      <c r="M191" s="455"/>
      <c r="N191" s="455"/>
      <c r="O191" s="455"/>
      <c r="P191" s="455"/>
      <c r="Q191" s="455"/>
      <c r="R191" s="455"/>
      <c r="S191" s="455"/>
      <c r="T191" s="455"/>
      <c r="U191" s="455"/>
    </row>
    <row r="192" spans="3:21">
      <c r="C192" s="455"/>
      <c r="D192" s="455"/>
      <c r="E192" s="455"/>
      <c r="F192" s="455"/>
      <c r="G192" s="455"/>
      <c r="H192" s="455"/>
      <c r="I192" s="455"/>
      <c r="J192" s="455"/>
      <c r="K192" s="455"/>
      <c r="L192" s="455"/>
      <c r="M192" s="455"/>
      <c r="N192" s="455"/>
      <c r="O192" s="455"/>
      <c r="P192" s="455"/>
      <c r="Q192" s="455"/>
      <c r="R192" s="455"/>
      <c r="S192" s="455"/>
      <c r="T192" s="455"/>
      <c r="U192" s="455"/>
    </row>
    <row r="193" spans="3:21">
      <c r="C193" s="455"/>
      <c r="D193" s="455"/>
      <c r="E193" s="455"/>
      <c r="F193" s="455"/>
      <c r="G193" s="455"/>
      <c r="H193" s="455"/>
      <c r="I193" s="455"/>
      <c r="J193" s="455"/>
      <c r="K193" s="455"/>
      <c r="L193" s="455"/>
      <c r="M193" s="455"/>
      <c r="N193" s="455"/>
      <c r="O193" s="455"/>
      <c r="P193" s="455"/>
      <c r="Q193" s="455"/>
      <c r="R193" s="455"/>
      <c r="S193" s="455"/>
      <c r="T193" s="455"/>
      <c r="U193" s="455"/>
    </row>
    <row r="194" spans="3:21">
      <c r="C194" s="455"/>
      <c r="D194" s="455"/>
      <c r="E194" s="455"/>
      <c r="F194" s="455"/>
      <c r="G194" s="455"/>
      <c r="H194" s="455"/>
      <c r="I194" s="455"/>
      <c r="J194" s="455"/>
      <c r="K194" s="455"/>
      <c r="L194" s="455"/>
      <c r="M194" s="455"/>
      <c r="N194" s="455"/>
      <c r="O194" s="455"/>
      <c r="P194" s="455"/>
      <c r="Q194" s="455"/>
      <c r="R194" s="455"/>
      <c r="S194" s="455"/>
      <c r="T194" s="455"/>
      <c r="U194" s="455"/>
    </row>
    <row r="195" spans="3:21">
      <c r="C195" s="455"/>
      <c r="D195" s="455"/>
      <c r="E195" s="455"/>
      <c r="F195" s="455"/>
      <c r="G195" s="455"/>
      <c r="H195" s="455"/>
      <c r="I195" s="455"/>
      <c r="J195" s="455"/>
      <c r="K195" s="455"/>
      <c r="L195" s="455"/>
      <c r="M195" s="455"/>
      <c r="N195" s="455"/>
      <c r="O195" s="455"/>
      <c r="P195" s="455"/>
      <c r="Q195" s="455"/>
      <c r="R195" s="455"/>
      <c r="S195" s="455"/>
      <c r="T195" s="455"/>
      <c r="U195" s="455"/>
    </row>
    <row r="196" spans="3:21">
      <c r="C196" s="455"/>
      <c r="D196" s="455"/>
      <c r="E196" s="455"/>
      <c r="F196" s="455"/>
      <c r="G196" s="455"/>
      <c r="H196" s="455"/>
      <c r="I196" s="455"/>
      <c r="J196" s="455"/>
      <c r="K196" s="455"/>
      <c r="L196" s="455"/>
      <c r="M196" s="455"/>
      <c r="N196" s="455"/>
      <c r="O196" s="455"/>
      <c r="P196" s="455"/>
      <c r="Q196" s="455"/>
      <c r="R196" s="455"/>
      <c r="S196" s="455"/>
      <c r="T196" s="455"/>
      <c r="U196" s="455"/>
    </row>
    <row r="197" spans="3:21">
      <c r="C197" s="455"/>
      <c r="D197" s="455"/>
      <c r="E197" s="455"/>
      <c r="F197" s="455"/>
      <c r="G197" s="455"/>
      <c r="H197" s="455"/>
      <c r="I197" s="455"/>
      <c r="J197" s="455"/>
      <c r="K197" s="455"/>
      <c r="L197" s="455"/>
      <c r="M197" s="455"/>
      <c r="N197" s="455"/>
      <c r="O197" s="455"/>
      <c r="P197" s="455"/>
      <c r="Q197" s="455"/>
      <c r="R197" s="455"/>
      <c r="S197" s="455"/>
      <c r="T197" s="455"/>
      <c r="U197" s="455"/>
    </row>
    <row r="198" spans="3:21">
      <c r="C198" s="455"/>
      <c r="D198" s="455"/>
      <c r="E198" s="455"/>
      <c r="F198" s="455"/>
      <c r="G198" s="455"/>
      <c r="H198" s="455"/>
      <c r="I198" s="455"/>
      <c r="J198" s="455"/>
      <c r="K198" s="455"/>
      <c r="L198" s="455"/>
      <c r="M198" s="455"/>
      <c r="N198" s="455"/>
      <c r="O198" s="455"/>
      <c r="P198" s="455"/>
      <c r="Q198" s="455"/>
      <c r="R198" s="455"/>
      <c r="S198" s="455"/>
      <c r="T198" s="455"/>
      <c r="U198" s="455"/>
    </row>
    <row r="199" spans="3:21">
      <c r="C199" s="455"/>
      <c r="D199" s="455"/>
      <c r="E199" s="455"/>
      <c r="F199" s="455"/>
      <c r="G199" s="455"/>
      <c r="H199" s="455"/>
      <c r="I199" s="455"/>
      <c r="J199" s="455"/>
      <c r="K199" s="455"/>
      <c r="L199" s="455"/>
      <c r="M199" s="455"/>
      <c r="N199" s="455"/>
      <c r="O199" s="455"/>
      <c r="P199" s="455"/>
      <c r="Q199" s="455"/>
      <c r="R199" s="455"/>
      <c r="S199" s="455"/>
      <c r="T199" s="455"/>
      <c r="U199" s="455"/>
    </row>
    <row r="200" spans="3:21">
      <c r="C200" s="455"/>
      <c r="D200" s="455"/>
      <c r="E200" s="455"/>
      <c r="F200" s="455"/>
      <c r="G200" s="455"/>
      <c r="H200" s="455"/>
      <c r="I200" s="455"/>
      <c r="J200" s="455"/>
      <c r="K200" s="455"/>
      <c r="L200" s="455"/>
      <c r="M200" s="455"/>
      <c r="N200" s="455"/>
      <c r="O200" s="455"/>
      <c r="P200" s="455"/>
      <c r="Q200" s="455"/>
      <c r="R200" s="455"/>
      <c r="S200" s="455"/>
      <c r="T200" s="455"/>
      <c r="U200" s="455"/>
    </row>
    <row r="201" spans="3:21">
      <c r="C201" s="455"/>
      <c r="D201" s="455"/>
      <c r="E201" s="455"/>
      <c r="F201" s="455"/>
      <c r="G201" s="455"/>
      <c r="H201" s="455"/>
      <c r="I201" s="455"/>
      <c r="J201" s="455"/>
      <c r="K201" s="455"/>
      <c r="L201" s="455"/>
      <c r="M201" s="455"/>
      <c r="N201" s="455"/>
      <c r="O201" s="455"/>
      <c r="P201" s="455"/>
      <c r="Q201" s="455"/>
      <c r="R201" s="455"/>
      <c r="S201" s="455"/>
      <c r="T201" s="455"/>
      <c r="U201" s="455"/>
    </row>
    <row r="202" spans="3:21">
      <c r="C202" s="455"/>
      <c r="D202" s="455"/>
      <c r="E202" s="455"/>
      <c r="F202" s="455"/>
      <c r="G202" s="455"/>
      <c r="H202" s="455"/>
      <c r="I202" s="455"/>
      <c r="J202" s="455"/>
      <c r="K202" s="455"/>
      <c r="L202" s="455"/>
      <c r="M202" s="455"/>
      <c r="N202" s="455"/>
      <c r="O202" s="455"/>
      <c r="P202" s="455"/>
      <c r="Q202" s="455"/>
      <c r="R202" s="455"/>
      <c r="S202" s="455"/>
      <c r="T202" s="455"/>
      <c r="U202" s="455"/>
    </row>
    <row r="203" spans="3:21">
      <c r="C203" s="455"/>
      <c r="D203" s="455"/>
      <c r="E203" s="455"/>
      <c r="F203" s="455"/>
      <c r="G203" s="455"/>
      <c r="H203" s="455"/>
      <c r="I203" s="455"/>
      <c r="J203" s="455"/>
      <c r="K203" s="455"/>
      <c r="L203" s="455"/>
      <c r="M203" s="455"/>
      <c r="N203" s="455"/>
      <c r="O203" s="455"/>
      <c r="P203" s="455"/>
      <c r="Q203" s="455"/>
      <c r="R203" s="455"/>
      <c r="S203" s="455"/>
      <c r="T203" s="455"/>
      <c r="U203" s="455"/>
    </row>
    <row r="204" spans="3:21">
      <c r="C204" s="455"/>
      <c r="D204" s="455"/>
      <c r="E204" s="455"/>
      <c r="F204" s="455"/>
      <c r="G204" s="455"/>
      <c r="H204" s="455"/>
      <c r="I204" s="455"/>
      <c r="J204" s="455"/>
      <c r="K204" s="455"/>
      <c r="L204" s="455"/>
      <c r="M204" s="455"/>
      <c r="N204" s="455"/>
      <c r="O204" s="455"/>
      <c r="P204" s="455"/>
      <c r="Q204" s="455"/>
      <c r="R204" s="455"/>
      <c r="S204" s="455"/>
      <c r="T204" s="455"/>
      <c r="U204" s="455"/>
    </row>
    <row r="205" spans="3:21">
      <c r="C205" s="455"/>
      <c r="D205" s="455"/>
      <c r="E205" s="455"/>
      <c r="F205" s="455"/>
      <c r="G205" s="455"/>
      <c r="H205" s="455"/>
      <c r="I205" s="455"/>
      <c r="J205" s="455"/>
      <c r="K205" s="455"/>
      <c r="L205" s="455"/>
      <c r="M205" s="455"/>
      <c r="N205" s="455"/>
      <c r="O205" s="455"/>
      <c r="P205" s="455"/>
      <c r="Q205" s="455"/>
      <c r="R205" s="455"/>
      <c r="S205" s="455"/>
      <c r="T205" s="455"/>
      <c r="U205" s="455"/>
    </row>
    <row r="206" spans="3:21">
      <c r="C206" s="455"/>
      <c r="D206" s="455"/>
      <c r="E206" s="455"/>
      <c r="F206" s="455"/>
      <c r="G206" s="455"/>
      <c r="H206" s="455"/>
      <c r="I206" s="455"/>
      <c r="J206" s="455"/>
      <c r="K206" s="455"/>
      <c r="L206" s="455"/>
      <c r="M206" s="455"/>
      <c r="N206" s="455"/>
      <c r="O206" s="455"/>
      <c r="P206" s="455"/>
      <c r="Q206" s="455"/>
      <c r="R206" s="455"/>
      <c r="S206" s="455"/>
      <c r="T206" s="455"/>
      <c r="U206" s="455"/>
    </row>
    <row r="207" spans="3:21">
      <c r="C207" s="455"/>
      <c r="D207" s="455"/>
      <c r="E207" s="455"/>
      <c r="F207" s="455"/>
      <c r="G207" s="455"/>
      <c r="H207" s="455"/>
      <c r="I207" s="455"/>
      <c r="J207" s="455"/>
      <c r="K207" s="455"/>
      <c r="L207" s="455"/>
      <c r="M207" s="455"/>
      <c r="N207" s="455"/>
      <c r="O207" s="455"/>
      <c r="P207" s="455"/>
      <c r="Q207" s="455"/>
      <c r="R207" s="455"/>
      <c r="S207" s="455"/>
      <c r="T207" s="455"/>
      <c r="U207" s="455"/>
    </row>
    <row r="208" spans="3:21">
      <c r="C208" s="455"/>
      <c r="D208" s="455"/>
      <c r="E208" s="455"/>
      <c r="F208" s="455"/>
      <c r="G208" s="455"/>
      <c r="H208" s="455"/>
      <c r="I208" s="455"/>
      <c r="J208" s="455"/>
      <c r="K208" s="455"/>
      <c r="L208" s="455"/>
      <c r="M208" s="455"/>
      <c r="N208" s="455"/>
      <c r="O208" s="455"/>
      <c r="P208" s="455"/>
      <c r="Q208" s="455"/>
      <c r="R208" s="455"/>
      <c r="S208" s="455"/>
      <c r="T208" s="455"/>
      <c r="U208" s="455"/>
    </row>
    <row r="209" spans="3:21">
      <c r="C209" s="455"/>
      <c r="D209" s="455"/>
      <c r="E209" s="455"/>
      <c r="F209" s="455"/>
      <c r="G209" s="455"/>
      <c r="H209" s="455"/>
      <c r="I209" s="455"/>
      <c r="J209" s="455"/>
      <c r="K209" s="455"/>
      <c r="L209" s="455"/>
      <c r="M209" s="455"/>
      <c r="N209" s="455"/>
      <c r="O209" s="455"/>
      <c r="P209" s="455"/>
      <c r="Q209" s="455"/>
      <c r="R209" s="455"/>
      <c r="S209" s="455"/>
      <c r="T209" s="455"/>
      <c r="U209" s="455"/>
    </row>
    <row r="210" spans="3:21">
      <c r="C210" s="455"/>
      <c r="D210" s="455"/>
      <c r="E210" s="455"/>
      <c r="F210" s="455"/>
      <c r="G210" s="455"/>
      <c r="H210" s="455"/>
      <c r="I210" s="455"/>
      <c r="J210" s="455"/>
      <c r="K210" s="455"/>
      <c r="L210" s="455"/>
      <c r="M210" s="455"/>
      <c r="N210" s="455"/>
      <c r="O210" s="455"/>
      <c r="P210" s="455"/>
      <c r="Q210" s="455"/>
      <c r="R210" s="455"/>
      <c r="S210" s="455"/>
      <c r="T210" s="455"/>
      <c r="U210" s="455"/>
    </row>
    <row r="211" spans="3:21">
      <c r="C211" s="455"/>
      <c r="D211" s="455"/>
      <c r="E211" s="455"/>
      <c r="F211" s="455"/>
      <c r="G211" s="455"/>
      <c r="H211" s="455"/>
      <c r="I211" s="455"/>
      <c r="J211" s="455"/>
      <c r="K211" s="455"/>
      <c r="L211" s="455"/>
      <c r="M211" s="455"/>
      <c r="N211" s="455"/>
      <c r="O211" s="455"/>
      <c r="P211" s="455"/>
      <c r="Q211" s="455"/>
      <c r="R211" s="455"/>
      <c r="S211" s="455"/>
      <c r="T211" s="455"/>
      <c r="U211" s="455"/>
    </row>
    <row r="212" spans="3:21">
      <c r="C212" s="455"/>
      <c r="D212" s="455"/>
      <c r="E212" s="455"/>
      <c r="F212" s="455"/>
      <c r="G212" s="455"/>
      <c r="H212" s="455"/>
      <c r="I212" s="455"/>
      <c r="J212" s="455"/>
      <c r="K212" s="455"/>
      <c r="L212" s="455"/>
      <c r="M212" s="455"/>
      <c r="N212" s="455"/>
      <c r="O212" s="455"/>
      <c r="P212" s="455"/>
      <c r="Q212" s="455"/>
      <c r="R212" s="455"/>
      <c r="S212" s="455"/>
      <c r="T212" s="455"/>
      <c r="U212" s="455"/>
    </row>
    <row r="213" spans="3:21">
      <c r="C213" s="455"/>
      <c r="D213" s="455"/>
      <c r="E213" s="455"/>
      <c r="F213" s="455"/>
      <c r="G213" s="455"/>
      <c r="H213" s="455"/>
      <c r="I213" s="455"/>
      <c r="J213" s="455"/>
      <c r="K213" s="455"/>
      <c r="L213" s="455"/>
      <c r="M213" s="455"/>
      <c r="N213" s="455"/>
      <c r="O213" s="455"/>
      <c r="P213" s="455"/>
      <c r="Q213" s="455"/>
      <c r="R213" s="455"/>
      <c r="S213" s="455"/>
      <c r="T213" s="455"/>
      <c r="U213" s="455"/>
    </row>
    <row r="214" spans="3:21">
      <c r="C214" s="455"/>
      <c r="D214" s="455"/>
      <c r="E214" s="455"/>
      <c r="F214" s="455"/>
      <c r="G214" s="455"/>
      <c r="H214" s="455"/>
      <c r="I214" s="455"/>
      <c r="J214" s="455"/>
      <c r="K214" s="455"/>
      <c r="L214" s="455"/>
      <c r="M214" s="455"/>
      <c r="N214" s="455"/>
      <c r="O214" s="455"/>
      <c r="P214" s="455"/>
      <c r="Q214" s="455"/>
      <c r="R214" s="455"/>
      <c r="S214" s="455"/>
      <c r="T214" s="455"/>
      <c r="U214" s="455"/>
    </row>
    <row r="215" spans="3:21">
      <c r="C215" s="455"/>
      <c r="D215" s="455"/>
      <c r="E215" s="455"/>
      <c r="F215" s="455"/>
      <c r="G215" s="455"/>
      <c r="H215" s="455"/>
      <c r="I215" s="455"/>
      <c r="J215" s="455"/>
      <c r="K215" s="455"/>
      <c r="L215" s="455"/>
      <c r="M215" s="455"/>
      <c r="N215" s="455"/>
      <c r="O215" s="455"/>
      <c r="P215" s="455"/>
      <c r="Q215" s="455"/>
      <c r="R215" s="455"/>
      <c r="S215" s="455"/>
      <c r="T215" s="455"/>
      <c r="U215" s="455"/>
    </row>
    <row r="216" spans="3:21">
      <c r="C216" s="455"/>
      <c r="D216" s="455"/>
      <c r="E216" s="455"/>
      <c r="F216" s="455"/>
      <c r="G216" s="455"/>
      <c r="H216" s="455"/>
      <c r="I216" s="455"/>
      <c r="J216" s="455"/>
      <c r="K216" s="455"/>
      <c r="L216" s="455"/>
      <c r="M216" s="455"/>
      <c r="N216" s="455"/>
      <c r="O216" s="455"/>
      <c r="P216" s="455"/>
      <c r="Q216" s="455"/>
      <c r="R216" s="455"/>
      <c r="S216" s="455"/>
      <c r="T216" s="455"/>
      <c r="U216" s="455"/>
    </row>
    <row r="217" spans="3:21">
      <c r="C217" s="455"/>
      <c r="D217" s="455"/>
      <c r="E217" s="455"/>
      <c r="F217" s="455"/>
      <c r="G217" s="455"/>
      <c r="H217" s="455"/>
      <c r="I217" s="455"/>
      <c r="J217" s="455"/>
      <c r="K217" s="455"/>
      <c r="L217" s="455"/>
      <c r="M217" s="455"/>
      <c r="N217" s="455"/>
      <c r="O217" s="455"/>
      <c r="P217" s="455"/>
      <c r="Q217" s="455"/>
      <c r="R217" s="455"/>
      <c r="S217" s="455"/>
      <c r="T217" s="455"/>
      <c r="U217" s="455"/>
    </row>
    <row r="218" spans="3:21">
      <c r="C218" s="455"/>
      <c r="D218" s="455"/>
      <c r="E218" s="455"/>
      <c r="F218" s="455"/>
      <c r="G218" s="455"/>
      <c r="H218" s="455"/>
      <c r="I218" s="455"/>
      <c r="J218" s="455"/>
      <c r="K218" s="455"/>
      <c r="L218" s="455"/>
      <c r="M218" s="455"/>
      <c r="N218" s="455"/>
      <c r="O218" s="455"/>
      <c r="P218" s="455"/>
      <c r="Q218" s="455"/>
      <c r="R218" s="455"/>
      <c r="S218" s="455"/>
      <c r="T218" s="455"/>
      <c r="U218" s="455"/>
    </row>
    <row r="219" spans="3:21">
      <c r="C219" s="455"/>
      <c r="D219" s="455"/>
      <c r="E219" s="455"/>
      <c r="F219" s="455"/>
      <c r="G219" s="455"/>
      <c r="H219" s="455"/>
      <c r="I219" s="455"/>
      <c r="J219" s="455"/>
      <c r="K219" s="455"/>
      <c r="L219" s="455"/>
      <c r="M219" s="455"/>
      <c r="N219" s="455"/>
      <c r="O219" s="455"/>
      <c r="P219" s="455"/>
      <c r="Q219" s="455"/>
      <c r="R219" s="455"/>
      <c r="S219" s="455"/>
      <c r="T219" s="455"/>
      <c r="U219" s="455"/>
    </row>
    <row r="220" spans="3:21">
      <c r="C220" s="455"/>
      <c r="D220" s="455"/>
      <c r="E220" s="455"/>
      <c r="F220" s="455"/>
      <c r="G220" s="455"/>
      <c r="H220" s="455"/>
      <c r="I220" s="455"/>
      <c r="J220" s="455"/>
      <c r="K220" s="455"/>
      <c r="L220" s="455"/>
      <c r="M220" s="455"/>
      <c r="N220" s="455"/>
      <c r="O220" s="455"/>
      <c r="P220" s="455"/>
      <c r="Q220" s="455"/>
      <c r="R220" s="455"/>
      <c r="S220" s="455"/>
      <c r="T220" s="455"/>
      <c r="U220" s="455"/>
    </row>
    <row r="221" spans="3:21">
      <c r="C221" s="455"/>
      <c r="D221" s="455"/>
      <c r="E221" s="455"/>
      <c r="F221" s="455"/>
      <c r="G221" s="455"/>
      <c r="H221" s="455"/>
      <c r="I221" s="455"/>
      <c r="J221" s="455"/>
      <c r="K221" s="455"/>
      <c r="L221" s="455"/>
      <c r="M221" s="455"/>
      <c r="N221" s="455"/>
      <c r="O221" s="455"/>
      <c r="P221" s="455"/>
      <c r="Q221" s="455"/>
      <c r="R221" s="455"/>
      <c r="S221" s="455"/>
      <c r="T221" s="455"/>
      <c r="U221" s="455"/>
    </row>
    <row r="222" spans="3:21">
      <c r="C222" s="455"/>
      <c r="D222" s="455"/>
      <c r="E222" s="455"/>
      <c r="F222" s="455"/>
      <c r="G222" s="455"/>
      <c r="H222" s="455"/>
      <c r="I222" s="455"/>
      <c r="J222" s="455"/>
      <c r="K222" s="455"/>
      <c r="L222" s="455"/>
      <c r="M222" s="455"/>
      <c r="N222" s="455"/>
      <c r="O222" s="455"/>
      <c r="P222" s="455"/>
      <c r="Q222" s="455"/>
      <c r="R222" s="455"/>
      <c r="S222" s="455"/>
      <c r="T222" s="455"/>
      <c r="U222" s="455"/>
    </row>
    <row r="223" spans="3:21">
      <c r="C223" s="455"/>
      <c r="D223" s="455"/>
      <c r="E223" s="455"/>
      <c r="F223" s="455"/>
      <c r="G223" s="455"/>
      <c r="H223" s="455"/>
      <c r="I223" s="455"/>
      <c r="J223" s="455"/>
      <c r="K223" s="455"/>
      <c r="L223" s="455"/>
      <c r="M223" s="455"/>
      <c r="N223" s="455"/>
      <c r="O223" s="455"/>
      <c r="P223" s="455"/>
      <c r="Q223" s="455"/>
      <c r="R223" s="455"/>
      <c r="S223" s="455"/>
      <c r="T223" s="455"/>
      <c r="U223" s="455"/>
    </row>
    <row r="224" spans="3:21">
      <c r="C224" s="455"/>
      <c r="D224" s="455"/>
      <c r="E224" s="455"/>
      <c r="F224" s="455"/>
      <c r="G224" s="455"/>
      <c r="H224" s="455"/>
      <c r="I224" s="455"/>
      <c r="J224" s="455"/>
      <c r="K224" s="455"/>
      <c r="L224" s="455"/>
      <c r="M224" s="455"/>
      <c r="N224" s="455"/>
      <c r="O224" s="455"/>
      <c r="P224" s="455"/>
      <c r="Q224" s="455"/>
      <c r="R224" s="455"/>
      <c r="S224" s="455"/>
      <c r="T224" s="455"/>
      <c r="U224" s="455"/>
    </row>
    <row r="225" spans="3:21">
      <c r="C225" s="455"/>
      <c r="D225" s="455"/>
      <c r="E225" s="455"/>
      <c r="F225" s="455"/>
      <c r="G225" s="455"/>
      <c r="H225" s="455"/>
      <c r="I225" s="455"/>
      <c r="J225" s="455"/>
      <c r="K225" s="455"/>
      <c r="L225" s="455"/>
      <c r="M225" s="455"/>
      <c r="N225" s="455"/>
      <c r="O225" s="455"/>
      <c r="P225" s="455"/>
      <c r="Q225" s="455"/>
      <c r="R225" s="455"/>
      <c r="S225" s="455"/>
      <c r="T225" s="455"/>
      <c r="U225" s="455"/>
    </row>
    <row r="226" spans="3:21">
      <c r="C226" s="455"/>
      <c r="D226" s="455"/>
      <c r="E226" s="455"/>
      <c r="F226" s="455"/>
      <c r="G226" s="455"/>
      <c r="H226" s="455"/>
      <c r="I226" s="455"/>
      <c r="J226" s="455"/>
      <c r="K226" s="455"/>
      <c r="L226" s="455"/>
      <c r="M226" s="455"/>
      <c r="N226" s="455"/>
      <c r="O226" s="455"/>
      <c r="P226" s="455"/>
      <c r="Q226" s="455"/>
      <c r="R226" s="455"/>
      <c r="S226" s="455"/>
      <c r="T226" s="455"/>
      <c r="U226" s="455"/>
    </row>
    <row r="227" spans="3:21">
      <c r="C227" s="455"/>
      <c r="D227" s="455"/>
      <c r="E227" s="455"/>
      <c r="F227" s="455"/>
      <c r="G227" s="455"/>
      <c r="H227" s="455"/>
      <c r="I227" s="455"/>
      <c r="J227" s="455"/>
      <c r="K227" s="455"/>
      <c r="L227" s="455"/>
      <c r="M227" s="455"/>
      <c r="N227" s="455"/>
      <c r="O227" s="455"/>
      <c r="P227" s="455"/>
      <c r="Q227" s="455"/>
      <c r="R227" s="455"/>
      <c r="S227" s="455"/>
      <c r="T227" s="455"/>
      <c r="U227" s="455"/>
    </row>
    <row r="228" spans="3:21">
      <c r="C228" s="455"/>
      <c r="D228" s="455"/>
      <c r="E228" s="455"/>
      <c r="F228" s="455"/>
      <c r="G228" s="455"/>
      <c r="H228" s="455"/>
      <c r="I228" s="455"/>
      <c r="J228" s="455"/>
      <c r="K228" s="455"/>
      <c r="L228" s="455"/>
      <c r="M228" s="455"/>
      <c r="N228" s="455"/>
      <c r="O228" s="455"/>
      <c r="P228" s="455"/>
      <c r="Q228" s="455"/>
      <c r="R228" s="455"/>
      <c r="S228" s="455"/>
      <c r="T228" s="455"/>
      <c r="U228" s="455"/>
    </row>
    <row r="229" spans="3:21">
      <c r="C229" s="455"/>
      <c r="D229" s="455"/>
      <c r="E229" s="455"/>
      <c r="F229" s="455"/>
      <c r="G229" s="455"/>
      <c r="H229" s="455"/>
      <c r="I229" s="455"/>
      <c r="J229" s="455"/>
      <c r="K229" s="455"/>
      <c r="L229" s="455"/>
      <c r="M229" s="455"/>
      <c r="N229" s="455"/>
      <c r="O229" s="455"/>
      <c r="P229" s="455"/>
      <c r="Q229" s="455"/>
      <c r="R229" s="455"/>
      <c r="S229" s="455"/>
      <c r="T229" s="455"/>
      <c r="U229" s="455"/>
    </row>
    <row r="230" spans="3:21">
      <c r="C230" s="455"/>
      <c r="D230" s="455"/>
      <c r="E230" s="455"/>
      <c r="F230" s="455"/>
      <c r="G230" s="455"/>
      <c r="H230" s="455"/>
      <c r="I230" s="455"/>
      <c r="J230" s="455"/>
      <c r="K230" s="455"/>
      <c r="L230" s="455"/>
      <c r="M230" s="455"/>
      <c r="N230" s="455"/>
      <c r="O230" s="455"/>
      <c r="P230" s="455"/>
      <c r="Q230" s="455"/>
      <c r="R230" s="455"/>
      <c r="S230" s="455"/>
      <c r="T230" s="455"/>
      <c r="U230" s="455"/>
    </row>
    <row r="231" spans="3:21">
      <c r="C231" s="455"/>
      <c r="D231" s="455"/>
      <c r="E231" s="455"/>
      <c r="F231" s="455"/>
      <c r="G231" s="455"/>
      <c r="H231" s="455"/>
      <c r="I231" s="455"/>
      <c r="J231" s="455"/>
      <c r="K231" s="455"/>
      <c r="L231" s="455"/>
      <c r="M231" s="455"/>
      <c r="N231" s="455"/>
      <c r="O231" s="455"/>
      <c r="P231" s="455"/>
      <c r="Q231" s="455"/>
      <c r="R231" s="455"/>
      <c r="S231" s="455"/>
      <c r="T231" s="455"/>
      <c r="U231" s="455"/>
    </row>
    <row r="232" spans="3:21">
      <c r="C232" s="455"/>
      <c r="D232" s="455"/>
      <c r="E232" s="455"/>
      <c r="F232" s="455"/>
      <c r="G232" s="455"/>
      <c r="H232" s="455"/>
      <c r="I232" s="455"/>
      <c r="J232" s="455"/>
      <c r="K232" s="455"/>
      <c r="L232" s="455"/>
      <c r="M232" s="455"/>
      <c r="N232" s="455"/>
      <c r="O232" s="455"/>
      <c r="P232" s="455"/>
      <c r="Q232" s="455"/>
      <c r="R232" s="455"/>
      <c r="S232" s="455"/>
      <c r="T232" s="455"/>
      <c r="U232" s="455"/>
    </row>
    <row r="233" spans="3:21">
      <c r="C233" s="455"/>
      <c r="D233" s="455"/>
      <c r="E233" s="455"/>
      <c r="F233" s="455"/>
      <c r="G233" s="455"/>
      <c r="H233" s="455"/>
      <c r="I233" s="455"/>
      <c r="J233" s="455"/>
      <c r="K233" s="455"/>
      <c r="L233" s="455"/>
      <c r="M233" s="455"/>
      <c r="N233" s="455"/>
      <c r="O233" s="455"/>
      <c r="P233" s="455"/>
      <c r="Q233" s="455"/>
      <c r="R233" s="455"/>
      <c r="S233" s="455"/>
      <c r="T233" s="455"/>
      <c r="U233" s="455"/>
    </row>
    <row r="234" spans="3:21">
      <c r="C234" s="455"/>
      <c r="D234" s="455"/>
      <c r="E234" s="455"/>
      <c r="F234" s="455"/>
      <c r="G234" s="455"/>
      <c r="H234" s="455"/>
      <c r="I234" s="455"/>
      <c r="J234" s="455"/>
      <c r="K234" s="455"/>
      <c r="L234" s="455"/>
      <c r="M234" s="455"/>
      <c r="N234" s="455"/>
      <c r="O234" s="455"/>
      <c r="P234" s="455"/>
      <c r="Q234" s="455"/>
      <c r="R234" s="455"/>
      <c r="S234" s="455"/>
      <c r="T234" s="455"/>
      <c r="U234" s="455"/>
    </row>
    <row r="235" spans="3:21">
      <c r="C235" s="455"/>
      <c r="D235" s="455"/>
      <c r="E235" s="455"/>
      <c r="F235" s="455"/>
      <c r="G235" s="455"/>
      <c r="H235" s="455"/>
      <c r="I235" s="455"/>
      <c r="J235" s="455"/>
      <c r="K235" s="455"/>
      <c r="L235" s="455"/>
      <c r="M235" s="455"/>
      <c r="N235" s="455"/>
      <c r="O235" s="455"/>
      <c r="P235" s="455"/>
      <c r="Q235" s="455"/>
      <c r="R235" s="455"/>
      <c r="S235" s="455"/>
      <c r="T235" s="455"/>
      <c r="U235" s="455"/>
    </row>
    <row r="236" spans="3:21">
      <c r="C236" s="455"/>
      <c r="D236" s="455"/>
      <c r="E236" s="455"/>
      <c r="F236" s="455"/>
      <c r="G236" s="455"/>
      <c r="H236" s="455"/>
      <c r="I236" s="455"/>
      <c r="J236" s="455"/>
      <c r="K236" s="455"/>
      <c r="L236" s="455"/>
      <c r="M236" s="455"/>
      <c r="N236" s="455"/>
      <c r="O236" s="455"/>
      <c r="P236" s="455"/>
      <c r="Q236" s="455"/>
      <c r="R236" s="455"/>
      <c r="S236" s="455"/>
      <c r="T236" s="455"/>
      <c r="U236" s="455"/>
    </row>
    <row r="237" spans="3:21">
      <c r="C237" s="455"/>
      <c r="D237" s="455"/>
      <c r="E237" s="455"/>
      <c r="F237" s="455"/>
      <c r="G237" s="455"/>
      <c r="H237" s="455"/>
      <c r="I237" s="455"/>
      <c r="J237" s="455"/>
      <c r="K237" s="455"/>
      <c r="L237" s="455"/>
      <c r="M237" s="455"/>
      <c r="N237" s="455"/>
      <c r="O237" s="455"/>
      <c r="P237" s="455"/>
      <c r="Q237" s="455"/>
      <c r="R237" s="455"/>
      <c r="S237" s="455"/>
      <c r="T237" s="455"/>
      <c r="U237" s="455"/>
    </row>
    <row r="238" spans="3:21">
      <c r="C238" s="455"/>
      <c r="D238" s="455"/>
      <c r="E238" s="455"/>
      <c r="F238" s="455"/>
      <c r="G238" s="455"/>
      <c r="H238" s="455"/>
      <c r="I238" s="455"/>
      <c r="J238" s="455"/>
      <c r="K238" s="455"/>
      <c r="L238" s="455"/>
      <c r="M238" s="455"/>
      <c r="N238" s="455"/>
      <c r="O238" s="455"/>
      <c r="P238" s="455"/>
      <c r="Q238" s="455"/>
      <c r="R238" s="455"/>
      <c r="S238" s="455"/>
      <c r="T238" s="455"/>
      <c r="U238" s="455"/>
    </row>
    <row r="239" spans="3:21">
      <c r="C239" s="455"/>
      <c r="D239" s="455"/>
      <c r="E239" s="455"/>
      <c r="F239" s="455"/>
      <c r="G239" s="455"/>
      <c r="H239" s="455"/>
      <c r="I239" s="455"/>
      <c r="J239" s="455"/>
      <c r="K239" s="455"/>
      <c r="L239" s="455"/>
      <c r="M239" s="455"/>
      <c r="N239" s="455"/>
      <c r="O239" s="455"/>
      <c r="P239" s="455"/>
      <c r="Q239" s="455"/>
      <c r="R239" s="455"/>
      <c r="S239" s="455"/>
      <c r="T239" s="455"/>
      <c r="U239" s="455"/>
    </row>
    <row r="240" spans="3:21">
      <c r="C240" s="455"/>
      <c r="D240" s="455"/>
      <c r="E240" s="455"/>
      <c r="F240" s="455"/>
      <c r="G240" s="455"/>
      <c r="H240" s="455"/>
      <c r="I240" s="455"/>
      <c r="J240" s="455"/>
      <c r="K240" s="455"/>
      <c r="L240" s="455"/>
      <c r="M240" s="455"/>
      <c r="N240" s="455"/>
      <c r="O240" s="455"/>
      <c r="P240" s="455"/>
      <c r="Q240" s="455"/>
      <c r="R240" s="455"/>
      <c r="S240" s="455"/>
      <c r="T240" s="455"/>
      <c r="U240" s="455"/>
    </row>
    <row r="241" spans="3:21">
      <c r="C241" s="455"/>
      <c r="D241" s="455"/>
      <c r="E241" s="455"/>
      <c r="F241" s="455"/>
      <c r="G241" s="455"/>
      <c r="H241" s="455"/>
      <c r="I241" s="455"/>
      <c r="J241" s="455"/>
      <c r="K241" s="455"/>
      <c r="L241" s="455"/>
      <c r="M241" s="455"/>
      <c r="N241" s="455"/>
      <c r="O241" s="455"/>
      <c r="P241" s="455"/>
      <c r="Q241" s="455"/>
      <c r="R241" s="455"/>
      <c r="S241" s="455"/>
      <c r="T241" s="455"/>
      <c r="U241" s="455"/>
    </row>
    <row r="242" spans="3:21">
      <c r="C242" s="455"/>
      <c r="D242" s="455"/>
      <c r="E242" s="455"/>
      <c r="F242" s="455"/>
      <c r="G242" s="455"/>
      <c r="H242" s="455"/>
      <c r="I242" s="455"/>
      <c r="J242" s="455"/>
      <c r="K242" s="455"/>
      <c r="L242" s="455"/>
      <c r="M242" s="455"/>
      <c r="N242" s="455"/>
      <c r="O242" s="455"/>
      <c r="P242" s="455"/>
      <c r="Q242" s="455"/>
      <c r="R242" s="455"/>
      <c r="S242" s="455"/>
      <c r="T242" s="455"/>
      <c r="U242" s="455"/>
    </row>
    <row r="243" spans="3:21">
      <c r="C243" s="455"/>
      <c r="D243" s="455"/>
      <c r="E243" s="455"/>
      <c r="F243" s="455"/>
      <c r="G243" s="455"/>
      <c r="H243" s="455"/>
      <c r="I243" s="455"/>
      <c r="J243" s="455"/>
      <c r="K243" s="455"/>
      <c r="L243" s="455"/>
      <c r="M243" s="455"/>
      <c r="N243" s="455"/>
      <c r="O243" s="455"/>
      <c r="P243" s="455"/>
      <c r="Q243" s="455"/>
      <c r="R243" s="455"/>
      <c r="S243" s="455"/>
      <c r="T243" s="455"/>
      <c r="U243" s="455"/>
    </row>
    <row r="244" spans="3:21">
      <c r="C244" s="455"/>
      <c r="D244" s="455"/>
      <c r="E244" s="455"/>
      <c r="F244" s="455"/>
      <c r="G244" s="455"/>
      <c r="H244" s="455"/>
      <c r="I244" s="455"/>
      <c r="J244" s="455"/>
      <c r="K244" s="455"/>
      <c r="L244" s="455"/>
      <c r="M244" s="455"/>
      <c r="N244" s="455"/>
      <c r="O244" s="455"/>
      <c r="P244" s="455"/>
      <c r="Q244" s="455"/>
      <c r="R244" s="455"/>
      <c r="S244" s="455"/>
      <c r="T244" s="455"/>
      <c r="U244" s="455"/>
    </row>
    <row r="245" spans="3:21">
      <c r="C245" s="455"/>
      <c r="D245" s="455"/>
      <c r="E245" s="455"/>
      <c r="F245" s="455"/>
      <c r="G245" s="455"/>
      <c r="H245" s="455"/>
      <c r="I245" s="455"/>
      <c r="J245" s="455"/>
      <c r="K245" s="455"/>
      <c r="L245" s="455"/>
      <c r="M245" s="455"/>
      <c r="N245" s="455"/>
      <c r="O245" s="455"/>
      <c r="P245" s="455"/>
      <c r="Q245" s="455"/>
      <c r="R245" s="455"/>
      <c r="S245" s="455"/>
      <c r="T245" s="455"/>
      <c r="U245" s="455"/>
    </row>
    <row r="246" spans="3:21">
      <c r="C246" s="455"/>
      <c r="D246" s="455"/>
      <c r="E246" s="455"/>
      <c r="F246" s="455"/>
      <c r="G246" s="455"/>
      <c r="H246" s="455"/>
      <c r="I246" s="455"/>
      <c r="J246" s="455"/>
      <c r="K246" s="455"/>
      <c r="L246" s="455"/>
      <c r="M246" s="455"/>
      <c r="N246" s="455"/>
      <c r="O246" s="455"/>
      <c r="P246" s="455"/>
      <c r="Q246" s="455"/>
      <c r="R246" s="455"/>
      <c r="S246" s="455"/>
      <c r="T246" s="455"/>
      <c r="U246" s="455"/>
    </row>
    <row r="247" spans="3:21">
      <c r="C247" s="455"/>
      <c r="D247" s="455"/>
      <c r="E247" s="455"/>
      <c r="F247" s="455"/>
      <c r="G247" s="455"/>
      <c r="H247" s="455"/>
      <c r="I247" s="455"/>
      <c r="J247" s="455"/>
      <c r="K247" s="455"/>
      <c r="L247" s="455"/>
      <c r="M247" s="455"/>
      <c r="N247" s="455"/>
      <c r="O247" s="455"/>
      <c r="P247" s="455"/>
      <c r="Q247" s="455"/>
      <c r="R247" s="455"/>
      <c r="S247" s="455"/>
      <c r="T247" s="455"/>
      <c r="U247" s="455"/>
    </row>
    <row r="248" spans="3:21">
      <c r="C248" s="455"/>
      <c r="D248" s="455"/>
      <c r="E248" s="455"/>
      <c r="F248" s="455"/>
      <c r="G248" s="455"/>
      <c r="H248" s="455"/>
      <c r="I248" s="455"/>
      <c r="J248" s="455"/>
      <c r="K248" s="455"/>
      <c r="L248" s="455"/>
      <c r="M248" s="455"/>
      <c r="N248" s="455"/>
      <c r="O248" s="455"/>
      <c r="P248" s="455"/>
      <c r="Q248" s="455"/>
      <c r="R248" s="455"/>
      <c r="S248" s="455"/>
      <c r="T248" s="455"/>
      <c r="U248" s="455"/>
    </row>
    <row r="249" spans="3:21">
      <c r="C249" s="455"/>
      <c r="D249" s="455"/>
      <c r="E249" s="455"/>
      <c r="F249" s="455"/>
      <c r="G249" s="455"/>
      <c r="H249" s="455"/>
      <c r="I249" s="455"/>
      <c r="J249" s="455"/>
      <c r="K249" s="455"/>
      <c r="L249" s="455"/>
      <c r="M249" s="455"/>
      <c r="N249" s="455"/>
      <c r="O249" s="455"/>
      <c r="P249" s="455"/>
      <c r="Q249" s="455"/>
      <c r="R249" s="455"/>
      <c r="S249" s="455"/>
      <c r="T249" s="455"/>
      <c r="U249" s="455"/>
    </row>
    <row r="250" spans="3:21">
      <c r="C250" s="455"/>
      <c r="D250" s="455"/>
      <c r="E250" s="455"/>
      <c r="F250" s="455"/>
      <c r="G250" s="455"/>
      <c r="H250" s="455"/>
      <c r="I250" s="455"/>
      <c r="J250" s="455"/>
      <c r="K250" s="455"/>
      <c r="L250" s="455"/>
      <c r="M250" s="455"/>
      <c r="N250" s="455"/>
      <c r="O250" s="455"/>
      <c r="P250" s="455"/>
      <c r="Q250" s="455"/>
      <c r="R250" s="455"/>
      <c r="S250" s="455"/>
      <c r="T250" s="455"/>
      <c r="U250" s="455"/>
    </row>
    <row r="251" spans="3:21">
      <c r="C251" s="455"/>
      <c r="D251" s="455"/>
      <c r="E251" s="455"/>
      <c r="F251" s="455"/>
      <c r="G251" s="455"/>
      <c r="H251" s="455"/>
      <c r="I251" s="455"/>
      <c r="J251" s="455"/>
      <c r="K251" s="455"/>
      <c r="L251" s="455"/>
      <c r="M251" s="455"/>
      <c r="N251" s="455"/>
      <c r="O251" s="455"/>
      <c r="P251" s="455"/>
      <c r="Q251" s="455"/>
      <c r="R251" s="455"/>
      <c r="S251" s="455"/>
      <c r="T251" s="455"/>
      <c r="U251" s="455"/>
    </row>
    <row r="252" spans="3:21">
      <c r="C252" s="455"/>
      <c r="D252" s="455"/>
      <c r="E252" s="455"/>
      <c r="F252" s="455"/>
      <c r="G252" s="455"/>
      <c r="H252" s="455"/>
      <c r="I252" s="455"/>
      <c r="J252" s="455"/>
      <c r="K252" s="455"/>
      <c r="L252" s="455"/>
      <c r="M252" s="455"/>
      <c r="N252" s="455"/>
      <c r="O252" s="455"/>
      <c r="P252" s="455"/>
      <c r="Q252" s="455"/>
      <c r="R252" s="455"/>
      <c r="S252" s="455"/>
      <c r="T252" s="455"/>
      <c r="U252" s="455"/>
    </row>
    <row r="253" spans="3:21">
      <c r="C253" s="455"/>
      <c r="D253" s="455"/>
      <c r="E253" s="455"/>
      <c r="F253" s="455"/>
      <c r="G253" s="455"/>
      <c r="H253" s="455"/>
      <c r="I253" s="455"/>
      <c r="J253" s="455"/>
      <c r="K253" s="455"/>
      <c r="L253" s="455"/>
      <c r="M253" s="455"/>
      <c r="N253" s="455"/>
      <c r="O253" s="455"/>
      <c r="P253" s="455"/>
      <c r="Q253" s="455"/>
      <c r="R253" s="455"/>
      <c r="S253" s="455"/>
      <c r="T253" s="455"/>
      <c r="U253" s="455"/>
    </row>
    <row r="254" spans="3:21">
      <c r="C254" s="455"/>
      <c r="D254" s="455"/>
      <c r="E254" s="455"/>
      <c r="F254" s="455"/>
      <c r="G254" s="455"/>
      <c r="H254" s="455"/>
      <c r="I254" s="455"/>
      <c r="J254" s="455"/>
      <c r="K254" s="455"/>
      <c r="L254" s="455"/>
      <c r="M254" s="455"/>
      <c r="N254" s="455"/>
      <c r="O254" s="455"/>
      <c r="P254" s="455"/>
      <c r="Q254" s="455"/>
      <c r="R254" s="455"/>
      <c r="S254" s="455"/>
      <c r="T254" s="455"/>
      <c r="U254" s="455"/>
    </row>
    <row r="255" spans="3:21">
      <c r="C255" s="455"/>
      <c r="D255" s="455"/>
      <c r="E255" s="455"/>
      <c r="F255" s="455"/>
      <c r="G255" s="455"/>
      <c r="H255" s="455"/>
      <c r="I255" s="455"/>
      <c r="J255" s="455"/>
      <c r="K255" s="455"/>
      <c r="L255" s="455"/>
      <c r="M255" s="455"/>
      <c r="N255" s="455"/>
      <c r="O255" s="455"/>
      <c r="P255" s="455"/>
      <c r="Q255" s="455"/>
      <c r="R255" s="455"/>
      <c r="S255" s="455"/>
      <c r="T255" s="455"/>
      <c r="U255" s="455"/>
    </row>
    <row r="256" spans="3:21">
      <c r="C256" s="455"/>
      <c r="D256" s="455"/>
      <c r="E256" s="455"/>
      <c r="F256" s="455"/>
      <c r="G256" s="455"/>
      <c r="H256" s="455"/>
      <c r="I256" s="455"/>
      <c r="J256" s="455"/>
      <c r="K256" s="455"/>
      <c r="L256" s="455"/>
      <c r="M256" s="455"/>
      <c r="N256" s="455"/>
      <c r="O256" s="455"/>
      <c r="P256" s="455"/>
      <c r="Q256" s="455"/>
      <c r="R256" s="455"/>
      <c r="S256" s="455"/>
      <c r="T256" s="455"/>
      <c r="U256" s="455"/>
    </row>
    <row r="257" spans="3:21">
      <c r="C257" s="455"/>
      <c r="D257" s="455"/>
      <c r="E257" s="455"/>
      <c r="F257" s="455"/>
      <c r="G257" s="455"/>
      <c r="H257" s="455"/>
      <c r="I257" s="455"/>
      <c r="J257" s="455"/>
      <c r="K257" s="455"/>
      <c r="L257" s="455"/>
      <c r="M257" s="455"/>
      <c r="N257" s="455"/>
      <c r="O257" s="455"/>
      <c r="P257" s="455"/>
      <c r="Q257" s="455"/>
      <c r="R257" s="455"/>
      <c r="S257" s="455"/>
      <c r="T257" s="455"/>
      <c r="U257" s="455"/>
    </row>
    <row r="258" spans="3:21">
      <c r="C258" s="455"/>
      <c r="D258" s="455"/>
      <c r="E258" s="455"/>
      <c r="F258" s="455"/>
      <c r="G258" s="455"/>
      <c r="H258" s="455"/>
      <c r="I258" s="455"/>
      <c r="J258" s="455"/>
      <c r="K258" s="455"/>
      <c r="L258" s="455"/>
      <c r="M258" s="455"/>
      <c r="N258" s="455"/>
      <c r="O258" s="455"/>
      <c r="P258" s="455"/>
      <c r="Q258" s="455"/>
      <c r="R258" s="455"/>
      <c r="S258" s="455"/>
      <c r="T258" s="455"/>
      <c r="U258" s="455"/>
    </row>
    <row r="259" spans="3:21">
      <c r="C259" s="455"/>
      <c r="D259" s="455"/>
      <c r="E259" s="455"/>
      <c r="F259" s="455"/>
      <c r="G259" s="455"/>
      <c r="H259" s="455"/>
      <c r="I259" s="455"/>
      <c r="J259" s="455"/>
      <c r="K259" s="455"/>
      <c r="L259" s="455"/>
      <c r="M259" s="455"/>
      <c r="N259" s="455"/>
      <c r="O259" s="455"/>
      <c r="P259" s="455"/>
      <c r="Q259" s="455"/>
      <c r="R259" s="455"/>
      <c r="S259" s="455"/>
      <c r="T259" s="455"/>
      <c r="U259" s="455"/>
    </row>
    <row r="260" spans="3:21">
      <c r="C260" s="455"/>
      <c r="D260" s="455"/>
      <c r="E260" s="455"/>
      <c r="F260" s="455"/>
      <c r="G260" s="455"/>
      <c r="H260" s="455"/>
      <c r="I260" s="455"/>
      <c r="J260" s="455"/>
      <c r="K260" s="455"/>
      <c r="L260" s="455"/>
      <c r="M260" s="455"/>
      <c r="N260" s="455"/>
      <c r="O260" s="455"/>
      <c r="P260" s="455"/>
      <c r="Q260" s="455"/>
      <c r="R260" s="455"/>
      <c r="S260" s="455"/>
      <c r="T260" s="455"/>
      <c r="U260" s="455"/>
    </row>
    <row r="261" spans="3:21">
      <c r="C261" s="455"/>
      <c r="D261" s="455"/>
      <c r="E261" s="455"/>
      <c r="F261" s="455"/>
      <c r="G261" s="455"/>
      <c r="H261" s="455"/>
      <c r="I261" s="455"/>
      <c r="J261" s="455"/>
      <c r="K261" s="455"/>
      <c r="L261" s="455"/>
      <c r="M261" s="455"/>
      <c r="N261" s="455"/>
      <c r="O261" s="455"/>
      <c r="P261" s="455"/>
      <c r="Q261" s="455"/>
      <c r="R261" s="455"/>
      <c r="S261" s="455"/>
      <c r="T261" s="455"/>
      <c r="U261" s="455"/>
    </row>
    <row r="262" spans="3:21">
      <c r="C262" s="455"/>
      <c r="D262" s="455"/>
      <c r="E262" s="455"/>
      <c r="F262" s="455"/>
      <c r="G262" s="455"/>
      <c r="H262" s="455"/>
      <c r="I262" s="455"/>
      <c r="J262" s="455"/>
      <c r="K262" s="455"/>
      <c r="L262" s="455"/>
      <c r="M262" s="455"/>
      <c r="N262" s="455"/>
      <c r="O262" s="455"/>
      <c r="P262" s="455"/>
      <c r="Q262" s="455"/>
      <c r="R262" s="455"/>
      <c r="S262" s="455"/>
      <c r="T262" s="455"/>
      <c r="U262" s="455"/>
    </row>
    <row r="263" spans="3:21">
      <c r="C263" s="455"/>
      <c r="D263" s="455"/>
      <c r="E263" s="455"/>
      <c r="F263" s="455"/>
      <c r="G263" s="455"/>
      <c r="H263" s="455"/>
      <c r="I263" s="455"/>
      <c r="J263" s="455"/>
      <c r="K263" s="455"/>
      <c r="L263" s="455"/>
      <c r="M263" s="455"/>
      <c r="N263" s="455"/>
      <c r="O263" s="455"/>
      <c r="P263" s="455"/>
      <c r="Q263" s="455"/>
      <c r="R263" s="455"/>
      <c r="S263" s="455"/>
      <c r="T263" s="455"/>
      <c r="U263" s="455"/>
    </row>
    <row r="264" spans="3:21">
      <c r="C264" s="455"/>
      <c r="D264" s="455"/>
      <c r="E264" s="455"/>
      <c r="F264" s="455"/>
      <c r="G264" s="455"/>
      <c r="H264" s="455"/>
      <c r="I264" s="455"/>
      <c r="J264" s="455"/>
      <c r="K264" s="455"/>
      <c r="L264" s="455"/>
      <c r="M264" s="455"/>
      <c r="N264" s="455"/>
      <c r="O264" s="455"/>
      <c r="P264" s="455"/>
      <c r="Q264" s="455"/>
      <c r="R264" s="455"/>
      <c r="S264" s="455"/>
      <c r="T264" s="455"/>
      <c r="U264" s="455"/>
    </row>
    <row r="265" spans="3:21">
      <c r="C265" s="455"/>
      <c r="D265" s="455"/>
      <c r="E265" s="455"/>
      <c r="F265" s="455"/>
      <c r="G265" s="455"/>
      <c r="H265" s="455"/>
      <c r="I265" s="455"/>
      <c r="J265" s="455"/>
      <c r="K265" s="455"/>
      <c r="L265" s="455"/>
      <c r="M265" s="455"/>
      <c r="N265" s="455"/>
      <c r="O265" s="455"/>
      <c r="P265" s="455"/>
      <c r="Q265" s="455"/>
      <c r="R265" s="455"/>
      <c r="S265" s="455"/>
      <c r="T265" s="455"/>
      <c r="U265" s="455"/>
    </row>
    <row r="266" spans="3:21">
      <c r="C266" s="455"/>
      <c r="D266" s="455"/>
      <c r="E266" s="455"/>
      <c r="F266" s="455"/>
      <c r="G266" s="455"/>
      <c r="H266" s="455"/>
      <c r="I266" s="455"/>
      <c r="J266" s="455"/>
      <c r="K266" s="455"/>
      <c r="L266" s="455"/>
      <c r="M266" s="455"/>
      <c r="N266" s="455"/>
      <c r="O266" s="455"/>
      <c r="P266" s="455"/>
      <c r="Q266" s="455"/>
      <c r="R266" s="455"/>
      <c r="S266" s="455"/>
      <c r="T266" s="455"/>
      <c r="U266" s="455"/>
    </row>
    <row r="267" spans="3:21">
      <c r="C267" s="455"/>
      <c r="D267" s="455"/>
      <c r="E267" s="455"/>
      <c r="F267" s="455"/>
      <c r="G267" s="455"/>
      <c r="H267" s="455"/>
      <c r="I267" s="455"/>
      <c r="J267" s="455"/>
      <c r="K267" s="455"/>
      <c r="L267" s="455"/>
      <c r="M267" s="455"/>
      <c r="N267" s="455"/>
      <c r="O267" s="455"/>
      <c r="P267" s="455"/>
      <c r="Q267" s="455"/>
      <c r="R267" s="455"/>
      <c r="S267" s="455"/>
      <c r="T267" s="455"/>
      <c r="U267" s="455"/>
    </row>
    <row r="268" spans="3:21">
      <c r="C268" s="455"/>
      <c r="D268" s="455"/>
      <c r="E268" s="455"/>
      <c r="F268" s="455"/>
      <c r="G268" s="455"/>
      <c r="H268" s="455"/>
      <c r="I268" s="455"/>
      <c r="J268" s="455"/>
      <c r="K268" s="455"/>
      <c r="L268" s="455"/>
      <c r="M268" s="455"/>
      <c r="N268" s="455"/>
      <c r="O268" s="455"/>
      <c r="P268" s="455"/>
      <c r="Q268" s="455"/>
      <c r="R268" s="455"/>
      <c r="S268" s="455"/>
      <c r="T268" s="455"/>
      <c r="U268" s="455"/>
    </row>
    <row r="269" spans="3:21">
      <c r="C269" s="455"/>
      <c r="D269" s="455"/>
      <c r="E269" s="455"/>
      <c r="F269" s="455"/>
      <c r="G269" s="455"/>
      <c r="H269" s="455"/>
      <c r="I269" s="455"/>
      <c r="J269" s="455"/>
      <c r="K269" s="455"/>
      <c r="L269" s="455"/>
      <c r="M269" s="455"/>
      <c r="N269" s="455"/>
      <c r="O269" s="455"/>
      <c r="P269" s="455"/>
      <c r="Q269" s="455"/>
      <c r="R269" s="455"/>
      <c r="S269" s="455"/>
      <c r="T269" s="455"/>
      <c r="U269" s="455"/>
    </row>
    <row r="270" spans="3:21">
      <c r="C270" s="455"/>
      <c r="D270" s="455"/>
      <c r="E270" s="455"/>
      <c r="F270" s="455"/>
      <c r="G270" s="455"/>
      <c r="H270" s="455"/>
      <c r="I270" s="455"/>
      <c r="J270" s="455"/>
      <c r="K270" s="455"/>
      <c r="L270" s="455"/>
      <c r="M270" s="455"/>
      <c r="N270" s="455"/>
      <c r="O270" s="455"/>
      <c r="P270" s="455"/>
      <c r="Q270" s="455"/>
      <c r="R270" s="455"/>
      <c r="S270" s="455"/>
      <c r="T270" s="455"/>
      <c r="U270" s="455"/>
    </row>
    <row r="271" spans="3:21">
      <c r="C271" s="455"/>
      <c r="D271" s="455"/>
      <c r="E271" s="455"/>
      <c r="F271" s="455"/>
      <c r="G271" s="455"/>
      <c r="H271" s="455"/>
      <c r="I271" s="455"/>
      <c r="J271" s="455"/>
      <c r="K271" s="455"/>
      <c r="L271" s="455"/>
      <c r="M271" s="455"/>
      <c r="N271" s="455"/>
      <c r="O271" s="455"/>
      <c r="P271" s="455"/>
      <c r="Q271" s="455"/>
      <c r="R271" s="455"/>
      <c r="S271" s="455"/>
      <c r="T271" s="455"/>
      <c r="U271" s="455"/>
    </row>
    <row r="272" spans="3:21">
      <c r="C272" s="455"/>
      <c r="D272" s="455"/>
      <c r="E272" s="455"/>
      <c r="F272" s="455"/>
      <c r="G272" s="455"/>
      <c r="H272" s="455"/>
      <c r="I272" s="455"/>
      <c r="J272" s="455"/>
      <c r="K272" s="455"/>
      <c r="L272" s="455"/>
      <c r="M272" s="455"/>
      <c r="N272" s="455"/>
      <c r="O272" s="455"/>
      <c r="P272" s="455"/>
      <c r="Q272" s="455"/>
      <c r="R272" s="455"/>
      <c r="S272" s="455"/>
      <c r="T272" s="455"/>
      <c r="U272" s="455"/>
    </row>
    <row r="273" spans="3:21">
      <c r="C273" s="455"/>
      <c r="D273" s="455"/>
      <c r="E273" s="455"/>
      <c r="F273" s="455"/>
      <c r="G273" s="455"/>
      <c r="H273" s="455"/>
      <c r="I273" s="455"/>
      <c r="J273" s="455"/>
      <c r="K273" s="455"/>
      <c r="L273" s="455"/>
      <c r="M273" s="455"/>
      <c r="N273" s="455"/>
      <c r="O273" s="455"/>
      <c r="P273" s="455"/>
      <c r="Q273" s="455"/>
      <c r="R273" s="455"/>
      <c r="S273" s="455"/>
      <c r="T273" s="455"/>
      <c r="U273" s="455"/>
    </row>
    <row r="274" spans="3:21">
      <c r="C274" s="455"/>
      <c r="D274" s="455"/>
      <c r="E274" s="455"/>
      <c r="F274" s="455"/>
      <c r="G274" s="455"/>
      <c r="H274" s="455"/>
      <c r="I274" s="455"/>
      <c r="J274" s="455"/>
      <c r="K274" s="455"/>
      <c r="L274" s="455"/>
      <c r="M274" s="455"/>
      <c r="N274" s="455"/>
      <c r="O274" s="455"/>
      <c r="P274" s="455"/>
      <c r="Q274" s="455"/>
      <c r="R274" s="455"/>
      <c r="S274" s="455"/>
      <c r="T274" s="455"/>
      <c r="U274" s="455"/>
    </row>
    <row r="275" spans="3:21">
      <c r="C275" s="455"/>
      <c r="D275" s="455"/>
      <c r="E275" s="455"/>
      <c r="F275" s="455"/>
      <c r="G275" s="455"/>
      <c r="H275" s="455"/>
      <c r="I275" s="455"/>
      <c r="J275" s="455"/>
      <c r="K275" s="455"/>
      <c r="L275" s="455"/>
      <c r="M275" s="455"/>
      <c r="N275" s="455"/>
      <c r="O275" s="455"/>
      <c r="P275" s="455"/>
      <c r="Q275" s="455"/>
      <c r="R275" s="455"/>
      <c r="S275" s="455"/>
      <c r="T275" s="455"/>
      <c r="U275" s="455"/>
    </row>
    <row r="276" spans="3:21">
      <c r="C276" s="455"/>
      <c r="D276" s="455"/>
      <c r="E276" s="455"/>
      <c r="F276" s="455"/>
      <c r="G276" s="455"/>
      <c r="H276" s="455"/>
      <c r="I276" s="455"/>
      <c r="J276" s="455"/>
      <c r="K276" s="455"/>
      <c r="L276" s="455"/>
      <c r="M276" s="455"/>
      <c r="N276" s="455"/>
      <c r="O276" s="455"/>
      <c r="P276" s="455"/>
      <c r="Q276" s="455"/>
      <c r="R276" s="455"/>
      <c r="S276" s="455"/>
      <c r="T276" s="455"/>
      <c r="U276" s="455"/>
    </row>
    <row r="277" spans="3:21">
      <c r="C277" s="455"/>
      <c r="D277" s="455"/>
      <c r="E277" s="455"/>
      <c r="F277" s="455"/>
      <c r="G277" s="455"/>
      <c r="H277" s="455"/>
      <c r="I277" s="455"/>
      <c r="J277" s="455"/>
      <c r="K277" s="455"/>
      <c r="L277" s="455"/>
      <c r="M277" s="455"/>
      <c r="N277" s="455"/>
      <c r="O277" s="455"/>
      <c r="P277" s="455"/>
      <c r="Q277" s="455"/>
      <c r="R277" s="455"/>
      <c r="S277" s="455"/>
      <c r="T277" s="455"/>
      <c r="U277" s="455"/>
    </row>
    <row r="278" spans="3:21">
      <c r="C278" s="455"/>
      <c r="D278" s="455"/>
      <c r="E278" s="455"/>
      <c r="F278" s="455"/>
      <c r="G278" s="455"/>
      <c r="H278" s="455"/>
      <c r="I278" s="455"/>
      <c r="J278" s="455"/>
      <c r="K278" s="455"/>
      <c r="L278" s="455"/>
      <c r="M278" s="455"/>
      <c r="N278" s="455"/>
      <c r="O278" s="455"/>
      <c r="P278" s="455"/>
      <c r="Q278" s="455"/>
      <c r="R278" s="455"/>
      <c r="S278" s="455"/>
      <c r="T278" s="455"/>
      <c r="U278" s="455"/>
    </row>
    <row r="279" spans="3:21">
      <c r="C279" s="455"/>
      <c r="D279" s="455"/>
      <c r="E279" s="455"/>
      <c r="F279" s="455"/>
      <c r="G279" s="455"/>
      <c r="H279" s="455"/>
      <c r="I279" s="455"/>
      <c r="J279" s="455"/>
      <c r="K279" s="455"/>
      <c r="L279" s="455"/>
      <c r="M279" s="455"/>
      <c r="N279" s="455"/>
      <c r="O279" s="455"/>
      <c r="P279" s="455"/>
      <c r="Q279" s="455"/>
      <c r="R279" s="455"/>
      <c r="S279" s="455"/>
      <c r="T279" s="455"/>
      <c r="U279" s="455"/>
    </row>
    <row r="280" spans="3:21">
      <c r="C280" s="455"/>
      <c r="D280" s="455"/>
      <c r="E280" s="455"/>
      <c r="F280" s="455"/>
      <c r="G280" s="455"/>
      <c r="H280" s="455"/>
      <c r="I280" s="455"/>
      <c r="J280" s="455"/>
      <c r="K280" s="455"/>
      <c r="L280" s="455"/>
      <c r="M280" s="455"/>
      <c r="N280" s="455"/>
      <c r="O280" s="455"/>
      <c r="P280" s="455"/>
      <c r="Q280" s="455"/>
      <c r="R280" s="455"/>
      <c r="S280" s="455"/>
      <c r="T280" s="455"/>
      <c r="U280" s="455"/>
    </row>
    <row r="281" spans="3:21">
      <c r="C281" s="455"/>
      <c r="D281" s="455"/>
      <c r="E281" s="455"/>
      <c r="F281" s="455"/>
      <c r="G281" s="455"/>
      <c r="H281" s="455"/>
      <c r="I281" s="455"/>
      <c r="J281" s="455"/>
      <c r="K281" s="455"/>
      <c r="L281" s="455"/>
      <c r="M281" s="455"/>
      <c r="N281" s="455"/>
      <c r="O281" s="455"/>
      <c r="P281" s="455"/>
      <c r="Q281" s="455"/>
      <c r="R281" s="455"/>
      <c r="S281" s="455"/>
      <c r="T281" s="455"/>
      <c r="U281" s="455"/>
    </row>
    <row r="282" spans="3:21">
      <c r="C282" s="455"/>
      <c r="D282" s="455"/>
      <c r="E282" s="455"/>
      <c r="F282" s="455"/>
      <c r="G282" s="455"/>
      <c r="H282" s="455"/>
      <c r="I282" s="455"/>
      <c r="J282" s="455"/>
      <c r="K282" s="455"/>
      <c r="L282" s="455"/>
      <c r="M282" s="455"/>
      <c r="N282" s="455"/>
      <c r="O282" s="455"/>
      <c r="P282" s="455"/>
      <c r="Q282" s="455"/>
      <c r="R282" s="455"/>
      <c r="S282" s="455"/>
      <c r="T282" s="455"/>
      <c r="U282" s="455"/>
    </row>
    <row r="283" spans="3:21">
      <c r="C283" s="455"/>
      <c r="D283" s="455"/>
      <c r="E283" s="455"/>
      <c r="F283" s="455"/>
      <c r="G283" s="455"/>
      <c r="H283" s="455"/>
      <c r="I283" s="455"/>
      <c r="J283" s="455"/>
      <c r="K283" s="455"/>
      <c r="L283" s="455"/>
      <c r="M283" s="455"/>
      <c r="N283" s="455"/>
      <c r="O283" s="455"/>
      <c r="P283" s="455"/>
      <c r="Q283" s="455"/>
      <c r="R283" s="455"/>
      <c r="S283" s="455"/>
      <c r="T283" s="455"/>
      <c r="U283" s="455"/>
    </row>
    <row r="284" spans="3:21">
      <c r="C284" s="455"/>
      <c r="D284" s="455"/>
      <c r="E284" s="455"/>
      <c r="F284" s="455"/>
      <c r="G284" s="455"/>
      <c r="H284" s="455"/>
      <c r="I284" s="455"/>
      <c r="J284" s="455"/>
      <c r="K284" s="455"/>
      <c r="L284" s="455"/>
      <c r="M284" s="455"/>
      <c r="N284" s="455"/>
      <c r="O284" s="455"/>
      <c r="P284" s="455"/>
      <c r="Q284" s="455"/>
      <c r="R284" s="455"/>
      <c r="S284" s="455"/>
      <c r="T284" s="455"/>
      <c r="U284" s="455"/>
    </row>
    <row r="285" spans="3:21">
      <c r="C285" s="455"/>
      <c r="D285" s="455"/>
      <c r="E285" s="455"/>
      <c r="F285" s="455"/>
      <c r="G285" s="455"/>
      <c r="H285" s="455"/>
      <c r="I285" s="455"/>
      <c r="J285" s="455"/>
      <c r="K285" s="455"/>
      <c r="L285" s="455"/>
      <c r="M285" s="455"/>
      <c r="N285" s="455"/>
      <c r="O285" s="455"/>
      <c r="P285" s="455"/>
      <c r="Q285" s="455"/>
      <c r="R285" s="455"/>
      <c r="S285" s="455"/>
      <c r="T285" s="455"/>
      <c r="U285" s="455"/>
    </row>
    <row r="286" spans="3:21">
      <c r="C286" s="455"/>
      <c r="D286" s="455"/>
      <c r="E286" s="455"/>
      <c r="F286" s="455"/>
      <c r="G286" s="455"/>
      <c r="H286" s="455"/>
      <c r="I286" s="455"/>
      <c r="J286" s="455"/>
      <c r="K286" s="455"/>
      <c r="L286" s="455"/>
      <c r="M286" s="455"/>
      <c r="N286" s="455"/>
      <c r="O286" s="455"/>
      <c r="P286" s="455"/>
      <c r="Q286" s="455"/>
      <c r="R286" s="455"/>
      <c r="S286" s="455"/>
      <c r="T286" s="455"/>
      <c r="U286" s="455"/>
    </row>
    <row r="287" spans="3:21">
      <c r="C287" s="455"/>
      <c r="D287" s="455"/>
      <c r="E287" s="455"/>
      <c r="F287" s="455"/>
      <c r="G287" s="455"/>
      <c r="H287" s="455"/>
      <c r="I287" s="455"/>
      <c r="J287" s="455"/>
      <c r="K287" s="455"/>
      <c r="L287" s="455"/>
      <c r="M287" s="455"/>
      <c r="N287" s="455"/>
      <c r="O287" s="455"/>
      <c r="P287" s="455"/>
      <c r="Q287" s="455"/>
      <c r="R287" s="455"/>
      <c r="S287" s="455"/>
      <c r="T287" s="455"/>
      <c r="U287" s="455"/>
    </row>
    <row r="288" spans="3:21">
      <c r="C288" s="455"/>
      <c r="D288" s="455"/>
      <c r="E288" s="455"/>
      <c r="F288" s="455"/>
      <c r="G288" s="455"/>
      <c r="H288" s="455"/>
      <c r="I288" s="455"/>
      <c r="J288" s="455"/>
      <c r="K288" s="455"/>
      <c r="L288" s="455"/>
      <c r="M288" s="455"/>
      <c r="N288" s="455"/>
      <c r="O288" s="455"/>
      <c r="P288" s="455"/>
      <c r="Q288" s="455"/>
      <c r="R288" s="455"/>
      <c r="S288" s="455"/>
      <c r="T288" s="455"/>
      <c r="U288" s="455"/>
    </row>
    <row r="289" spans="3:21">
      <c r="C289" s="455"/>
      <c r="D289" s="455"/>
      <c r="E289" s="455"/>
      <c r="F289" s="455"/>
      <c r="G289" s="455"/>
      <c r="H289" s="455"/>
      <c r="I289" s="455"/>
      <c r="J289" s="455"/>
      <c r="K289" s="455"/>
      <c r="L289" s="455"/>
      <c r="M289" s="455"/>
      <c r="N289" s="455"/>
      <c r="O289" s="455"/>
      <c r="P289" s="455"/>
      <c r="Q289" s="455"/>
      <c r="R289" s="455"/>
      <c r="S289" s="455"/>
      <c r="T289" s="455"/>
      <c r="U289" s="455"/>
    </row>
    <row r="290" spans="3:21">
      <c r="C290" s="455"/>
      <c r="D290" s="455"/>
      <c r="E290" s="455"/>
      <c r="F290" s="455"/>
      <c r="G290" s="455"/>
      <c r="H290" s="455"/>
      <c r="I290" s="455"/>
      <c r="J290" s="455"/>
      <c r="K290" s="455"/>
      <c r="L290" s="455"/>
      <c r="M290" s="455"/>
      <c r="N290" s="455"/>
      <c r="O290" s="455"/>
      <c r="P290" s="455"/>
      <c r="Q290" s="455"/>
      <c r="R290" s="455"/>
      <c r="S290" s="455"/>
      <c r="T290" s="455"/>
      <c r="U290" s="455"/>
    </row>
    <row r="291" spans="3:21">
      <c r="C291" s="455"/>
      <c r="D291" s="455"/>
      <c r="E291" s="455"/>
      <c r="F291" s="455"/>
      <c r="G291" s="455"/>
      <c r="H291" s="455"/>
      <c r="I291" s="455"/>
      <c r="J291" s="455"/>
      <c r="K291" s="455"/>
      <c r="L291" s="455"/>
      <c r="M291" s="455"/>
      <c r="N291" s="455"/>
      <c r="O291" s="455"/>
      <c r="P291" s="455"/>
      <c r="Q291" s="455"/>
      <c r="R291" s="455"/>
      <c r="S291" s="455"/>
      <c r="T291" s="455"/>
      <c r="U291" s="455"/>
    </row>
    <row r="292" spans="3:21">
      <c r="C292" s="455"/>
      <c r="D292" s="455"/>
      <c r="E292" s="455"/>
      <c r="F292" s="455"/>
      <c r="G292" s="455"/>
      <c r="H292" s="455"/>
      <c r="I292" s="455"/>
      <c r="J292" s="455"/>
      <c r="K292" s="455"/>
      <c r="L292" s="455"/>
      <c r="M292" s="455"/>
      <c r="N292" s="455"/>
      <c r="O292" s="455"/>
      <c r="P292" s="455"/>
      <c r="Q292" s="455"/>
      <c r="R292" s="455"/>
      <c r="S292" s="455"/>
      <c r="T292" s="455"/>
      <c r="U292" s="455"/>
    </row>
    <row r="293" spans="3:21">
      <c r="C293" s="455"/>
      <c r="D293" s="455"/>
      <c r="E293" s="455"/>
      <c r="F293" s="455"/>
      <c r="G293" s="455"/>
      <c r="H293" s="455"/>
      <c r="I293" s="455"/>
      <c r="J293" s="455"/>
      <c r="K293" s="455"/>
      <c r="L293" s="455"/>
      <c r="M293" s="455"/>
      <c r="N293" s="455"/>
      <c r="O293" s="455"/>
      <c r="P293" s="455"/>
      <c r="Q293" s="455"/>
      <c r="R293" s="455"/>
      <c r="S293" s="455"/>
      <c r="T293" s="455"/>
      <c r="U293" s="455"/>
    </row>
    <row r="294" spans="3:21">
      <c r="C294" s="455"/>
      <c r="D294" s="455"/>
      <c r="E294" s="455"/>
      <c r="F294" s="455"/>
      <c r="G294" s="455"/>
      <c r="H294" s="455"/>
      <c r="I294" s="455"/>
      <c r="J294" s="455"/>
      <c r="K294" s="455"/>
      <c r="L294" s="455"/>
      <c r="M294" s="455"/>
      <c r="N294" s="455"/>
      <c r="O294" s="455"/>
      <c r="P294" s="455"/>
      <c r="Q294" s="455"/>
      <c r="R294" s="455"/>
      <c r="S294" s="455"/>
      <c r="T294" s="455"/>
      <c r="U294" s="455"/>
    </row>
    <row r="295" spans="3:21">
      <c r="C295" s="455"/>
      <c r="D295" s="455"/>
      <c r="E295" s="455"/>
      <c r="F295" s="455"/>
      <c r="G295" s="455"/>
      <c r="H295" s="455"/>
      <c r="I295" s="455"/>
      <c r="J295" s="455"/>
      <c r="K295" s="455"/>
      <c r="L295" s="455"/>
      <c r="M295" s="455"/>
      <c r="N295" s="455"/>
      <c r="O295" s="455"/>
      <c r="P295" s="455"/>
      <c r="Q295" s="455"/>
      <c r="R295" s="455"/>
      <c r="S295" s="455"/>
      <c r="T295" s="455"/>
      <c r="U295" s="455"/>
    </row>
    <row r="296" spans="3:21">
      <c r="C296" s="455"/>
      <c r="D296" s="455"/>
      <c r="E296" s="455"/>
      <c r="F296" s="455"/>
      <c r="G296" s="455"/>
      <c r="H296" s="455"/>
      <c r="I296" s="455"/>
      <c r="J296" s="455"/>
      <c r="K296" s="455"/>
      <c r="L296" s="455"/>
      <c r="M296" s="455"/>
      <c r="N296" s="455"/>
      <c r="O296" s="455"/>
      <c r="P296" s="455"/>
      <c r="Q296" s="455"/>
      <c r="R296" s="455"/>
      <c r="S296" s="455"/>
      <c r="T296" s="455"/>
      <c r="U296" s="455"/>
    </row>
    <row r="297" spans="3:21">
      <c r="C297" s="455"/>
      <c r="D297" s="455"/>
      <c r="E297" s="455"/>
      <c r="F297" s="455"/>
      <c r="G297" s="455"/>
      <c r="H297" s="455"/>
      <c r="I297" s="455"/>
      <c r="J297" s="455"/>
      <c r="K297" s="455"/>
      <c r="L297" s="455"/>
      <c r="M297" s="455"/>
      <c r="N297" s="455"/>
      <c r="O297" s="455"/>
      <c r="P297" s="455"/>
      <c r="Q297" s="455"/>
      <c r="R297" s="455"/>
      <c r="S297" s="455"/>
      <c r="T297" s="455"/>
      <c r="U297" s="455"/>
    </row>
    <row r="298" spans="3:21">
      <c r="C298" s="455"/>
      <c r="D298" s="455"/>
      <c r="E298" s="455"/>
      <c r="F298" s="455"/>
      <c r="G298" s="455"/>
      <c r="H298" s="455"/>
      <c r="I298" s="455"/>
      <c r="J298" s="455"/>
      <c r="K298" s="455"/>
      <c r="L298" s="455"/>
      <c r="M298" s="455"/>
      <c r="N298" s="455"/>
      <c r="O298" s="455"/>
      <c r="P298" s="455"/>
      <c r="Q298" s="455"/>
      <c r="R298" s="455"/>
      <c r="S298" s="455"/>
      <c r="T298" s="455"/>
      <c r="U298" s="455"/>
    </row>
    <row r="299" spans="3:21">
      <c r="C299" s="455"/>
      <c r="D299" s="455"/>
      <c r="E299" s="455"/>
      <c r="F299" s="455"/>
      <c r="G299" s="455"/>
      <c r="H299" s="455"/>
      <c r="I299" s="455"/>
      <c r="J299" s="455"/>
      <c r="K299" s="455"/>
      <c r="L299" s="455"/>
      <c r="M299" s="455"/>
      <c r="N299" s="455"/>
    </row>
    <row r="300" spans="3:21">
      <c r="C300" s="455"/>
      <c r="D300" s="455"/>
      <c r="E300" s="455"/>
      <c r="F300" s="455"/>
      <c r="G300" s="455"/>
      <c r="H300" s="455"/>
      <c r="I300" s="455"/>
      <c r="J300" s="455"/>
      <c r="K300" s="455"/>
      <c r="L300" s="455"/>
      <c r="M300" s="455"/>
      <c r="N300" s="455"/>
    </row>
    <row r="301" spans="3:21">
      <c r="C301" s="455"/>
      <c r="D301" s="455"/>
      <c r="E301" s="455"/>
      <c r="F301" s="455"/>
      <c r="G301" s="455"/>
      <c r="H301" s="455"/>
      <c r="I301" s="455"/>
      <c r="J301" s="455"/>
      <c r="K301" s="455"/>
      <c r="L301" s="455"/>
      <c r="M301" s="455"/>
      <c r="N301" s="455"/>
    </row>
    <row r="302" spans="3:21">
      <c r="C302" s="455"/>
      <c r="D302" s="455"/>
      <c r="E302" s="455"/>
      <c r="F302" s="455"/>
      <c r="G302" s="455"/>
      <c r="H302" s="455"/>
      <c r="I302" s="455"/>
      <c r="J302" s="455"/>
      <c r="K302" s="455"/>
      <c r="L302" s="455"/>
      <c r="M302" s="455"/>
      <c r="N302" s="455"/>
    </row>
    <row r="303" spans="3:21">
      <c r="C303" s="455"/>
      <c r="D303" s="455"/>
      <c r="E303" s="455"/>
      <c r="F303" s="455"/>
      <c r="G303" s="455"/>
      <c r="H303" s="455"/>
      <c r="I303" s="455"/>
      <c r="J303" s="455"/>
      <c r="K303" s="455"/>
      <c r="L303" s="455"/>
      <c r="M303" s="455"/>
      <c r="N303" s="455"/>
    </row>
    <row r="304" spans="3:21">
      <c r="C304" s="455"/>
      <c r="D304" s="455"/>
      <c r="E304" s="455"/>
      <c r="F304" s="455"/>
      <c r="G304" s="455"/>
      <c r="H304" s="455"/>
      <c r="I304" s="455"/>
      <c r="J304" s="455"/>
      <c r="K304" s="455"/>
      <c r="L304" s="455"/>
      <c r="M304" s="455"/>
      <c r="N304" s="455"/>
    </row>
    <row r="305" spans="3:14">
      <c r="C305" s="455"/>
      <c r="D305" s="455"/>
      <c r="E305" s="455"/>
      <c r="F305" s="455"/>
      <c r="G305" s="455"/>
      <c r="H305" s="455"/>
      <c r="I305" s="455"/>
      <c r="J305" s="455"/>
      <c r="K305" s="455"/>
      <c r="L305" s="455"/>
      <c r="M305" s="455"/>
      <c r="N305" s="455"/>
    </row>
    <row r="306" spans="3:14">
      <c r="C306" s="455"/>
      <c r="D306" s="455"/>
      <c r="E306" s="455"/>
      <c r="F306" s="455"/>
      <c r="G306" s="455"/>
      <c r="H306" s="455"/>
      <c r="I306" s="455"/>
      <c r="J306" s="455"/>
      <c r="K306" s="455"/>
      <c r="L306" s="455"/>
      <c r="M306" s="455"/>
      <c r="N306" s="455"/>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2017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80" zoomScaleNormal="80" workbookViewId="0">
      <selection activeCell="E28" sqref="E28"/>
    </sheetView>
  </sheetViews>
  <sheetFormatPr defaultColWidth="9" defaultRowHeight="15.75"/>
  <cols>
    <col min="1" max="1" width="4.5546875" style="887" customWidth="1"/>
    <col min="2" max="2" width="17" style="886" customWidth="1"/>
    <col min="3" max="3" width="56.5546875" style="886" customWidth="1"/>
    <col min="4" max="4" width="45.5546875" style="886" customWidth="1"/>
    <col min="5" max="5" width="12.88671875" style="886" bestFit="1" customWidth="1"/>
    <col min="6" max="6" width="10.44140625" style="886" customWidth="1"/>
    <col min="7" max="16384" width="9" style="886"/>
  </cols>
  <sheetData>
    <row r="1" spans="1:21">
      <c r="A1"/>
      <c r="B1"/>
      <c r="C1"/>
      <c r="D1"/>
      <c r="E1"/>
      <c r="F1" s="658" t="str">
        <f>'Att O_RPU'!K$3</f>
        <v>For the 12 months ended 12/31/17</v>
      </c>
    </row>
    <row r="2" spans="1:21">
      <c r="A2"/>
      <c r="B2"/>
      <c r="C2"/>
      <c r="D2"/>
      <c r="E2"/>
      <c r="F2"/>
    </row>
    <row r="3" spans="1:21">
      <c r="A3" s="964" t="s">
        <v>633</v>
      </c>
      <c r="B3" s="964"/>
      <c r="C3" s="964"/>
      <c r="D3" s="964"/>
      <c r="E3" s="964"/>
      <c r="F3" s="964"/>
    </row>
    <row r="4" spans="1:21">
      <c r="A4" s="964" t="s">
        <v>810</v>
      </c>
      <c r="B4" s="964"/>
      <c r="C4" s="964"/>
      <c r="D4" s="964"/>
      <c r="E4" s="964"/>
      <c r="F4" s="964"/>
    </row>
    <row r="5" spans="1:21">
      <c r="A5" s="964" t="s">
        <v>1027</v>
      </c>
      <c r="B5" s="964"/>
      <c r="C5" s="964"/>
      <c r="D5" s="964"/>
      <c r="E5" s="964"/>
      <c r="F5" s="964"/>
    </row>
    <row r="6" spans="1:21">
      <c r="A6" s="503"/>
      <c r="B6" s="503"/>
      <c r="C6" s="503"/>
      <c r="D6" s="503"/>
      <c r="E6" s="503"/>
      <c r="F6" s="503"/>
    </row>
    <row r="7" spans="1:21">
      <c r="A7" s="965" t="str">
        <f>CONCATENATE("Calculation of Schedule 1 Recoverable Expenses for for 12 months ended 12/31/",'Att O_RPU'!E319)</f>
        <v>Calculation of Schedule 1 Recoverable Expenses for for 12 months ended 12/31/2017</v>
      </c>
      <c r="B7" s="965"/>
      <c r="C7" s="965"/>
      <c r="D7" s="965"/>
      <c r="E7" s="965"/>
      <c r="F7" s="965"/>
    </row>
    <row r="8" spans="1:21">
      <c r="A8" s="888"/>
      <c r="B8" s="888"/>
      <c r="C8" s="888"/>
      <c r="D8" s="888"/>
      <c r="E8" s="888"/>
      <c r="F8" s="888"/>
    </row>
    <row r="9" spans="1:21">
      <c r="A9" s="966" t="str">
        <f>CONCATENATE("Includes Schedule 1 True-up Adjustment for 12 months ended 12/31/",'Att O_RPU'!E318-1,"    (1)")</f>
        <v>Includes Schedule 1 True-up Adjustment for 12 months ended 12/31/2015    (1)</v>
      </c>
      <c r="B9" s="966"/>
      <c r="C9" s="966"/>
      <c r="D9" s="966"/>
      <c r="E9" s="966"/>
      <c r="F9" s="966"/>
    </row>
    <row r="10" spans="1:21" ht="31.5">
      <c r="A10" s="529" t="s">
        <v>466</v>
      </c>
      <c r="B10"/>
      <c r="C10"/>
      <c r="D10"/>
      <c r="E10"/>
      <c r="F10"/>
    </row>
    <row r="11" spans="1:21">
      <c r="A11" s="886"/>
      <c r="B11"/>
      <c r="C11" s="892"/>
      <c r="D11" s="892"/>
      <c r="E11" s="892"/>
      <c r="F11" s="893"/>
      <c r="G11" s="893"/>
      <c r="H11" s="893"/>
      <c r="I11" s="893"/>
      <c r="J11" s="893"/>
      <c r="K11" s="893"/>
      <c r="L11" s="893"/>
      <c r="M11" s="893"/>
      <c r="N11" s="893"/>
      <c r="O11" s="893"/>
      <c r="P11" s="893"/>
      <c r="Q11" s="893"/>
      <c r="R11" s="893"/>
      <c r="S11" s="893"/>
      <c r="T11" s="893"/>
      <c r="U11" s="893"/>
    </row>
    <row r="12" spans="1:21">
      <c r="A12" s="886"/>
      <c r="B12" s="894"/>
      <c r="C12" s="894"/>
      <c r="D12" s="895"/>
      <c r="E12" s="896" t="s">
        <v>776</v>
      </c>
      <c r="F12" s="896"/>
    </row>
    <row r="13" spans="1:21">
      <c r="A13" s="886"/>
      <c r="B13" s="894"/>
      <c r="C13" s="894"/>
      <c r="D13" s="51"/>
      <c r="E13" s="897"/>
      <c r="F13" s="897"/>
    </row>
    <row r="14" spans="1:21">
      <c r="A14" s="898">
        <f>1+A11</f>
        <v>1</v>
      </c>
      <c r="B14" s="51" t="s">
        <v>1028</v>
      </c>
      <c r="C14" s="51"/>
      <c r="D14" s="51" t="s">
        <v>1029</v>
      </c>
      <c r="E14" s="899">
        <f>'Transmission O&amp;M'!C9</f>
        <v>47500</v>
      </c>
      <c r="F14" s="899"/>
    </row>
    <row r="15" spans="1:21">
      <c r="A15" s="898">
        <f>1+A14</f>
        <v>2</v>
      </c>
      <c r="B15" s="51" t="s">
        <v>1030</v>
      </c>
      <c r="C15" s="51"/>
      <c r="D15" s="51" t="s">
        <v>1029</v>
      </c>
      <c r="E15" s="899">
        <f>'Transmission O&amp;M'!C10</f>
        <v>202300</v>
      </c>
      <c r="F15" s="900"/>
    </row>
    <row r="16" spans="1:21">
      <c r="A16" s="898">
        <f>1+A15</f>
        <v>3</v>
      </c>
      <c r="B16" s="51" t="s">
        <v>1031</v>
      </c>
      <c r="C16" s="51"/>
      <c r="D16" s="51" t="s">
        <v>1029</v>
      </c>
      <c r="E16" s="899">
        <f>'Transmission O&amp;M'!C11</f>
        <v>10300</v>
      </c>
      <c r="F16" s="900"/>
    </row>
    <row r="17" spans="1:8">
      <c r="A17" s="898">
        <f>1+A16</f>
        <v>4</v>
      </c>
      <c r="B17" s="51" t="s">
        <v>1032</v>
      </c>
      <c r="C17" s="51"/>
      <c r="D17" s="51" t="s">
        <v>1033</v>
      </c>
      <c r="E17" s="901">
        <f>+E14+E15+E16</f>
        <v>260100</v>
      </c>
      <c r="F17" s="899"/>
    </row>
    <row r="18" spans="1:8">
      <c r="A18" s="886"/>
      <c r="B18" s="51"/>
      <c r="C18" s="51"/>
      <c r="D18" s="51"/>
      <c r="E18" s="900"/>
      <c r="F18" s="900"/>
    </row>
    <row r="19" spans="1:8" ht="18.75">
      <c r="A19" s="898">
        <f>1+A17</f>
        <v>5</v>
      </c>
      <c r="B19" s="12" t="s">
        <v>1034</v>
      </c>
      <c r="C19" s="12"/>
      <c r="D19" s="120" t="s">
        <v>1035</v>
      </c>
      <c r="E19" s="902">
        <v>0</v>
      </c>
      <c r="F19" s="903"/>
    </row>
    <row r="20" spans="1:8">
      <c r="A20" s="886"/>
      <c r="B20" s="12"/>
      <c r="C20" s="12"/>
      <c r="D20" s="12"/>
      <c r="E20" s="737"/>
      <c r="F20" s="737"/>
    </row>
    <row r="21" spans="1:8" ht="18.75">
      <c r="A21" s="898">
        <f>1+A19</f>
        <v>6</v>
      </c>
      <c r="B21" s="904" t="s">
        <v>1036</v>
      </c>
      <c r="C21" s="12"/>
      <c r="D21" s="12" t="s">
        <v>1037</v>
      </c>
      <c r="E21" s="905">
        <f>+E17-E19</f>
        <v>260100</v>
      </c>
      <c r="F21" s="906"/>
    </row>
    <row r="22" spans="1:8">
      <c r="A22" s="886"/>
      <c r="B22" s="12"/>
      <c r="C22" s="12"/>
      <c r="D22" s="12"/>
      <c r="E22" s="12"/>
      <c r="F22" s="12"/>
    </row>
    <row r="23" spans="1:8">
      <c r="A23" s="898">
        <f>1+A21</f>
        <v>7</v>
      </c>
      <c r="B23" s="904" t="s">
        <v>1038</v>
      </c>
      <c r="C23" s="12"/>
      <c r="D23" s="120" t="str">
        <f>CONCATENATE("See RPU Attach O_GG ",'Att O_RPU'!E318-1," True-up and Workpapers")</f>
        <v>See RPU Attach O_GG 2015 True-up and Workpapers</v>
      </c>
      <c r="E23" s="902">
        <v>-145038.95582</v>
      </c>
      <c r="F23" s="903"/>
    </row>
    <row r="24" spans="1:8">
      <c r="A24" s="898"/>
      <c r="B24" s="904"/>
      <c r="C24" s="12"/>
      <c r="D24" s="120" t="s">
        <v>1079</v>
      </c>
      <c r="E24" s="907"/>
      <c r="F24" s="903"/>
    </row>
    <row r="25" spans="1:8">
      <c r="A25" s="898"/>
      <c r="B25" s="904"/>
      <c r="C25" s="12"/>
      <c r="D25" s="120"/>
      <c r="E25" s="907"/>
      <c r="F25" s="903"/>
    </row>
    <row r="26" spans="1:8">
      <c r="A26" s="898">
        <f>1+A23</f>
        <v>8</v>
      </c>
      <c r="B26" s="904" t="s">
        <v>1039</v>
      </c>
      <c r="C26" s="12"/>
      <c r="D26" s="120" t="s">
        <v>1040</v>
      </c>
      <c r="E26" s="902">
        <f>'Account 456.1'!D11</f>
        <v>0</v>
      </c>
      <c r="F26"/>
      <c r="G26"/>
      <c r="H26"/>
    </row>
    <row r="27" spans="1:8">
      <c r="A27" s="886"/>
      <c r="B27" s="51"/>
      <c r="C27" s="51"/>
      <c r="D27" s="51"/>
      <c r="E27" s="900"/>
      <c r="F27" s="900"/>
    </row>
    <row r="28" spans="1:8" ht="16.5" thickBot="1">
      <c r="A28" s="898">
        <f>1+A26</f>
        <v>9</v>
      </c>
      <c r="B28" s="897" t="s">
        <v>1041</v>
      </c>
      <c r="C28" s="51"/>
      <c r="D28" s="932" t="s">
        <v>1080</v>
      </c>
      <c r="E28" s="908">
        <f>E21+E23-E26</f>
        <v>115061.04418</v>
      </c>
      <c r="F28" s="120"/>
    </row>
    <row r="29" spans="1:8" ht="16.5" thickTop="1">
      <c r="A29" s="886"/>
      <c r="B29" s="51"/>
      <c r="C29" s="51"/>
      <c r="D29" s="51"/>
      <c r="E29" s="51"/>
      <c r="F29" s="51"/>
    </row>
    <row r="30" spans="1:8">
      <c r="A30" s="886"/>
      <c r="B30" s="51" t="s">
        <v>1042</v>
      </c>
      <c r="C30" s="51"/>
      <c r="D30" s="51" t="s">
        <v>1043</v>
      </c>
      <c r="E30" s="909">
        <f>'Att O_RPU'!I41</f>
        <v>215666.66666666666</v>
      </c>
      <c r="F30" s="120"/>
    </row>
    <row r="31" spans="1:8">
      <c r="A31" s="886"/>
      <c r="B31" s="51"/>
      <c r="C31" s="51"/>
      <c r="D31" s="51"/>
      <c r="E31" s="51"/>
      <c r="F31" s="51"/>
    </row>
    <row r="32" spans="1:8">
      <c r="A32" s="898">
        <f>1+A28</f>
        <v>10</v>
      </c>
      <c r="B32" s="51" t="s">
        <v>26</v>
      </c>
      <c r="C32" s="51"/>
      <c r="D32" s="51"/>
      <c r="E32" s="910">
        <f>ROUND(E28/E30,8)</f>
        <v>0.53351333999999995</v>
      </c>
      <c r="F32" s="51"/>
    </row>
    <row r="33" spans="1:6">
      <c r="A33" s="886"/>
      <c r="B33" s="51"/>
      <c r="C33" s="51"/>
      <c r="D33" s="51"/>
      <c r="E33" s="51"/>
      <c r="F33" s="51"/>
    </row>
    <row r="34" spans="1:6">
      <c r="B34" s="963" t="s">
        <v>914</v>
      </c>
      <c r="C34" s="963"/>
      <c r="D34" s="963"/>
      <c r="E34" s="963"/>
      <c r="F34" s="963"/>
    </row>
    <row r="36" spans="1:6">
      <c r="B36" s="499" t="s">
        <v>1044</v>
      </c>
    </row>
    <row r="37" spans="1:6">
      <c r="B37" s="886" t="s">
        <v>1045</v>
      </c>
    </row>
    <row r="38" spans="1:6">
      <c r="B38" s="12" t="s">
        <v>1046</v>
      </c>
      <c r="C38" s="911"/>
    </row>
    <row r="39" spans="1:6">
      <c r="B39" s="12" t="s">
        <v>1047</v>
      </c>
      <c r="C39" s="911"/>
    </row>
    <row r="40" spans="1:6">
      <c r="B40" s="12" t="s">
        <v>1048</v>
      </c>
      <c r="C40" s="911"/>
    </row>
    <row r="41" spans="1:6">
      <c r="B41" s="12" t="s">
        <v>1049</v>
      </c>
      <c r="C41" s="911"/>
    </row>
  </sheetData>
  <mergeCells count="6">
    <mergeCell ref="B34:F34"/>
    <mergeCell ref="A3:F3"/>
    <mergeCell ref="A4:F4"/>
    <mergeCell ref="A5:F5"/>
    <mergeCell ref="A7:F7"/>
    <mergeCell ref="A9:F9"/>
  </mergeCells>
  <pageMargins left="0.7" right="0.7" top="0.75" bottom="0.75" header="0.3" footer="0.3"/>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topLeftCell="A10" zoomScale="80" zoomScaleNormal="80" workbookViewId="0">
      <selection activeCell="D25" sqref="D25"/>
    </sheetView>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12/31/17</v>
      </c>
    </row>
    <row r="2" spans="1:4" ht="15.75">
      <c r="A2" s="3"/>
      <c r="B2" s="3"/>
      <c r="C2" s="3"/>
      <c r="D2" s="13"/>
    </row>
    <row r="3" spans="1:4" ht="15.75" customHeight="1">
      <c r="A3" s="967" t="s">
        <v>633</v>
      </c>
      <c r="B3" s="967"/>
      <c r="C3" s="967"/>
      <c r="D3" s="967"/>
    </row>
    <row r="4" spans="1:4" ht="18.75">
      <c r="A4" s="967" t="s">
        <v>810</v>
      </c>
      <c r="B4" s="967"/>
      <c r="C4" s="967"/>
      <c r="D4" s="967"/>
    </row>
    <row r="5" spans="1:4" ht="15.75">
      <c r="A5" s="3"/>
      <c r="B5" s="3"/>
      <c r="C5" s="3"/>
      <c r="D5" s="3"/>
    </row>
    <row r="6" spans="1:4" ht="18.75">
      <c r="A6" s="967" t="s">
        <v>811</v>
      </c>
      <c r="B6" s="967"/>
      <c r="C6" s="967"/>
      <c r="D6" s="967"/>
    </row>
    <row r="7" spans="1:4" ht="15.75">
      <c r="A7" s="968" t="s">
        <v>812</v>
      </c>
      <c r="B7" s="968"/>
      <c r="C7" s="968"/>
      <c r="D7" s="968"/>
    </row>
    <row r="8" spans="1:4" ht="15.75">
      <c r="A8" s="474"/>
      <c r="B8" s="475" t="s">
        <v>775</v>
      </c>
      <c r="C8" s="474"/>
      <c r="D8" s="475" t="s">
        <v>776</v>
      </c>
    </row>
    <row r="9" spans="1:4" ht="15.75">
      <c r="A9" s="475" t="s">
        <v>4</v>
      </c>
      <c r="B9" s="475" t="s">
        <v>583</v>
      </c>
      <c r="C9" s="474"/>
      <c r="D9" s="475" t="s">
        <v>777</v>
      </c>
    </row>
    <row r="10" spans="1:4" ht="15.75">
      <c r="A10" s="476" t="s">
        <v>6</v>
      </c>
      <c r="B10" s="476" t="s">
        <v>778</v>
      </c>
      <c r="C10" s="476" t="s">
        <v>779</v>
      </c>
      <c r="D10" s="476" t="s">
        <v>809</v>
      </c>
    </row>
    <row r="11" spans="1:4" ht="15.75">
      <c r="A11" s="474"/>
      <c r="B11" s="475" t="s">
        <v>780</v>
      </c>
      <c r="C11" s="475" t="s">
        <v>991</v>
      </c>
      <c r="D11" s="475" t="s">
        <v>781</v>
      </c>
    </row>
    <row r="12" spans="1:4" ht="15.75">
      <c r="A12" s="474"/>
      <c r="B12" s="474"/>
      <c r="C12" s="474"/>
      <c r="D12" s="475" t="s">
        <v>113</v>
      </c>
    </row>
    <row r="13" spans="1:4" ht="15.75">
      <c r="A13" s="474"/>
      <c r="B13" s="474"/>
      <c r="C13" s="477" t="s">
        <v>782</v>
      </c>
      <c r="D13" s="474"/>
    </row>
    <row r="14" spans="1:4" ht="15.75">
      <c r="A14" s="479">
        <v>1</v>
      </c>
      <c r="B14" s="479">
        <v>350</v>
      </c>
      <c r="C14" s="478" t="s">
        <v>783</v>
      </c>
      <c r="D14" s="31" t="s">
        <v>784</v>
      </c>
    </row>
    <row r="15" spans="1:4" ht="15.75">
      <c r="A15" s="479">
        <v>2</v>
      </c>
      <c r="B15" s="479">
        <v>352</v>
      </c>
      <c r="C15" s="478" t="s">
        <v>785</v>
      </c>
      <c r="D15" s="30">
        <v>2.8570000000000002</v>
      </c>
    </row>
    <row r="16" spans="1:4" ht="15.75">
      <c r="A16" s="479">
        <v>3</v>
      </c>
      <c r="B16" s="479">
        <v>353</v>
      </c>
      <c r="C16" s="478" t="s">
        <v>786</v>
      </c>
      <c r="D16" s="30">
        <v>2.8570000000000002</v>
      </c>
    </row>
    <row r="17" spans="1:4" ht="15.75">
      <c r="A17" s="479">
        <v>4</v>
      </c>
      <c r="B17" s="479">
        <v>355</v>
      </c>
      <c r="C17" s="478" t="s">
        <v>787</v>
      </c>
      <c r="D17" s="30">
        <v>2.8570000000000002</v>
      </c>
    </row>
    <row r="18" spans="1:4" ht="15.75">
      <c r="A18" s="479">
        <v>5</v>
      </c>
      <c r="B18" s="479">
        <v>356</v>
      </c>
      <c r="C18" s="478" t="s">
        <v>788</v>
      </c>
      <c r="D18" s="30">
        <v>2.8570000000000002</v>
      </c>
    </row>
    <row r="19" spans="1:4" ht="15.75">
      <c r="A19" s="480"/>
      <c r="B19" s="480"/>
      <c r="C19" s="474"/>
      <c r="D19" s="481"/>
    </row>
    <row r="20" spans="1:4" ht="15.75">
      <c r="A20" s="480"/>
      <c r="B20" s="480"/>
      <c r="C20" s="477" t="s">
        <v>789</v>
      </c>
      <c r="D20" s="481"/>
    </row>
    <row r="21" spans="1:4" ht="15.75">
      <c r="A21" s="479">
        <v>6</v>
      </c>
      <c r="B21" s="479">
        <v>389</v>
      </c>
      <c r="C21" s="478" t="s">
        <v>783</v>
      </c>
      <c r="D21" s="30" t="s">
        <v>784</v>
      </c>
    </row>
    <row r="22" spans="1:4" ht="15.75">
      <c r="A22" s="479">
        <v>7</v>
      </c>
      <c r="B22" s="479">
        <v>390</v>
      </c>
      <c r="C22" s="478" t="s">
        <v>790</v>
      </c>
      <c r="D22" s="30">
        <v>10</v>
      </c>
    </row>
    <row r="23" spans="1:4" ht="15.75">
      <c r="A23" s="479">
        <v>8</v>
      </c>
      <c r="B23" s="479">
        <v>390</v>
      </c>
      <c r="C23" s="478" t="s">
        <v>791</v>
      </c>
      <c r="D23" s="30">
        <v>5</v>
      </c>
    </row>
    <row r="24" spans="1:4" ht="15.75">
      <c r="A24" s="479">
        <v>9</v>
      </c>
      <c r="B24" s="479">
        <v>390</v>
      </c>
      <c r="C24" s="478" t="s">
        <v>792</v>
      </c>
      <c r="D24" s="30">
        <v>2</v>
      </c>
    </row>
    <row r="25" spans="1:4" ht="15.75">
      <c r="A25" s="479">
        <v>10</v>
      </c>
      <c r="B25" s="479">
        <v>391</v>
      </c>
      <c r="C25" s="478" t="s">
        <v>793</v>
      </c>
      <c r="D25" s="30">
        <v>10</v>
      </c>
    </row>
    <row r="26" spans="1:4" ht="15.75">
      <c r="A26" s="479">
        <v>11</v>
      </c>
      <c r="B26" s="479">
        <v>391</v>
      </c>
      <c r="C26" s="478" t="s">
        <v>794</v>
      </c>
      <c r="D26" s="30">
        <v>10</v>
      </c>
    </row>
    <row r="27" spans="1:4" ht="15.75">
      <c r="A27" s="479">
        <v>12</v>
      </c>
      <c r="B27" s="479">
        <v>391</v>
      </c>
      <c r="C27" s="478" t="s">
        <v>795</v>
      </c>
      <c r="D27" s="30">
        <v>5</v>
      </c>
    </row>
    <row r="28" spans="1:4" ht="15.75">
      <c r="A28" s="479">
        <v>13</v>
      </c>
      <c r="B28" s="479">
        <v>392</v>
      </c>
      <c r="C28" s="478" t="s">
        <v>796</v>
      </c>
      <c r="D28" s="30">
        <v>20</v>
      </c>
    </row>
    <row r="29" spans="1:4" ht="15.75">
      <c r="A29" s="479">
        <v>14</v>
      </c>
      <c r="B29" s="479">
        <v>392</v>
      </c>
      <c r="C29" s="478" t="s">
        <v>797</v>
      </c>
      <c r="D29" s="30">
        <v>10</v>
      </c>
    </row>
    <row r="30" spans="1:4" ht="15.75">
      <c r="A30" s="479">
        <v>15</v>
      </c>
      <c r="B30" s="479">
        <v>393</v>
      </c>
      <c r="C30" s="478" t="s">
        <v>798</v>
      </c>
      <c r="D30" s="30">
        <v>10</v>
      </c>
    </row>
    <row r="31" spans="1:4" ht="15.75">
      <c r="A31" s="479">
        <v>16</v>
      </c>
      <c r="B31" s="479">
        <v>394</v>
      </c>
      <c r="C31" s="478" t="s">
        <v>799</v>
      </c>
      <c r="D31" s="30">
        <v>14.286</v>
      </c>
    </row>
    <row r="32" spans="1:4" ht="15.75">
      <c r="A32" s="479">
        <v>17</v>
      </c>
      <c r="B32" s="479">
        <v>394</v>
      </c>
      <c r="C32" s="478" t="s">
        <v>800</v>
      </c>
      <c r="D32" s="30">
        <v>10</v>
      </c>
    </row>
    <row r="33" spans="1:15" ht="15.75">
      <c r="A33" s="479">
        <v>18</v>
      </c>
      <c r="B33" s="479">
        <v>395</v>
      </c>
      <c r="C33" s="478" t="s">
        <v>801</v>
      </c>
      <c r="D33" s="30">
        <v>10</v>
      </c>
    </row>
    <row r="34" spans="1:15" ht="15.75">
      <c r="A34" s="479">
        <v>19</v>
      </c>
      <c r="B34" s="479">
        <v>396</v>
      </c>
      <c r="C34" s="478" t="s">
        <v>802</v>
      </c>
      <c r="D34" s="30">
        <v>10</v>
      </c>
    </row>
    <row r="35" spans="1:15" ht="15.75">
      <c r="A35" s="479">
        <v>20</v>
      </c>
      <c r="B35" s="479">
        <v>397</v>
      </c>
      <c r="C35" s="478" t="s">
        <v>803</v>
      </c>
      <c r="D35" s="30">
        <v>10</v>
      </c>
    </row>
    <row r="36" spans="1:15" ht="15.75">
      <c r="A36" s="479">
        <v>21</v>
      </c>
      <c r="B36" s="479">
        <v>397</v>
      </c>
      <c r="C36" s="478" t="s">
        <v>804</v>
      </c>
      <c r="D36" s="30">
        <v>6.6669999999999998</v>
      </c>
    </row>
    <row r="37" spans="1:15" ht="15.75">
      <c r="A37" s="479">
        <v>22</v>
      </c>
      <c r="B37" s="479">
        <v>397</v>
      </c>
      <c r="C37" s="478" t="s">
        <v>805</v>
      </c>
      <c r="D37" s="30">
        <v>5</v>
      </c>
    </row>
    <row r="38" spans="1:15" ht="15.75">
      <c r="A38" s="479">
        <v>23</v>
      </c>
      <c r="B38" s="479">
        <v>397</v>
      </c>
      <c r="C38" s="478" t="s">
        <v>806</v>
      </c>
      <c r="D38" s="30">
        <v>2.8570000000000002</v>
      </c>
    </row>
    <row r="39" spans="1:15" ht="15.75">
      <c r="A39" s="479">
        <v>24</v>
      </c>
      <c r="B39" s="479">
        <v>398</v>
      </c>
      <c r="C39" s="478" t="s">
        <v>807</v>
      </c>
      <c r="D39" s="30">
        <v>10</v>
      </c>
    </row>
    <row r="40" spans="1:15" ht="15.75">
      <c r="A40" s="479">
        <v>25</v>
      </c>
      <c r="B40" s="479">
        <v>398</v>
      </c>
      <c r="C40" s="478" t="s">
        <v>808</v>
      </c>
      <c r="D40" s="30">
        <v>6.6669999999999998</v>
      </c>
    </row>
    <row r="41" spans="1:15" ht="15.75">
      <c r="A41" s="479"/>
    </row>
    <row r="43" spans="1:15" ht="15.75">
      <c r="I43" s="485"/>
      <c r="J43" s="485"/>
      <c r="K43" s="485"/>
      <c r="L43" s="485"/>
      <c r="M43" s="485"/>
      <c r="N43" s="485"/>
      <c r="O43" s="485"/>
    </row>
  </sheetData>
  <mergeCells count="4">
    <mergeCell ref="A3:D3"/>
    <mergeCell ref="A4:D4"/>
    <mergeCell ref="A6:D6"/>
    <mergeCell ref="A7:D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O187"/>
  <sheetViews>
    <sheetView zoomScale="80" zoomScaleNormal="80" workbookViewId="0">
      <selection activeCell="J27" sqref="J27"/>
    </sheetView>
  </sheetViews>
  <sheetFormatPr defaultRowHeight="15"/>
  <cols>
    <col min="1" max="1" width="4.44140625" customWidth="1"/>
    <col min="2" max="2" width="6.77734375" customWidth="1"/>
    <col min="3" max="3" width="9.77734375" bestFit="1" customWidth="1"/>
    <col min="4" max="4" width="10.88671875" customWidth="1"/>
    <col min="10" max="10" width="12.33203125" customWidth="1"/>
    <col min="13" max="13" width="3" customWidth="1"/>
    <col min="14" max="14" width="4.44140625" customWidth="1"/>
    <col min="15" max="15" width="25.88671875" customWidth="1"/>
    <col min="16" max="16" width="29.21875" customWidth="1"/>
    <col min="17" max="18" width="19.77734375" customWidth="1"/>
    <col min="19" max="19" width="8.5546875" bestFit="1" customWidth="1"/>
    <col min="20" max="20" width="9.6640625" bestFit="1" customWidth="1"/>
    <col min="21" max="21" width="3.109375" customWidth="1"/>
    <col min="22" max="22" width="13.5546875" customWidth="1"/>
    <col min="25" max="25" width="3.33203125" customWidth="1"/>
    <col min="28" max="28" width="3.21875" customWidth="1"/>
    <col min="31" max="31" width="3.109375" customWidth="1"/>
    <col min="32" max="32" width="9.77734375" customWidth="1"/>
    <col min="34" max="34" width="3.6640625" customWidth="1"/>
    <col min="35" max="35" width="9.88671875" bestFit="1" customWidth="1"/>
    <col min="37" max="37" width="3.109375" customWidth="1"/>
    <col min="38" max="38" width="9.88671875" bestFit="1" customWidth="1"/>
    <col min="40" max="40" width="4.21875" customWidth="1"/>
    <col min="41" max="41" width="9.88671875" bestFit="1" customWidth="1"/>
    <col min="43" max="43" width="3.44140625" customWidth="1"/>
    <col min="46" max="46" width="3.77734375" customWidth="1"/>
    <col min="47" max="47" width="9.88671875" bestFit="1" customWidth="1"/>
    <col min="49" max="49" width="3.77734375" customWidth="1"/>
    <col min="50" max="50" width="9.88671875" bestFit="1" customWidth="1"/>
    <col min="52" max="52" width="4" customWidth="1"/>
    <col min="55" max="55" width="3.88671875" customWidth="1"/>
    <col min="58" max="58" width="3.33203125" customWidth="1"/>
    <col min="61" max="61" width="2.77734375" customWidth="1"/>
    <col min="64" max="64" width="3.109375" customWidth="1"/>
    <col min="67" max="67" width="2.88671875" customWidth="1"/>
    <col min="68" max="68" width="9.88671875" bestFit="1" customWidth="1"/>
    <col min="70" max="70" width="3.21875" customWidth="1"/>
    <col min="71" max="71" width="9.88671875" bestFit="1" customWidth="1"/>
    <col min="73" max="73" width="2" customWidth="1"/>
    <col min="74" max="74" width="9.88671875" bestFit="1" customWidth="1"/>
    <col min="76" max="76" width="3" customWidth="1"/>
    <col min="79" max="79" width="2.77734375" customWidth="1"/>
    <col min="82" max="82" width="3.5546875" customWidth="1"/>
  </cols>
  <sheetData>
    <row r="1" spans="1:22" ht="15.75">
      <c r="L1" s="658" t="str">
        <f>'Att O_RPU'!K$3</f>
        <v>For the 12 months ended 12/31/17</v>
      </c>
      <c r="V1" s="658" t="str">
        <f>'Att O_RPU'!K$3</f>
        <v>For the 12 months ended 12/31/17</v>
      </c>
    </row>
    <row r="2" spans="1:22" ht="15.75">
      <c r="L2" s="612" t="s">
        <v>1078</v>
      </c>
      <c r="V2" s="64" t="s">
        <v>1050</v>
      </c>
    </row>
    <row r="4" spans="1:22" ht="15.75">
      <c r="A4" s="964" t="s">
        <v>633</v>
      </c>
      <c r="B4" s="964"/>
      <c r="C4" s="964"/>
      <c r="D4" s="964"/>
      <c r="E4" s="964"/>
      <c r="F4" s="964"/>
      <c r="G4" s="964"/>
      <c r="H4" s="964"/>
      <c r="I4" s="964"/>
      <c r="J4" s="964"/>
      <c r="K4" s="964"/>
      <c r="L4" s="964"/>
      <c r="N4" s="964" t="s">
        <v>633</v>
      </c>
      <c r="O4" s="964"/>
      <c r="P4" s="964"/>
      <c r="Q4" s="964"/>
      <c r="R4" s="964"/>
      <c r="S4" s="964"/>
      <c r="T4" s="964"/>
      <c r="U4" s="964"/>
      <c r="V4" s="964"/>
    </row>
    <row r="5" spans="1:22" ht="15.75">
      <c r="A5" s="964" t="s">
        <v>810</v>
      </c>
      <c r="B5" s="964"/>
      <c r="C5" s="964"/>
      <c r="D5" s="964"/>
      <c r="E5" s="964"/>
      <c r="F5" s="964"/>
      <c r="G5" s="964"/>
      <c r="H5" s="964"/>
      <c r="I5" s="964"/>
      <c r="J5" s="964"/>
      <c r="K5" s="964"/>
      <c r="L5" s="964"/>
      <c r="N5" s="964" t="s">
        <v>810</v>
      </c>
      <c r="O5" s="964"/>
      <c r="P5" s="964"/>
      <c r="Q5" s="964"/>
      <c r="R5" s="964"/>
      <c r="S5" s="964"/>
      <c r="T5" s="964"/>
      <c r="U5" s="964"/>
      <c r="V5" s="964"/>
    </row>
    <row r="6" spans="1:22" ht="15.75">
      <c r="A6" s="964" t="s">
        <v>937</v>
      </c>
      <c r="B6" s="964"/>
      <c r="C6" s="964"/>
      <c r="D6" s="964"/>
      <c r="E6" s="964"/>
      <c r="F6" s="964"/>
      <c r="G6" s="964"/>
      <c r="H6" s="964"/>
      <c r="I6" s="964"/>
      <c r="J6" s="964"/>
      <c r="K6" s="964"/>
      <c r="L6" s="964"/>
      <c r="N6" s="964" t="s">
        <v>937</v>
      </c>
      <c r="O6" s="964"/>
      <c r="P6" s="964"/>
      <c r="Q6" s="964"/>
      <c r="R6" s="964"/>
      <c r="S6" s="964"/>
      <c r="T6" s="964"/>
      <c r="U6" s="964"/>
      <c r="V6" s="964"/>
    </row>
    <row r="7" spans="1:22">
      <c r="A7" s="503"/>
      <c r="B7" s="503"/>
      <c r="C7" s="503"/>
      <c r="D7" s="503"/>
      <c r="E7" s="503"/>
      <c r="F7" s="503"/>
      <c r="G7" s="503"/>
      <c r="H7" s="503"/>
      <c r="I7" s="503"/>
      <c r="J7" s="503"/>
      <c r="K7" s="503"/>
      <c r="L7" s="503"/>
      <c r="N7" s="503"/>
      <c r="O7" s="503"/>
      <c r="P7" s="503"/>
      <c r="Q7" s="503"/>
    </row>
    <row r="8" spans="1:22" ht="15.75">
      <c r="A8" s="975" t="s">
        <v>913</v>
      </c>
      <c r="B8" s="975"/>
      <c r="C8" s="975"/>
      <c r="D8" s="975"/>
      <c r="E8" s="975"/>
      <c r="F8" s="975"/>
      <c r="G8" s="975"/>
      <c r="H8" s="975"/>
      <c r="I8" s="975"/>
      <c r="J8" s="975"/>
      <c r="K8" s="975"/>
      <c r="L8" s="975"/>
      <c r="N8" s="965" t="s">
        <v>1051</v>
      </c>
      <c r="O8" s="965"/>
      <c r="P8" s="965"/>
      <c r="Q8" s="965"/>
      <c r="R8" s="965"/>
      <c r="S8" s="965"/>
      <c r="T8" s="965"/>
      <c r="U8" s="965"/>
      <c r="V8" s="965"/>
    </row>
    <row r="10" spans="1:22" ht="31.5">
      <c r="A10" s="529" t="s">
        <v>466</v>
      </c>
      <c r="N10" s="529" t="s">
        <v>466</v>
      </c>
      <c r="S10" s="912" t="s">
        <v>776</v>
      </c>
      <c r="T10" s="912" t="s">
        <v>1052</v>
      </c>
      <c r="V10" s="896" t="s">
        <v>1053</v>
      </c>
    </row>
    <row r="11" spans="1:22" ht="15.75">
      <c r="A11" s="612"/>
      <c r="C11" s="976" t="s">
        <v>959</v>
      </c>
      <c r="D11" s="976"/>
      <c r="E11" s="976"/>
      <c r="F11" s="976"/>
      <c r="G11" s="976"/>
      <c r="H11" s="976"/>
      <c r="I11" s="976"/>
      <c r="J11" s="976"/>
      <c r="O11" s="913" t="s">
        <v>824</v>
      </c>
      <c r="Q11" s="914" t="s">
        <v>825</v>
      </c>
      <c r="S11" s="914" t="s">
        <v>1054</v>
      </c>
      <c r="T11" s="914" t="s">
        <v>827</v>
      </c>
      <c r="V11" s="914" t="s">
        <v>828</v>
      </c>
    </row>
    <row r="12" spans="1:22" ht="15.75">
      <c r="A12" s="14">
        <v>1</v>
      </c>
      <c r="C12" s="974" t="s">
        <v>964</v>
      </c>
      <c r="D12" s="974"/>
      <c r="E12" s="974"/>
      <c r="F12" s="974"/>
      <c r="G12" s="974"/>
      <c r="H12" s="974"/>
      <c r="J12" s="847">
        <f>IF(J13&gt;0,'Att O_RPU'!I31,0)</f>
        <v>0</v>
      </c>
      <c r="N12" s="890">
        <v>1</v>
      </c>
      <c r="O12" s="51" t="s">
        <v>1028</v>
      </c>
      <c r="Q12" s="51" t="s">
        <v>1029</v>
      </c>
      <c r="S12" s="899">
        <f>IF($J$13&gt;0,'Transmission O&amp;M'!C9,0)</f>
        <v>0</v>
      </c>
      <c r="T12" s="915">
        <v>0</v>
      </c>
      <c r="V12" s="916">
        <f>+S12-T12</f>
        <v>0</v>
      </c>
    </row>
    <row r="13" spans="1:22" ht="15.75">
      <c r="A13" s="14">
        <f t="shared" ref="A13:A14" si="0">A12+1</f>
        <v>2</v>
      </c>
      <c r="C13" s="974" t="s">
        <v>965</v>
      </c>
      <c r="D13" s="974"/>
      <c r="E13" s="974"/>
      <c r="F13" s="974"/>
      <c r="G13" s="974"/>
      <c r="H13" s="974"/>
      <c r="J13" s="717">
        <v>0</v>
      </c>
      <c r="N13" s="890">
        <f t="shared" ref="N13:N14" si="1">N12+1</f>
        <v>2</v>
      </c>
      <c r="O13" s="51" t="s">
        <v>1030</v>
      </c>
      <c r="Q13" s="51" t="s">
        <v>1029</v>
      </c>
      <c r="S13" s="900">
        <f>IF($J$13&gt;0,'Transmission O&amp;M'!C10,0)</f>
        <v>0</v>
      </c>
      <c r="T13" s="917">
        <v>0</v>
      </c>
      <c r="V13" s="918">
        <f>+S13-T13</f>
        <v>0</v>
      </c>
    </row>
    <row r="14" spans="1:22" ht="15.75">
      <c r="A14" s="14">
        <f t="shared" si="0"/>
        <v>3</v>
      </c>
      <c r="C14" s="971" t="s">
        <v>915</v>
      </c>
      <c r="D14" s="971"/>
      <c r="E14" s="971"/>
      <c r="F14" s="971"/>
      <c r="G14" s="971"/>
      <c r="H14" s="971"/>
      <c r="J14" s="730">
        <f>J12-J13</f>
        <v>0</v>
      </c>
      <c r="N14" s="890">
        <f t="shared" si="1"/>
        <v>3</v>
      </c>
      <c r="O14" s="51" t="s">
        <v>1031</v>
      </c>
      <c r="Q14" s="51" t="s">
        <v>1029</v>
      </c>
      <c r="S14" s="900">
        <f>IF($J$13&gt;0,'Transmission O&amp;M'!C11,0)</f>
        <v>0</v>
      </c>
      <c r="T14" s="917">
        <v>0</v>
      </c>
      <c r="V14" s="918">
        <f>+S14-T14</f>
        <v>0</v>
      </c>
    </row>
    <row r="15" spans="1:22" ht="15.75">
      <c r="N15" s="890">
        <f>N14+1</f>
        <v>4</v>
      </c>
      <c r="O15" s="51" t="s">
        <v>1032</v>
      </c>
      <c r="Q15" s="51" t="s">
        <v>1033</v>
      </c>
      <c r="S15" s="901">
        <f>+S12+S13+S14</f>
        <v>0</v>
      </c>
      <c r="T15" s="901">
        <f>+T12+T13+T14</f>
        <v>0</v>
      </c>
      <c r="V15" s="901">
        <f>+V12+V13+V14</f>
        <v>0</v>
      </c>
    </row>
    <row r="16" spans="1:22" ht="15.75">
      <c r="A16" s="14">
        <f>A14+1</f>
        <v>4</v>
      </c>
      <c r="C16" s="971" t="s">
        <v>916</v>
      </c>
      <c r="D16" s="971"/>
      <c r="E16" s="971"/>
      <c r="F16" s="971"/>
      <c r="G16" s="971"/>
      <c r="H16" s="971"/>
      <c r="J16" s="846">
        <f>IF(J17&gt;0,Divisor!M24,0)</f>
        <v>0</v>
      </c>
      <c r="O16" s="51"/>
      <c r="Q16" s="51"/>
      <c r="S16" s="900"/>
      <c r="T16" s="900"/>
      <c r="V16" s="918"/>
    </row>
    <row r="17" spans="1:22" ht="18.75">
      <c r="A17" s="14">
        <f>A16+1</f>
        <v>5</v>
      </c>
      <c r="C17" s="973" t="s">
        <v>917</v>
      </c>
      <c r="D17" s="973"/>
      <c r="E17" s="973"/>
      <c r="F17" s="973"/>
      <c r="G17" s="973"/>
      <c r="H17" s="973"/>
      <c r="J17" s="718">
        <v>0</v>
      </c>
      <c r="N17" s="890">
        <f>N15+1</f>
        <v>5</v>
      </c>
      <c r="O17" s="12" t="s">
        <v>1034</v>
      </c>
      <c r="Q17" s="120" t="s">
        <v>1035</v>
      </c>
      <c r="S17" s="902">
        <v>0</v>
      </c>
      <c r="T17" s="902"/>
      <c r="V17" s="916">
        <f>+S17-T17</f>
        <v>0</v>
      </c>
    </row>
    <row r="18" spans="1:22" ht="15.75">
      <c r="A18" s="14">
        <f>A17+1</f>
        <v>6</v>
      </c>
      <c r="C18" s="974" t="s">
        <v>958</v>
      </c>
      <c r="D18" s="974"/>
      <c r="E18" s="974"/>
      <c r="F18" s="974"/>
      <c r="G18" s="974"/>
      <c r="H18" s="974"/>
      <c r="J18" s="727">
        <f>J17-J16</f>
        <v>0</v>
      </c>
      <c r="O18" s="12"/>
      <c r="Q18" s="12"/>
      <c r="S18" s="919"/>
      <c r="T18" s="900"/>
      <c r="V18" s="918"/>
    </row>
    <row r="19" spans="1:22" ht="18.75">
      <c r="A19" s="14">
        <f>A18+1</f>
        <v>7</v>
      </c>
      <c r="C19" s="974" t="s">
        <v>918</v>
      </c>
      <c r="D19" s="974"/>
      <c r="E19" s="974"/>
      <c r="F19" s="974"/>
      <c r="G19" s="974"/>
      <c r="H19" s="974"/>
      <c r="J19" s="845" t="e">
        <f>ROUND(J13/J17,3)</f>
        <v>#DIV/0!</v>
      </c>
      <c r="N19" s="890">
        <f>N17+1</f>
        <v>6</v>
      </c>
      <c r="O19" s="12" t="s">
        <v>1055</v>
      </c>
      <c r="Q19" s="12" t="s">
        <v>1056</v>
      </c>
      <c r="S19" s="906">
        <f>+S15-S17</f>
        <v>0</v>
      </c>
      <c r="T19" s="906">
        <f>+T15-T17</f>
        <v>0</v>
      </c>
      <c r="V19" s="916">
        <f>+S19-T19</f>
        <v>0</v>
      </c>
    </row>
    <row r="20" spans="1:22" ht="15.75">
      <c r="A20" s="14">
        <f>A19+1</f>
        <v>8</v>
      </c>
      <c r="C20" s="974" t="s">
        <v>919</v>
      </c>
      <c r="D20" s="974"/>
      <c r="E20" s="974"/>
      <c r="F20" s="974"/>
      <c r="G20" s="974"/>
      <c r="H20" s="974"/>
      <c r="J20" s="728" t="e">
        <f>ROUND(J18*J19,2)</f>
        <v>#DIV/0!</v>
      </c>
      <c r="O20" s="12"/>
      <c r="Q20" s="12"/>
      <c r="S20" s="12"/>
      <c r="T20" s="51"/>
      <c r="V20" s="920"/>
    </row>
    <row r="21" spans="1:22" ht="16.5" thickBot="1">
      <c r="A21" s="14">
        <f>A20+1</f>
        <v>9</v>
      </c>
      <c r="C21" s="749" t="s">
        <v>920</v>
      </c>
      <c r="D21" s="749"/>
      <c r="E21" s="749"/>
      <c r="F21" s="749"/>
      <c r="G21" s="749"/>
      <c r="H21" s="749"/>
      <c r="J21" s="729" t="e">
        <f>J14+J20</f>
        <v>#DIV/0!</v>
      </c>
      <c r="N21" s="890">
        <f>N19+1</f>
        <v>7</v>
      </c>
      <c r="O21" s="904" t="s">
        <v>1057</v>
      </c>
      <c r="Q21" s="120" t="s">
        <v>1040</v>
      </c>
      <c r="S21" s="907">
        <f>IF($J$13&gt;0,'Account 456.1'!D11,0)</f>
        <v>0</v>
      </c>
      <c r="T21" s="902">
        <v>0</v>
      </c>
      <c r="V21" s="916">
        <f>+S21-T21</f>
        <v>0</v>
      </c>
    </row>
    <row r="22" spans="1:22" ht="16.5" thickTop="1">
      <c r="O22" s="51"/>
      <c r="Q22" s="51"/>
      <c r="S22" s="900"/>
      <c r="T22" s="900"/>
      <c r="V22" s="920"/>
    </row>
    <row r="23" spans="1:22" ht="15.95" customHeight="1" thickBot="1">
      <c r="A23" s="14">
        <f>A21+1</f>
        <v>10</v>
      </c>
      <c r="C23" s="973" t="s">
        <v>921</v>
      </c>
      <c r="D23" s="973"/>
      <c r="E23" s="973"/>
      <c r="F23" s="973"/>
      <c r="G23" s="973"/>
      <c r="H23" s="973"/>
      <c r="I23" s="973"/>
      <c r="J23" s="719" t="e">
        <f>IF(J21&lt;0,I84,K84)</f>
        <v>#DIV/0!</v>
      </c>
      <c r="N23" s="890">
        <f>N21+1</f>
        <v>8</v>
      </c>
      <c r="O23" s="51" t="s">
        <v>1058</v>
      </c>
      <c r="Q23" s="51" t="str">
        <f>"(Line "&amp;N36&amp;" - Line "&amp;N33&amp;")"</f>
        <v>(Line  - Line 14)</v>
      </c>
      <c r="S23" s="908">
        <f>S19-S21</f>
        <v>0</v>
      </c>
      <c r="T23" s="908">
        <f>T19-T21</f>
        <v>0</v>
      </c>
      <c r="V23" s="908">
        <f>S23-T23</f>
        <v>0</v>
      </c>
    </row>
    <row r="24" spans="1:22" ht="15.95" customHeight="1" thickTop="1">
      <c r="A24" s="14">
        <f>A23+1</f>
        <v>11</v>
      </c>
      <c r="C24" s="972" t="s">
        <v>923</v>
      </c>
      <c r="D24" s="972"/>
      <c r="E24" s="972"/>
      <c r="F24" s="972"/>
      <c r="G24" s="972"/>
      <c r="H24" s="972"/>
      <c r="I24" s="972"/>
      <c r="J24" s="720">
        <v>24</v>
      </c>
      <c r="O24" s="51"/>
      <c r="Q24" s="51"/>
      <c r="S24" s="51"/>
      <c r="T24" s="51"/>
      <c r="V24" s="51"/>
    </row>
    <row r="25" spans="1:22" ht="15.95" customHeight="1" thickBot="1">
      <c r="A25" s="14">
        <f>A24+1</f>
        <v>12</v>
      </c>
      <c r="C25" s="972" t="s">
        <v>922</v>
      </c>
      <c r="D25" s="972"/>
      <c r="E25" s="972"/>
      <c r="F25" s="972"/>
      <c r="G25" s="972"/>
      <c r="H25" s="972"/>
      <c r="J25" s="731" t="e">
        <f>ROUND(J21*J23*J24,2)</f>
        <v>#DIV/0!</v>
      </c>
      <c r="N25" s="890">
        <f>N23+1</f>
        <v>9</v>
      </c>
      <c r="O25" s="51" t="s">
        <v>1042</v>
      </c>
      <c r="Q25" s="51" t="s">
        <v>1043</v>
      </c>
      <c r="S25" s="909">
        <f>J16</f>
        <v>0</v>
      </c>
      <c r="T25" s="909">
        <f>J17</f>
        <v>0</v>
      </c>
      <c r="V25" s="921"/>
    </row>
    <row r="26" spans="1:22" ht="16.5" thickTop="1">
      <c r="O26" s="51"/>
      <c r="Q26" s="51"/>
      <c r="T26" s="51"/>
      <c r="V26" s="51"/>
    </row>
    <row r="27" spans="1:22" ht="15.75">
      <c r="A27" s="14">
        <f>A25+1</f>
        <v>13</v>
      </c>
      <c r="C27" s="974" t="s">
        <v>960</v>
      </c>
      <c r="D27" s="974"/>
      <c r="E27" s="974"/>
      <c r="F27" s="974"/>
      <c r="G27" s="974"/>
      <c r="H27" s="974"/>
      <c r="J27" s="847">
        <f>IF(J28&gt;0,'Att GG_RPU'!L95,0)</f>
        <v>0</v>
      </c>
      <c r="N27" s="890">
        <f>N25+1</f>
        <v>10</v>
      </c>
      <c r="O27" s="51" t="s">
        <v>26</v>
      </c>
      <c r="Q27" s="51"/>
      <c r="S27" s="120" t="e">
        <f>ROUND(S23/S25,8)</f>
        <v>#DIV/0!</v>
      </c>
      <c r="T27" s="120" t="e">
        <f>ROUND(T23/T25,8)</f>
        <v>#DIV/0!</v>
      </c>
      <c r="V27" s="922"/>
    </row>
    <row r="28" spans="1:22" ht="15.75">
      <c r="A28" s="14">
        <f>A27+1</f>
        <v>14</v>
      </c>
      <c r="C28" s="974" t="s">
        <v>961</v>
      </c>
      <c r="D28" s="974"/>
      <c r="E28" s="974"/>
      <c r="F28" s="974"/>
      <c r="G28" s="974"/>
      <c r="H28" s="974"/>
      <c r="J28" s="776">
        <v>0</v>
      </c>
      <c r="O28" s="51"/>
      <c r="Q28" s="51"/>
      <c r="V28" s="51"/>
    </row>
    <row r="29" spans="1:22" ht="15.75">
      <c r="A29" s="14">
        <f>A28+1</f>
        <v>15</v>
      </c>
      <c r="C29" s="971" t="s">
        <v>962</v>
      </c>
      <c r="D29" s="971"/>
      <c r="E29" s="971"/>
      <c r="F29" s="971"/>
      <c r="G29" s="971"/>
      <c r="H29" s="971"/>
      <c r="J29" s="730">
        <f>J27-J28</f>
        <v>0</v>
      </c>
      <c r="N29" s="890">
        <f>N27+1</f>
        <v>11</v>
      </c>
      <c r="O29" s="51" t="s">
        <v>903</v>
      </c>
      <c r="Q29" s="51"/>
      <c r="V29" s="846">
        <f>S25</f>
        <v>0</v>
      </c>
    </row>
    <row r="30" spans="1:22" ht="15.75">
      <c r="A30" s="14"/>
      <c r="J30" s="749"/>
      <c r="N30" s="890">
        <f>N29+1</f>
        <v>12</v>
      </c>
      <c r="O30" s="51" t="s">
        <v>904</v>
      </c>
      <c r="Q30" s="51"/>
      <c r="V30" s="514">
        <f>T25</f>
        <v>0</v>
      </c>
    </row>
    <row r="31" spans="1:22" ht="15.75">
      <c r="A31" s="14">
        <f>A29+1</f>
        <v>16</v>
      </c>
      <c r="C31" s="973" t="s">
        <v>921</v>
      </c>
      <c r="D31" s="973"/>
      <c r="E31" s="973"/>
      <c r="F31" s="973"/>
      <c r="G31" s="973"/>
      <c r="H31" s="973"/>
      <c r="I31" s="973"/>
      <c r="J31" s="719">
        <f>IF(J29&lt;0,I84,K84)</f>
        <v>0</v>
      </c>
      <c r="N31" s="890">
        <f>N30+1</f>
        <v>13</v>
      </c>
      <c r="O31" s="51" t="s">
        <v>1059</v>
      </c>
      <c r="Q31" s="51" t="s">
        <v>1060</v>
      </c>
      <c r="V31" s="923">
        <f>V30-V29</f>
        <v>0</v>
      </c>
    </row>
    <row r="32" spans="1:22" ht="15.75">
      <c r="A32" s="14">
        <f>A31+1</f>
        <v>17</v>
      </c>
      <c r="C32" s="972" t="s">
        <v>923</v>
      </c>
      <c r="D32" s="972"/>
      <c r="E32" s="972"/>
      <c r="F32" s="972"/>
      <c r="G32" s="972"/>
      <c r="H32" s="972"/>
      <c r="I32" s="972"/>
      <c r="J32" s="720">
        <v>24</v>
      </c>
      <c r="O32" s="51"/>
      <c r="Q32" s="51"/>
      <c r="V32" s="51"/>
    </row>
    <row r="33" spans="1:22" ht="16.5" thickBot="1">
      <c r="A33" s="14">
        <f>A32+1</f>
        <v>18</v>
      </c>
      <c r="C33" s="972" t="s">
        <v>963</v>
      </c>
      <c r="D33" s="972"/>
      <c r="E33" s="972"/>
      <c r="F33" s="972"/>
      <c r="G33" s="972"/>
      <c r="H33" s="972"/>
      <c r="J33" s="731">
        <f>ROUND(J29*J31*J32,2)</f>
        <v>0</v>
      </c>
      <c r="N33" s="890">
        <f>N31+1</f>
        <v>14</v>
      </c>
      <c r="O33" s="51" t="s">
        <v>906</v>
      </c>
      <c r="Q33" s="51" t="s">
        <v>1061</v>
      </c>
      <c r="V33" s="51" t="e">
        <f>T27</f>
        <v>#DIV/0!</v>
      </c>
    </row>
    <row r="34" spans="1:22" ht="16.5" thickTop="1">
      <c r="O34" s="51"/>
      <c r="Q34" s="51"/>
      <c r="V34" s="51"/>
    </row>
    <row r="35" spans="1:22" ht="16.5" thickBot="1">
      <c r="A35" s="14"/>
      <c r="N35" s="890">
        <f>N33+1</f>
        <v>15</v>
      </c>
      <c r="O35" s="51" t="s">
        <v>907</v>
      </c>
      <c r="Q35" s="51" t="s">
        <v>1062</v>
      </c>
      <c r="V35" s="924" t="e">
        <f>V31*V33</f>
        <v>#DIV/0!</v>
      </c>
    </row>
    <row r="36" spans="1:22" ht="16.5" thickTop="1">
      <c r="A36" s="14"/>
      <c r="O36" s="51"/>
      <c r="Q36" s="51"/>
      <c r="V36" s="51"/>
    </row>
    <row r="37" spans="1:22" ht="16.5" thickBot="1">
      <c r="A37" s="14"/>
      <c r="B37" s="963" t="s">
        <v>914</v>
      </c>
      <c r="C37" s="963"/>
      <c r="D37" s="963"/>
      <c r="E37" s="963"/>
      <c r="F37" s="963"/>
      <c r="G37" s="963"/>
      <c r="H37" s="963"/>
      <c r="I37" s="963"/>
      <c r="J37" s="963"/>
      <c r="N37" s="890">
        <f>N35+1</f>
        <v>16</v>
      </c>
      <c r="O37" s="897" t="s">
        <v>1063</v>
      </c>
      <c r="Q37" s="51" t="s">
        <v>1064</v>
      </c>
      <c r="V37" s="925" t="e">
        <f>V35+V23</f>
        <v>#DIV/0!</v>
      </c>
    </row>
    <row r="38" spans="1:22" ht="16.5" thickTop="1">
      <c r="A38" s="14"/>
      <c r="B38" s="612" t="str">
        <f>CONCATENATE("(1) Att O_RPU Page 1 of 5, line 7 of RPU True-up Attachment O for 12 months ended 12/31/",'Att O_RPU'!E319)</f>
        <v>(1) Att O_RPU Page 1 of 5, line 7 of RPU True-up Attachment O for 12 months ended 12/31/2017</v>
      </c>
      <c r="C38" s="612"/>
      <c r="D38" s="612"/>
      <c r="E38" s="612"/>
      <c r="F38" s="612"/>
      <c r="G38" s="612"/>
      <c r="H38" s="612"/>
      <c r="I38" s="612"/>
      <c r="J38" s="612"/>
      <c r="K38" s="612"/>
      <c r="L38" s="612"/>
      <c r="N38" s="890">
        <f>N37+1</f>
        <v>17</v>
      </c>
      <c r="O38" s="51" t="s">
        <v>1065</v>
      </c>
      <c r="P38" s="886"/>
      <c r="Q38" s="51" t="s">
        <v>1066</v>
      </c>
      <c r="V38" s="926" t="e">
        <f>IF(V37&gt;0,I84,K84)</f>
        <v>#DIV/0!</v>
      </c>
    </row>
    <row r="39" spans="1:22" ht="15.75">
      <c r="A39" s="14"/>
      <c r="B39" s="612" t="str">
        <f>CONCATENATE("(2) Att O_RPU Page 1 of 5, line 7of RPU FLTY Attachment O for 12 months ended 12/31/",'Att O_RPU'!E319)</f>
        <v>(2) Att O_RPU Page 1 of 5, line 7of RPU FLTY Attachment O for 12 months ended 12/31/2017</v>
      </c>
      <c r="C39" s="612"/>
      <c r="D39" s="612"/>
      <c r="E39" s="612"/>
      <c r="F39" s="612"/>
      <c r="G39" s="612"/>
      <c r="H39" s="612"/>
      <c r="I39" s="612"/>
      <c r="J39" s="612"/>
      <c r="K39" s="612"/>
      <c r="L39" s="612"/>
      <c r="N39" s="890">
        <f>N38+1</f>
        <v>18</v>
      </c>
      <c r="O39" s="51" t="s">
        <v>1067</v>
      </c>
      <c r="P39" s="886"/>
      <c r="Q39" s="51"/>
      <c r="V39" s="927">
        <v>24</v>
      </c>
    </row>
    <row r="40" spans="1:22" ht="15.75">
      <c r="A40" s="14"/>
      <c r="B40" s="612" t="str">
        <f>CONCATENATE("(3) Att O_RPU Page 1 of 5, line 8 of RPU True-up Attachment O for 12 months ended 12/31/",'Att O_RPU'!E319)</f>
        <v>(3) Att O_RPU Page 1 of 5, line 8 of RPU True-up Attachment O for 12 months ended 12/31/2017</v>
      </c>
      <c r="C40" s="612"/>
      <c r="D40" s="612"/>
      <c r="E40" s="612"/>
      <c r="F40" s="612"/>
      <c r="G40" s="612"/>
      <c r="H40" s="612"/>
      <c r="I40" s="612"/>
      <c r="J40" s="612"/>
      <c r="K40" s="612"/>
      <c r="L40" s="612"/>
      <c r="O40" s="51"/>
      <c r="P40" s="886"/>
      <c r="Q40" s="51"/>
      <c r="V40" s="51"/>
    </row>
    <row r="41" spans="1:22" ht="15.75">
      <c r="A41" s="14"/>
      <c r="B41" s="612" t="str">
        <f>CONCATENATE("(4) Att O_RPU Page 1 of 5, line 8 of RPU FLTY Attachment O for 12 months ended 12/31/",'Att O_RPU'!E319)</f>
        <v>(4) Att O_RPU Page 1 of 5, line 8 of RPU FLTY Attachment O for 12 months ended 12/31/2017</v>
      </c>
      <c r="C41" s="612"/>
      <c r="D41" s="612"/>
      <c r="E41" s="612"/>
      <c r="F41" s="612"/>
      <c r="G41" s="612"/>
      <c r="H41" s="612"/>
      <c r="I41" s="612"/>
      <c r="J41" s="612"/>
      <c r="K41" s="612"/>
      <c r="L41" s="612"/>
      <c r="N41" s="890">
        <f>N39+1</f>
        <v>19</v>
      </c>
      <c r="O41" s="51" t="s">
        <v>1068</v>
      </c>
      <c r="P41" s="886"/>
      <c r="Q41" s="51" t="s">
        <v>1069</v>
      </c>
      <c r="V41" s="928" t="e">
        <f>ROUND(V37*V38*V39,0)</f>
        <v>#DIV/0!</v>
      </c>
    </row>
    <row r="42" spans="1:22" ht="15.75">
      <c r="A42" s="14"/>
      <c r="B42" s="612" t="str">
        <f>CONCATENATE("(5) Att O_RPU Page 1 of 5, line 16 of RPU FLTY Attachment O for 12 months ended 12/31/",'Att O_RPU'!E319)</f>
        <v>(5) Att O_RPU Page 1 of 5, line 16 of RPU FLTY Attachment O for 12 months ended 12/31/2017</v>
      </c>
      <c r="C42" s="612"/>
      <c r="D42" s="612"/>
      <c r="E42" s="612"/>
      <c r="F42" s="612"/>
      <c r="G42" s="612"/>
      <c r="H42" s="612"/>
      <c r="I42" s="612"/>
      <c r="J42" s="612"/>
      <c r="K42" s="612"/>
      <c r="L42" s="612"/>
      <c r="O42" s="51"/>
      <c r="P42" s="886"/>
      <c r="Q42" s="51"/>
      <c r="V42" s="51"/>
    </row>
    <row r="43" spans="1:22" ht="16.5" thickBot="1">
      <c r="A43" s="14"/>
      <c r="B43" s="969" t="s">
        <v>926</v>
      </c>
      <c r="C43" s="969"/>
      <c r="D43" s="969"/>
      <c r="E43" s="969"/>
      <c r="F43" s="969"/>
      <c r="G43" s="969"/>
      <c r="H43" s="969"/>
      <c r="I43" s="969"/>
      <c r="J43" s="969"/>
      <c r="K43" s="969"/>
      <c r="L43" s="969"/>
      <c r="N43" s="890">
        <f>N41+1</f>
        <v>20</v>
      </c>
      <c r="O43" s="897" t="s">
        <v>1070</v>
      </c>
      <c r="P43" s="886"/>
      <c r="Q43" s="51" t="s">
        <v>1071</v>
      </c>
      <c r="V43" s="929" t="e">
        <f>V37+V41</f>
        <v>#DIV/0!</v>
      </c>
    </row>
    <row r="44" spans="1:22" ht="16.5" thickTop="1">
      <c r="A44" s="14"/>
      <c r="B44" s="970" t="s">
        <v>983</v>
      </c>
      <c r="C44" s="971"/>
      <c r="D44" s="971"/>
      <c r="E44" s="971"/>
      <c r="F44" s="971"/>
      <c r="G44" s="971"/>
      <c r="H44" s="971"/>
      <c r="I44" s="971"/>
      <c r="J44" s="971"/>
      <c r="K44" s="971"/>
      <c r="L44" s="971"/>
    </row>
    <row r="45" spans="1:22" ht="15.75">
      <c r="A45" s="14"/>
      <c r="B45" s="971" t="s">
        <v>927</v>
      </c>
      <c r="C45" s="971"/>
      <c r="D45" s="971"/>
      <c r="E45" s="971"/>
      <c r="F45" s="971"/>
      <c r="G45" s="971"/>
      <c r="H45" s="971"/>
      <c r="I45" s="971"/>
      <c r="J45" s="971"/>
      <c r="K45" s="971"/>
      <c r="L45" s="971"/>
      <c r="O45" s="885" t="s">
        <v>914</v>
      </c>
      <c r="P45" s="885"/>
      <c r="Q45" s="885"/>
      <c r="R45" s="885"/>
      <c r="S45" s="885"/>
      <c r="T45" s="885"/>
      <c r="U45" s="885"/>
      <c r="V45" s="885"/>
    </row>
    <row r="46" spans="1:22" ht="15.75">
      <c r="A46" s="14"/>
      <c r="B46" s="971" t="s">
        <v>928</v>
      </c>
      <c r="C46" s="971"/>
      <c r="D46" s="971"/>
      <c r="E46" s="971"/>
      <c r="F46" s="971"/>
      <c r="G46" s="971"/>
      <c r="H46" s="971"/>
      <c r="I46" s="971"/>
      <c r="J46" s="971"/>
      <c r="K46" s="971"/>
      <c r="L46" s="971"/>
      <c r="O46" s="499" t="s">
        <v>1072</v>
      </c>
    </row>
    <row r="47" spans="1:22" ht="15.75">
      <c r="A47" s="14"/>
      <c r="B47" s="612" t="str">
        <f>CONCATENATE("(7) Interest began accruing in January ",'Att O_RPU'!E$319," and will begin to be paid back in January ",'Att O_RPU'!E$320+1)</f>
        <v>(7) Interest began accruing in January 2017 and will begin to be paid back in January 2019</v>
      </c>
      <c r="O47" s="499" t="s">
        <v>1073</v>
      </c>
    </row>
    <row r="48" spans="1:22" ht="15.75">
      <c r="A48" s="14"/>
      <c r="B48" s="780" t="str">
        <f>CONCATENATE("(8) Att GG_RPU Page 2 of 2, line 2 col (12) of RPU True-up Attachment GG for 12 months ended 12/31/",'Att O_RPU'!E319)</f>
        <v>(8) Att GG_RPU Page 2 of 2, line 2 col (12) of RPU True-up Attachment GG for 12 months ended 12/31/2017</v>
      </c>
      <c r="C48" s="612"/>
      <c r="D48" s="612"/>
      <c r="E48" s="612"/>
      <c r="F48" s="612"/>
      <c r="G48" s="612"/>
      <c r="H48" s="612"/>
      <c r="O48" s="499" t="s">
        <v>1074</v>
      </c>
      <c r="P48" s="503"/>
      <c r="Q48" s="503"/>
      <c r="R48" s="503"/>
      <c r="S48" s="503"/>
    </row>
    <row r="49" spans="1:93" ht="15.75">
      <c r="B49" s="780" t="str">
        <f>CONCATENATE("(9) Att GG_RPU Page 2 of 2, line 2 col (12) of RPU FLTY Attachment GG for 12 months ended 12/31/",'Att O_RPU'!E319)</f>
        <v>(9) Att GG_RPU Page 2 of 2, line 2 col (12) of RPU FLTY Attachment GG for 12 months ended 12/31/2017</v>
      </c>
      <c r="O49" s="12" t="s">
        <v>1075</v>
      </c>
    </row>
    <row r="50" spans="1:93" ht="15.75">
      <c r="O50" s="12" t="s">
        <v>1047</v>
      </c>
    </row>
    <row r="51" spans="1:93" ht="15.75">
      <c r="O51" s="12" t="s">
        <v>1048</v>
      </c>
    </row>
    <row r="52" spans="1:93" ht="15.75">
      <c r="N52" s="503"/>
      <c r="O52" s="12" t="s">
        <v>1049</v>
      </c>
      <c r="T52" s="503"/>
      <c r="U52" s="503"/>
      <c r="V52" s="503"/>
    </row>
    <row r="53" spans="1:93" ht="15.75">
      <c r="A53" s="501"/>
      <c r="B53" s="501"/>
      <c r="C53" s="501"/>
      <c r="D53" s="501"/>
      <c r="E53" s="501"/>
      <c r="F53" s="501"/>
      <c r="G53" s="501"/>
      <c r="H53" s="501"/>
      <c r="I53" s="501"/>
      <c r="J53" s="501"/>
      <c r="K53" s="501"/>
      <c r="L53" s="658" t="str">
        <f>'Att O_RPU'!K$3</f>
        <v>For the 12 months ended 12/31/17</v>
      </c>
      <c r="M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3"/>
      <c r="BZ53" s="503"/>
      <c r="CA53" s="503"/>
      <c r="CB53" s="503"/>
      <c r="CC53" s="503"/>
      <c r="CD53" s="503"/>
      <c r="CE53" s="503"/>
      <c r="CF53" s="503"/>
    </row>
    <row r="54" spans="1:93" ht="15.75">
      <c r="A54" s="501"/>
      <c r="B54" s="501"/>
      <c r="C54" s="501"/>
      <c r="D54" s="501"/>
      <c r="E54" s="501"/>
      <c r="F54" s="501"/>
      <c r="G54" s="501"/>
      <c r="H54" s="501"/>
      <c r="I54" s="501"/>
      <c r="J54" s="501"/>
      <c r="K54" s="501"/>
      <c r="L54" s="612" t="s">
        <v>1076</v>
      </c>
      <c r="M54" s="503"/>
      <c r="N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503"/>
      <c r="BZ54" s="503"/>
      <c r="CA54" s="503"/>
      <c r="CB54" s="503"/>
      <c r="CC54" s="503"/>
      <c r="CD54" s="503"/>
      <c r="CE54" s="503"/>
      <c r="CF54" s="503"/>
    </row>
    <row r="55" spans="1:93" ht="15.75">
      <c r="A55" s="964" t="s">
        <v>633</v>
      </c>
      <c r="B55" s="964"/>
      <c r="C55" s="964"/>
      <c r="D55" s="964"/>
      <c r="E55" s="964"/>
      <c r="F55" s="964"/>
      <c r="G55" s="964"/>
      <c r="H55" s="964"/>
      <c r="I55" s="964"/>
      <c r="J55" s="964"/>
      <c r="K55" s="964"/>
      <c r="L55" s="964"/>
      <c r="M55" s="503"/>
      <c r="N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3"/>
      <c r="BZ55" s="503"/>
      <c r="CA55" s="503"/>
      <c r="CB55" s="503"/>
      <c r="CC55" s="503"/>
      <c r="CD55" s="503"/>
      <c r="CE55" s="503"/>
      <c r="CF55" s="503"/>
    </row>
    <row r="56" spans="1:93" ht="15.75">
      <c r="A56" s="964" t="s">
        <v>810</v>
      </c>
      <c r="B56" s="964"/>
      <c r="C56" s="964"/>
      <c r="D56" s="964"/>
      <c r="E56" s="964"/>
      <c r="F56" s="964"/>
      <c r="G56" s="964"/>
      <c r="H56" s="964"/>
      <c r="I56" s="964"/>
      <c r="J56" s="964"/>
      <c r="K56" s="964"/>
      <c r="L56" s="964"/>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3"/>
      <c r="AY56" s="503"/>
      <c r="AZ56" s="503"/>
      <c r="BA56" s="503"/>
      <c r="BB56" s="503"/>
      <c r="BC56" s="503"/>
      <c r="BD56" s="503"/>
      <c r="BE56" s="503"/>
      <c r="BF56" s="503"/>
      <c r="BG56" s="503"/>
      <c r="BH56" s="503"/>
      <c r="BI56" s="503"/>
      <c r="BJ56" s="503"/>
      <c r="BK56" s="503"/>
      <c r="BL56" s="503"/>
      <c r="BM56" s="503"/>
      <c r="BN56" s="503"/>
      <c r="BO56" s="503"/>
      <c r="BP56" s="503"/>
      <c r="BQ56" s="503"/>
      <c r="BR56" s="503"/>
      <c r="BS56" s="503"/>
      <c r="BT56" s="503"/>
      <c r="BU56" s="503"/>
      <c r="BV56" s="503"/>
      <c r="BW56" s="503"/>
      <c r="BX56" s="503"/>
      <c r="BY56" s="503"/>
      <c r="BZ56" s="503"/>
      <c r="CA56" s="503"/>
      <c r="CB56" s="503"/>
      <c r="CC56" s="503"/>
      <c r="CD56" s="503"/>
      <c r="CE56" s="503"/>
      <c r="CF56" s="503"/>
    </row>
    <row r="57" spans="1:93" ht="15.75">
      <c r="A57" s="964" t="s">
        <v>984</v>
      </c>
      <c r="B57" s="964"/>
      <c r="C57" s="964"/>
      <c r="D57" s="964"/>
      <c r="E57" s="964"/>
      <c r="F57" s="964"/>
      <c r="G57" s="964"/>
      <c r="H57" s="964"/>
      <c r="I57" s="964"/>
      <c r="J57" s="964"/>
      <c r="K57" s="964"/>
      <c r="L57" s="964"/>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3"/>
      <c r="BJ57" s="503"/>
      <c r="BK57" s="503"/>
      <c r="BL57" s="503"/>
      <c r="BM57" s="503"/>
      <c r="BN57" s="503"/>
      <c r="BO57" s="503"/>
      <c r="BP57" s="503"/>
      <c r="BQ57" s="503"/>
      <c r="BR57" s="503"/>
      <c r="BS57" s="503"/>
      <c r="BT57" s="503"/>
      <c r="BU57" s="503"/>
      <c r="BV57" s="503"/>
      <c r="BW57" s="503"/>
      <c r="BX57" s="503"/>
      <c r="BY57" s="503"/>
      <c r="BZ57" s="503"/>
      <c r="CA57" s="503"/>
      <c r="CB57" s="503"/>
      <c r="CC57" s="503"/>
      <c r="CD57" s="503"/>
      <c r="CE57" s="503"/>
      <c r="CF57" s="503"/>
    </row>
    <row r="58" spans="1:93">
      <c r="A58" s="503"/>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503"/>
      <c r="BD58" s="503"/>
      <c r="BE58" s="503"/>
      <c r="BF58" s="503"/>
      <c r="BG58" s="503"/>
      <c r="BH58" s="503"/>
      <c r="BI58" s="503"/>
      <c r="BJ58" s="503"/>
      <c r="BK58" s="503"/>
      <c r="BL58" s="503"/>
      <c r="BM58" s="503"/>
      <c r="BN58" s="503"/>
      <c r="BO58" s="503"/>
      <c r="BP58" s="503"/>
      <c r="BQ58" s="503"/>
      <c r="BR58" s="503"/>
      <c r="BS58" s="503"/>
      <c r="BT58" s="503"/>
      <c r="BU58" s="503"/>
      <c r="BV58" s="503"/>
      <c r="BW58" s="503"/>
      <c r="BX58" s="503"/>
      <c r="BY58" s="503"/>
      <c r="BZ58" s="503"/>
      <c r="CA58" s="503"/>
      <c r="CB58" s="503"/>
      <c r="CC58" s="503"/>
      <c r="CD58" s="503"/>
      <c r="CE58" s="503"/>
      <c r="CF58" s="503"/>
    </row>
    <row r="59" spans="1:93" ht="15.75">
      <c r="A59" s="975" t="s">
        <v>912</v>
      </c>
      <c r="B59" s="975"/>
      <c r="C59" s="975"/>
      <c r="D59" s="975"/>
      <c r="E59" s="975"/>
      <c r="F59" s="975"/>
      <c r="G59" s="975"/>
      <c r="H59" s="975"/>
      <c r="I59" s="975"/>
      <c r="J59" s="975"/>
      <c r="K59" s="975"/>
      <c r="L59" s="975"/>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03"/>
      <c r="AT59" s="503"/>
      <c r="AU59" s="503"/>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503"/>
      <c r="BZ59" s="503"/>
      <c r="CA59" s="503"/>
      <c r="CB59" s="503"/>
      <c r="CC59" s="503"/>
      <c r="CD59" s="503"/>
      <c r="CE59" s="503"/>
      <c r="CF59" s="503"/>
    </row>
    <row r="60" spans="1:93">
      <c r="A60" s="503"/>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503"/>
      <c r="BF60" s="503"/>
      <c r="BG60" s="503"/>
      <c r="BH60" s="503"/>
      <c r="BI60" s="503"/>
      <c r="BJ60" s="503"/>
      <c r="BK60" s="503"/>
      <c r="BL60" s="503"/>
      <c r="BM60" s="503"/>
      <c r="BN60" s="503"/>
      <c r="BO60" s="503"/>
      <c r="BP60" s="503"/>
      <c r="BQ60" s="503"/>
      <c r="BR60" s="503"/>
      <c r="BS60" s="503"/>
      <c r="BT60" s="503"/>
      <c r="BU60" s="503"/>
      <c r="BV60" s="503"/>
      <c r="BW60" s="503"/>
      <c r="BX60" s="503"/>
      <c r="BY60" s="503"/>
      <c r="BZ60" s="503"/>
      <c r="CA60" s="503"/>
      <c r="CB60" s="503"/>
      <c r="CC60" s="503"/>
      <c r="CD60" s="503"/>
      <c r="CE60" s="503"/>
      <c r="CF60" s="503"/>
    </row>
    <row r="61" spans="1:93" ht="15.75">
      <c r="A61" s="503"/>
      <c r="B61" s="503"/>
      <c r="C61" s="503"/>
      <c r="D61" s="503"/>
      <c r="E61" s="503"/>
      <c r="F61" s="503"/>
      <c r="G61" s="503"/>
      <c r="H61" s="503"/>
      <c r="I61" s="694" t="s">
        <v>930</v>
      </c>
      <c r="J61" s="659"/>
      <c r="K61" s="694" t="s">
        <v>930</v>
      </c>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c r="AK61" s="503"/>
      <c r="AL61" s="503"/>
      <c r="AM61" s="503"/>
      <c r="AN61" s="503"/>
      <c r="AO61" s="503"/>
      <c r="AP61" s="503"/>
      <c r="AQ61" s="503"/>
      <c r="AR61" s="503"/>
      <c r="AS61" s="503"/>
      <c r="AT61" s="503"/>
      <c r="AU61" s="503"/>
      <c r="AV61" s="503"/>
      <c r="AW61" s="503"/>
      <c r="AX61" s="503"/>
      <c r="AY61" s="503"/>
      <c r="AZ61" s="503"/>
      <c r="BA61" s="503"/>
      <c r="BB61" s="503"/>
      <c r="BC61" s="503"/>
      <c r="BD61" s="503"/>
      <c r="BE61" s="503"/>
      <c r="BF61" s="503"/>
      <c r="BG61" s="503"/>
      <c r="BH61" s="503"/>
      <c r="BI61" s="503"/>
      <c r="BJ61" s="503"/>
      <c r="BK61" s="503"/>
      <c r="BL61" s="503"/>
      <c r="BM61" s="503"/>
      <c r="BN61" s="503"/>
      <c r="BO61" s="503"/>
      <c r="BP61" s="503"/>
      <c r="BQ61" s="503"/>
      <c r="BR61" s="503"/>
      <c r="BS61" s="503"/>
      <c r="BT61" s="503"/>
      <c r="BU61" s="503"/>
      <c r="BV61" s="503"/>
      <c r="BW61" s="503"/>
      <c r="BX61" s="503"/>
      <c r="BY61" s="503"/>
      <c r="BZ61" s="503"/>
      <c r="CA61" s="503"/>
      <c r="CB61" s="503"/>
      <c r="CC61" s="503"/>
      <c r="CD61" s="503"/>
      <c r="CE61" s="503"/>
      <c r="CF61" s="503"/>
    </row>
    <row r="62" spans="1:93" ht="63">
      <c r="A62" s="529" t="s">
        <v>466</v>
      </c>
      <c r="B62" s="664" t="s">
        <v>468</v>
      </c>
      <c r="C62" s="664" t="s">
        <v>822</v>
      </c>
      <c r="D62" s="612"/>
      <c r="E62" s="611" t="s">
        <v>931</v>
      </c>
      <c r="F62" s="503"/>
      <c r="G62" s="611" t="s">
        <v>932</v>
      </c>
      <c r="H62" s="503"/>
      <c r="I62" s="611" t="s">
        <v>881</v>
      </c>
      <c r="J62" s="503"/>
      <c r="K62" s="611" t="s">
        <v>882</v>
      </c>
      <c r="L62" s="503"/>
      <c r="M62" s="660"/>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503"/>
      <c r="BI62" s="503"/>
      <c r="BJ62" s="503"/>
      <c r="BK62" s="503"/>
      <c r="BL62" s="503"/>
      <c r="BM62" s="503"/>
      <c r="BN62" s="503"/>
      <c r="BO62" s="503"/>
      <c r="BP62" s="503"/>
      <c r="BQ62" s="503"/>
      <c r="BR62" s="503"/>
      <c r="BS62" s="503"/>
      <c r="BT62" s="503"/>
      <c r="BU62" s="503"/>
      <c r="BV62" s="503"/>
      <c r="BW62" s="503"/>
      <c r="BX62" s="503"/>
      <c r="BY62" s="503"/>
      <c r="BZ62" s="503"/>
      <c r="CA62" s="503"/>
      <c r="CB62" s="503"/>
      <c r="CC62" s="503"/>
      <c r="CD62" s="503"/>
      <c r="CE62" s="503"/>
      <c r="CF62" s="503"/>
    </row>
    <row r="63" spans="1:93" ht="15.75">
      <c r="A63" s="612"/>
      <c r="B63" s="612"/>
      <c r="C63" s="612"/>
      <c r="D63" s="612"/>
      <c r="E63" s="612"/>
      <c r="F63" s="503"/>
      <c r="G63" s="499"/>
      <c r="H63" s="503"/>
      <c r="I63" s="499"/>
      <c r="J63" s="503"/>
      <c r="K63" s="612"/>
      <c r="L63" s="503"/>
      <c r="M63" s="847"/>
      <c r="W63" s="665"/>
      <c r="X63" s="666">
        <f>ROUND(AVERAGE(X64:X86),4)</f>
        <v>0</v>
      </c>
      <c r="Y63" s="503"/>
      <c r="Z63" s="503"/>
      <c r="AA63" s="666">
        <f>ROUND(AVERAGE(AA64:AA86),4)</f>
        <v>0</v>
      </c>
      <c r="AB63" s="503"/>
      <c r="AC63" s="503"/>
      <c r="AD63" s="666">
        <f>ROUND(AVERAGE(AD64:AD86),4)</f>
        <v>0</v>
      </c>
      <c r="AE63" s="503"/>
      <c r="AF63" s="503"/>
      <c r="AG63" s="666">
        <f>ROUND(AVERAGE(AG64:AG86),4)</f>
        <v>0</v>
      </c>
      <c r="AH63" s="503"/>
      <c r="AI63" s="503"/>
      <c r="AJ63" s="666">
        <f>ROUND(AVERAGE(AJ64:AJ86),4)</f>
        <v>0</v>
      </c>
      <c r="AK63" s="503"/>
      <c r="AL63" s="503"/>
      <c r="AM63" s="666">
        <f>ROUND(AVERAGE(AM64:AM86),4)</f>
        <v>0</v>
      </c>
      <c r="AN63" s="503"/>
      <c r="AO63" s="503"/>
      <c r="AP63" s="666">
        <f>ROUND(AVERAGE(AP64:AP86),4)</f>
        <v>0</v>
      </c>
      <c r="AQ63" s="503"/>
      <c r="AR63" s="503"/>
      <c r="AS63" s="666">
        <f>ROUND(AVERAGE(AS64:AS86),4)</f>
        <v>0</v>
      </c>
      <c r="AT63" s="503"/>
      <c r="AU63" s="503"/>
      <c r="AV63" s="666">
        <f>ROUND(AVERAGE(AV64:AV86),4)</f>
        <v>0</v>
      </c>
      <c r="AW63" s="503"/>
      <c r="AX63" s="503"/>
      <c r="AY63" s="666">
        <f>ROUND(AVERAGE(AY64:AY86),4)</f>
        <v>0</v>
      </c>
      <c r="AZ63" s="503"/>
      <c r="BA63" s="503"/>
      <c r="BB63" s="666">
        <f>ROUND(AVERAGE(BB64:BB86),4)</f>
        <v>0</v>
      </c>
      <c r="BC63" s="503"/>
      <c r="BD63" s="503"/>
      <c r="BE63" s="666">
        <f>ROUND(AVERAGE(BE64:BE86),4)</f>
        <v>0</v>
      </c>
      <c r="BF63" s="503"/>
      <c r="BG63" s="503"/>
      <c r="BH63" s="666">
        <f>ROUND(AVERAGE(BH64:BH86),4)</f>
        <v>0</v>
      </c>
      <c r="BI63" s="503"/>
      <c r="BJ63" s="503"/>
      <c r="BK63" s="666">
        <f>ROUND(AVERAGE(BK64:BK86),4)</f>
        <v>0</v>
      </c>
      <c r="BL63" s="503"/>
      <c r="BM63" s="503"/>
      <c r="BN63" s="666">
        <f>ROUND(AVERAGE(BN64:BN86),4)</f>
        <v>0</v>
      </c>
      <c r="BO63" s="503"/>
      <c r="BP63" s="503"/>
      <c r="BQ63" s="666">
        <f>ROUND(AVERAGE(BQ64:BQ86),4)</f>
        <v>0</v>
      </c>
      <c r="BR63" s="503"/>
      <c r="BS63" s="503"/>
      <c r="BT63" s="666">
        <f>ROUND(AVERAGE(BT64:BT86),4)</f>
        <v>0</v>
      </c>
      <c r="BU63" s="503"/>
      <c r="BV63" s="503"/>
      <c r="BW63" s="666">
        <f>ROUND(AVERAGE(BW64:BW86),4)</f>
        <v>0</v>
      </c>
      <c r="BX63" s="503"/>
      <c r="BY63" s="503"/>
      <c r="BZ63" s="666">
        <f>ROUND(AVERAGE(BZ64:BZ86),4)</f>
        <v>0</v>
      </c>
      <c r="CA63" s="503"/>
      <c r="CB63" s="503"/>
      <c r="CC63" s="666">
        <f>ROUND(AVERAGE(CC64:CC86),4)</f>
        <v>0</v>
      </c>
      <c r="CD63" s="503"/>
      <c r="CE63" s="503"/>
      <c r="CF63" s="666">
        <f>ROUND(AVERAGE(CF64:CF86),4)</f>
        <v>0</v>
      </c>
      <c r="CG63" s="503"/>
      <c r="CH63" s="503"/>
      <c r="CI63" s="666">
        <f>ROUND(AVERAGE(CI64:CI86),4)</f>
        <v>0</v>
      </c>
      <c r="CJ63" s="503"/>
      <c r="CK63" s="503"/>
      <c r="CL63" s="666">
        <f>ROUND(AVERAGE(CL64:CL86),4)</f>
        <v>0</v>
      </c>
      <c r="CM63" s="503"/>
      <c r="CN63" s="503"/>
      <c r="CO63" s="666">
        <f>ROUND(AVERAGE(CO64:CO86),4)</f>
        <v>0</v>
      </c>
    </row>
    <row r="64" spans="1:93" ht="15.75">
      <c r="A64" s="14">
        <v>1</v>
      </c>
      <c r="B64" s="610">
        <f>'Att O_RPU'!E$319</f>
        <v>2017</v>
      </c>
      <c r="C64" s="630" t="s">
        <v>453</v>
      </c>
      <c r="D64" s="612"/>
      <c r="E64" s="713">
        <v>0</v>
      </c>
      <c r="F64" s="503"/>
      <c r="G64" s="661">
        <f>X$63</f>
        <v>0</v>
      </c>
      <c r="H64" s="503"/>
      <c r="I64" s="662">
        <f t="shared" ref="I64:I83" si="2">E64</f>
        <v>0</v>
      </c>
      <c r="J64" s="503"/>
      <c r="K64" s="662">
        <f t="shared" ref="K64:K83" si="3">IF(E64&lt;G64,E64,G64)</f>
        <v>0</v>
      </c>
      <c r="L64" s="503"/>
      <c r="M64" s="847"/>
      <c r="W64" s="867" t="s">
        <v>1015</v>
      </c>
      <c r="X64" s="714">
        <v>0</v>
      </c>
      <c r="Y64" s="715"/>
      <c r="Z64" s="867" t="s">
        <v>1015</v>
      </c>
      <c r="AA64" s="714">
        <v>0</v>
      </c>
      <c r="AB64" s="715"/>
      <c r="AC64" s="867" t="s">
        <v>1015</v>
      </c>
      <c r="AD64" s="714">
        <v>0</v>
      </c>
      <c r="AE64" s="715"/>
      <c r="AF64" s="867" t="s">
        <v>1015</v>
      </c>
      <c r="AG64" s="714">
        <v>0</v>
      </c>
      <c r="AH64" s="715"/>
      <c r="AI64" s="867" t="s">
        <v>1015</v>
      </c>
      <c r="AJ64" s="714">
        <v>0</v>
      </c>
      <c r="AK64" s="715"/>
      <c r="AL64" s="867" t="s">
        <v>1015</v>
      </c>
      <c r="AM64" s="714">
        <v>0</v>
      </c>
      <c r="AN64" s="715"/>
      <c r="AO64" s="867" t="s">
        <v>1015</v>
      </c>
      <c r="AP64" s="714">
        <v>0</v>
      </c>
      <c r="AQ64" s="715"/>
      <c r="AR64" s="867" t="s">
        <v>1015</v>
      </c>
      <c r="AS64" s="714">
        <v>0</v>
      </c>
      <c r="AT64" s="715"/>
      <c r="AU64" s="867" t="s">
        <v>1015</v>
      </c>
      <c r="AV64" s="714">
        <v>0</v>
      </c>
      <c r="AW64" s="715"/>
      <c r="AX64" s="867" t="s">
        <v>1015</v>
      </c>
      <c r="AY64" s="714">
        <v>0</v>
      </c>
      <c r="AZ64" s="715"/>
      <c r="BA64" s="867" t="s">
        <v>1015</v>
      </c>
      <c r="BB64" s="714">
        <v>0</v>
      </c>
      <c r="BC64" s="715"/>
      <c r="BD64" s="867" t="s">
        <v>1015</v>
      </c>
      <c r="BE64" s="714">
        <v>0</v>
      </c>
      <c r="BF64" s="715"/>
      <c r="BG64" s="867" t="s">
        <v>1015</v>
      </c>
      <c r="BH64" s="714">
        <v>0</v>
      </c>
      <c r="BI64" s="715"/>
      <c r="BJ64" s="867" t="s">
        <v>1015</v>
      </c>
      <c r="BK64" s="714">
        <v>0</v>
      </c>
      <c r="BL64" s="715"/>
      <c r="BM64" s="867" t="s">
        <v>1015</v>
      </c>
      <c r="BN64" s="714">
        <v>0</v>
      </c>
      <c r="BO64" s="715"/>
      <c r="BP64" s="867" t="s">
        <v>1015</v>
      </c>
      <c r="BQ64" s="714">
        <v>0</v>
      </c>
      <c r="BR64" s="715"/>
      <c r="BS64" s="867" t="s">
        <v>1015</v>
      </c>
      <c r="BT64" s="714">
        <v>0</v>
      </c>
      <c r="BU64" s="715"/>
      <c r="BV64" s="867" t="s">
        <v>1015</v>
      </c>
      <c r="BW64" s="714">
        <v>0</v>
      </c>
      <c r="BX64" s="715"/>
      <c r="BY64" s="867" t="s">
        <v>1015</v>
      </c>
      <c r="BZ64" s="714">
        <v>0</v>
      </c>
      <c r="CA64" s="715"/>
      <c r="CB64" s="867" t="s">
        <v>1015</v>
      </c>
      <c r="CC64" s="714">
        <v>0</v>
      </c>
      <c r="CD64" s="715"/>
      <c r="CE64" s="867" t="s">
        <v>1015</v>
      </c>
      <c r="CF64" s="714">
        <v>0</v>
      </c>
      <c r="CG64" s="715"/>
      <c r="CH64" s="867" t="s">
        <v>1015</v>
      </c>
      <c r="CI64" s="714">
        <v>0</v>
      </c>
      <c r="CJ64" s="715"/>
      <c r="CK64" s="867" t="s">
        <v>1015</v>
      </c>
      <c r="CL64" s="714">
        <v>0</v>
      </c>
      <c r="CM64" s="715"/>
      <c r="CN64" s="867" t="s">
        <v>1015</v>
      </c>
      <c r="CO64" s="714">
        <v>0</v>
      </c>
    </row>
    <row r="65" spans="1:93" ht="15.75">
      <c r="A65" s="14">
        <f t="shared" ref="A65:A83" si="4">A64+1</f>
        <v>2</v>
      </c>
      <c r="B65" s="886"/>
      <c r="C65" s="630" t="s">
        <v>454</v>
      </c>
      <c r="D65" s="612"/>
      <c r="E65" s="713">
        <v>0</v>
      </c>
      <c r="F65" s="503"/>
      <c r="G65" s="661">
        <f>AA$63</f>
        <v>0</v>
      </c>
      <c r="H65" s="503"/>
      <c r="I65" s="662">
        <f t="shared" si="2"/>
        <v>0</v>
      </c>
      <c r="J65" s="503"/>
      <c r="K65" s="662">
        <f t="shared" si="3"/>
        <v>0</v>
      </c>
      <c r="L65" s="503"/>
      <c r="M65" s="847"/>
      <c r="W65" s="867" t="s">
        <v>1015</v>
      </c>
      <c r="X65" s="714">
        <v>0</v>
      </c>
      <c r="Y65" s="715"/>
      <c r="Z65" s="867" t="s">
        <v>1015</v>
      </c>
      <c r="AA65" s="714">
        <v>0</v>
      </c>
      <c r="AB65" s="715"/>
      <c r="AC65" s="867" t="s">
        <v>1015</v>
      </c>
      <c r="AD65" s="714">
        <v>0</v>
      </c>
      <c r="AE65" s="715"/>
      <c r="AF65" s="867" t="s">
        <v>1015</v>
      </c>
      <c r="AG65" s="714">
        <v>0</v>
      </c>
      <c r="AH65" s="715"/>
      <c r="AI65" s="867" t="s">
        <v>1015</v>
      </c>
      <c r="AJ65" s="714">
        <v>0</v>
      </c>
      <c r="AK65" s="715"/>
      <c r="AL65" s="867" t="s">
        <v>1015</v>
      </c>
      <c r="AM65" s="714">
        <v>0</v>
      </c>
      <c r="AN65" s="715"/>
      <c r="AO65" s="867" t="s">
        <v>1015</v>
      </c>
      <c r="AP65" s="714">
        <v>0</v>
      </c>
      <c r="AQ65" s="715"/>
      <c r="AR65" s="867" t="s">
        <v>1015</v>
      </c>
      <c r="AS65" s="714">
        <v>0</v>
      </c>
      <c r="AT65" s="715"/>
      <c r="AU65" s="867" t="s">
        <v>1015</v>
      </c>
      <c r="AV65" s="714">
        <v>0</v>
      </c>
      <c r="AW65" s="715"/>
      <c r="AX65" s="867" t="s">
        <v>1015</v>
      </c>
      <c r="AY65" s="714">
        <v>0</v>
      </c>
      <c r="AZ65" s="715"/>
      <c r="BA65" s="867" t="s">
        <v>1015</v>
      </c>
      <c r="BB65" s="714">
        <v>0</v>
      </c>
      <c r="BC65" s="715"/>
      <c r="BD65" s="867" t="s">
        <v>1015</v>
      </c>
      <c r="BE65" s="714">
        <v>0</v>
      </c>
      <c r="BF65" s="715"/>
      <c r="BG65" s="867" t="s">
        <v>1015</v>
      </c>
      <c r="BH65" s="714">
        <v>0</v>
      </c>
      <c r="BI65" s="715"/>
      <c r="BJ65" s="867" t="s">
        <v>1015</v>
      </c>
      <c r="BK65" s="714">
        <v>0</v>
      </c>
      <c r="BL65" s="715"/>
      <c r="BM65" s="867" t="s">
        <v>1015</v>
      </c>
      <c r="BN65" s="714">
        <v>0</v>
      </c>
      <c r="BO65" s="715"/>
      <c r="BP65" s="867" t="s">
        <v>1015</v>
      </c>
      <c r="BQ65" s="714">
        <v>0</v>
      </c>
      <c r="BR65" s="715"/>
      <c r="BS65" s="867" t="s">
        <v>1015</v>
      </c>
      <c r="BT65" s="714">
        <v>0</v>
      </c>
      <c r="BU65" s="715"/>
      <c r="BV65" s="867" t="s">
        <v>1015</v>
      </c>
      <c r="BW65" s="714">
        <v>0</v>
      </c>
      <c r="BX65" s="715"/>
      <c r="BY65" s="867" t="s">
        <v>1015</v>
      </c>
      <c r="BZ65" s="714">
        <v>0</v>
      </c>
      <c r="CA65" s="715"/>
      <c r="CB65" s="867" t="s">
        <v>1015</v>
      </c>
      <c r="CC65" s="714">
        <v>0</v>
      </c>
      <c r="CD65" s="715"/>
      <c r="CE65" s="867" t="s">
        <v>1015</v>
      </c>
      <c r="CF65" s="714">
        <v>0</v>
      </c>
      <c r="CG65" s="715"/>
      <c r="CH65" s="867" t="s">
        <v>1015</v>
      </c>
      <c r="CI65" s="714">
        <v>0</v>
      </c>
      <c r="CJ65" s="715"/>
      <c r="CK65" s="867" t="s">
        <v>1015</v>
      </c>
      <c r="CL65" s="714">
        <v>0</v>
      </c>
      <c r="CM65" s="715"/>
      <c r="CN65" s="867" t="s">
        <v>1015</v>
      </c>
      <c r="CO65" s="714">
        <v>0</v>
      </c>
    </row>
    <row r="66" spans="1:93" ht="15.75">
      <c r="A66" s="14">
        <f t="shared" si="4"/>
        <v>3</v>
      </c>
      <c r="B66" s="886"/>
      <c r="C66" s="630" t="s">
        <v>455</v>
      </c>
      <c r="D66" s="612"/>
      <c r="E66" s="713">
        <v>0</v>
      </c>
      <c r="F66" s="503"/>
      <c r="G66" s="661">
        <f>AD$63</f>
        <v>0</v>
      </c>
      <c r="H66" s="503"/>
      <c r="I66" s="662">
        <f t="shared" si="2"/>
        <v>0</v>
      </c>
      <c r="J66" s="503"/>
      <c r="K66" s="662">
        <f t="shared" si="3"/>
        <v>0</v>
      </c>
      <c r="L66" s="503"/>
      <c r="M66" s="847"/>
      <c r="W66" s="867" t="s">
        <v>1015</v>
      </c>
      <c r="X66" s="714">
        <v>0</v>
      </c>
      <c r="Y66" s="715"/>
      <c r="Z66" s="867" t="s">
        <v>1015</v>
      </c>
      <c r="AA66" s="714">
        <v>0</v>
      </c>
      <c r="AB66" s="715"/>
      <c r="AC66" s="867" t="s">
        <v>1015</v>
      </c>
      <c r="AD66" s="714">
        <v>0</v>
      </c>
      <c r="AE66" s="715"/>
      <c r="AF66" s="867" t="s">
        <v>1015</v>
      </c>
      <c r="AG66" s="714">
        <v>0</v>
      </c>
      <c r="AH66" s="715"/>
      <c r="AI66" s="867" t="s">
        <v>1015</v>
      </c>
      <c r="AJ66" s="714">
        <v>0</v>
      </c>
      <c r="AK66" s="715"/>
      <c r="AL66" s="867" t="s">
        <v>1015</v>
      </c>
      <c r="AM66" s="714">
        <v>0</v>
      </c>
      <c r="AN66" s="715"/>
      <c r="AO66" s="867" t="s">
        <v>1015</v>
      </c>
      <c r="AP66" s="714">
        <v>0</v>
      </c>
      <c r="AQ66" s="715"/>
      <c r="AR66" s="867" t="s">
        <v>1015</v>
      </c>
      <c r="AS66" s="714">
        <v>0</v>
      </c>
      <c r="AT66" s="715"/>
      <c r="AU66" s="867" t="s">
        <v>1015</v>
      </c>
      <c r="AV66" s="714">
        <v>0</v>
      </c>
      <c r="AW66" s="715"/>
      <c r="AX66" s="867" t="s">
        <v>1015</v>
      </c>
      <c r="AY66" s="714">
        <v>0</v>
      </c>
      <c r="AZ66" s="715"/>
      <c r="BA66" s="867" t="s">
        <v>1015</v>
      </c>
      <c r="BB66" s="714">
        <v>0</v>
      </c>
      <c r="BC66" s="715"/>
      <c r="BD66" s="867" t="s">
        <v>1015</v>
      </c>
      <c r="BE66" s="714">
        <v>0</v>
      </c>
      <c r="BF66" s="715"/>
      <c r="BG66" s="867" t="s">
        <v>1015</v>
      </c>
      <c r="BH66" s="714">
        <v>0</v>
      </c>
      <c r="BI66" s="715"/>
      <c r="BJ66" s="867" t="s">
        <v>1015</v>
      </c>
      <c r="BK66" s="714">
        <v>0</v>
      </c>
      <c r="BL66" s="715"/>
      <c r="BM66" s="867" t="s">
        <v>1015</v>
      </c>
      <c r="BN66" s="714">
        <v>0</v>
      </c>
      <c r="BO66" s="715"/>
      <c r="BP66" s="867" t="s">
        <v>1015</v>
      </c>
      <c r="BQ66" s="714">
        <v>0</v>
      </c>
      <c r="BR66" s="715"/>
      <c r="BS66" s="867" t="s">
        <v>1015</v>
      </c>
      <c r="BT66" s="714">
        <v>0</v>
      </c>
      <c r="BU66" s="715"/>
      <c r="BV66" s="867" t="s">
        <v>1015</v>
      </c>
      <c r="BW66" s="714">
        <v>0</v>
      </c>
      <c r="BX66" s="715"/>
      <c r="BY66" s="867" t="s">
        <v>1015</v>
      </c>
      <c r="BZ66" s="714">
        <v>0</v>
      </c>
      <c r="CA66" s="715"/>
      <c r="CB66" s="867" t="s">
        <v>1015</v>
      </c>
      <c r="CC66" s="714">
        <v>0</v>
      </c>
      <c r="CD66" s="715"/>
      <c r="CE66" s="867" t="s">
        <v>1015</v>
      </c>
      <c r="CF66" s="714">
        <v>0</v>
      </c>
      <c r="CG66" s="715"/>
      <c r="CH66" s="867" t="s">
        <v>1015</v>
      </c>
      <c r="CI66" s="714">
        <v>0</v>
      </c>
      <c r="CJ66" s="715"/>
      <c r="CK66" s="867" t="s">
        <v>1015</v>
      </c>
      <c r="CL66" s="714">
        <v>0</v>
      </c>
      <c r="CM66" s="715"/>
      <c r="CN66" s="867" t="s">
        <v>1015</v>
      </c>
      <c r="CO66" s="714">
        <v>0</v>
      </c>
    </row>
    <row r="67" spans="1:93" ht="15.75">
      <c r="A67" s="14">
        <f t="shared" si="4"/>
        <v>4</v>
      </c>
      <c r="B67" s="886"/>
      <c r="C67" s="630" t="s">
        <v>456</v>
      </c>
      <c r="D67" s="612"/>
      <c r="E67" s="713">
        <v>0</v>
      </c>
      <c r="F67" s="503"/>
      <c r="G67" s="661">
        <f>AG$63</f>
        <v>0</v>
      </c>
      <c r="H67" s="503"/>
      <c r="I67" s="662">
        <f t="shared" si="2"/>
        <v>0</v>
      </c>
      <c r="J67" s="503"/>
      <c r="K67" s="662">
        <f t="shared" si="3"/>
        <v>0</v>
      </c>
      <c r="L67" s="503"/>
      <c r="M67" s="847"/>
      <c r="W67" s="867" t="s">
        <v>1015</v>
      </c>
      <c r="X67" s="714">
        <v>0</v>
      </c>
      <c r="Y67" s="715"/>
      <c r="Z67" s="867" t="s">
        <v>1015</v>
      </c>
      <c r="AA67" s="714">
        <v>0</v>
      </c>
      <c r="AB67" s="715"/>
      <c r="AC67" s="867" t="s">
        <v>1015</v>
      </c>
      <c r="AD67" s="714">
        <v>0</v>
      </c>
      <c r="AE67" s="715"/>
      <c r="AF67" s="867" t="s">
        <v>1015</v>
      </c>
      <c r="AG67" s="714">
        <v>0</v>
      </c>
      <c r="AH67" s="715"/>
      <c r="AI67" s="867" t="s">
        <v>1015</v>
      </c>
      <c r="AJ67" s="714">
        <v>0</v>
      </c>
      <c r="AK67" s="715"/>
      <c r="AL67" s="867" t="s">
        <v>1015</v>
      </c>
      <c r="AM67" s="714">
        <v>0</v>
      </c>
      <c r="AN67" s="715"/>
      <c r="AO67" s="867" t="s">
        <v>1015</v>
      </c>
      <c r="AP67" s="714">
        <v>0</v>
      </c>
      <c r="AQ67" s="715"/>
      <c r="AR67" s="867" t="s">
        <v>1015</v>
      </c>
      <c r="AS67" s="714">
        <v>0</v>
      </c>
      <c r="AT67" s="715"/>
      <c r="AU67" s="867" t="s">
        <v>1015</v>
      </c>
      <c r="AV67" s="714">
        <v>0</v>
      </c>
      <c r="AW67" s="715"/>
      <c r="AX67" s="867" t="s">
        <v>1015</v>
      </c>
      <c r="AY67" s="714">
        <v>0</v>
      </c>
      <c r="AZ67" s="715"/>
      <c r="BA67" s="867" t="s">
        <v>1015</v>
      </c>
      <c r="BB67" s="714">
        <v>0</v>
      </c>
      <c r="BC67" s="715"/>
      <c r="BD67" s="867" t="s">
        <v>1015</v>
      </c>
      <c r="BE67" s="714">
        <v>0</v>
      </c>
      <c r="BF67" s="715"/>
      <c r="BG67" s="867" t="s">
        <v>1015</v>
      </c>
      <c r="BH67" s="714">
        <v>0</v>
      </c>
      <c r="BI67" s="715"/>
      <c r="BJ67" s="867" t="s">
        <v>1015</v>
      </c>
      <c r="BK67" s="714">
        <v>0</v>
      </c>
      <c r="BL67" s="715"/>
      <c r="BM67" s="867" t="s">
        <v>1015</v>
      </c>
      <c r="BN67" s="714">
        <v>0</v>
      </c>
      <c r="BO67" s="715"/>
      <c r="BP67" s="867" t="s">
        <v>1015</v>
      </c>
      <c r="BQ67" s="714">
        <v>0</v>
      </c>
      <c r="BR67" s="715"/>
      <c r="BS67" s="867" t="s">
        <v>1015</v>
      </c>
      <c r="BT67" s="714">
        <v>0</v>
      </c>
      <c r="BU67" s="715"/>
      <c r="BV67" s="867" t="s">
        <v>1015</v>
      </c>
      <c r="BW67" s="714">
        <v>0</v>
      </c>
      <c r="BX67" s="715"/>
      <c r="BY67" s="867" t="s">
        <v>1015</v>
      </c>
      <c r="BZ67" s="714">
        <v>0</v>
      </c>
      <c r="CA67" s="715"/>
      <c r="CB67" s="867" t="s">
        <v>1015</v>
      </c>
      <c r="CC67" s="714">
        <v>0</v>
      </c>
      <c r="CD67" s="715"/>
      <c r="CE67" s="867" t="s">
        <v>1015</v>
      </c>
      <c r="CF67" s="714">
        <v>0</v>
      </c>
      <c r="CG67" s="715"/>
      <c r="CH67" s="867" t="s">
        <v>1015</v>
      </c>
      <c r="CI67" s="714">
        <v>0</v>
      </c>
      <c r="CJ67" s="715"/>
      <c r="CK67" s="867" t="s">
        <v>1015</v>
      </c>
      <c r="CL67" s="714">
        <v>0</v>
      </c>
      <c r="CM67" s="715"/>
      <c r="CN67" s="867" t="s">
        <v>1015</v>
      </c>
      <c r="CO67" s="714">
        <v>0</v>
      </c>
    </row>
    <row r="68" spans="1:93" ht="15.75">
      <c r="A68" s="14">
        <f t="shared" si="4"/>
        <v>5</v>
      </c>
      <c r="B68" s="610"/>
      <c r="C68" s="630" t="s">
        <v>457</v>
      </c>
      <c r="D68" s="612"/>
      <c r="E68" s="713">
        <v>0</v>
      </c>
      <c r="F68" s="503"/>
      <c r="G68" s="661">
        <f>AJ$63</f>
        <v>0</v>
      </c>
      <c r="H68" s="503"/>
      <c r="I68" s="662">
        <f t="shared" si="2"/>
        <v>0</v>
      </c>
      <c r="J68" s="503"/>
      <c r="K68" s="662">
        <f t="shared" si="3"/>
        <v>0</v>
      </c>
      <c r="L68" s="503"/>
      <c r="M68" s="847"/>
      <c r="W68" s="867" t="s">
        <v>1015</v>
      </c>
      <c r="X68" s="714">
        <v>0</v>
      </c>
      <c r="Y68" s="715"/>
      <c r="Z68" s="867" t="s">
        <v>1015</v>
      </c>
      <c r="AA68" s="714">
        <v>0</v>
      </c>
      <c r="AB68" s="715"/>
      <c r="AC68" s="867" t="s">
        <v>1015</v>
      </c>
      <c r="AD68" s="714">
        <v>0</v>
      </c>
      <c r="AE68" s="715"/>
      <c r="AF68" s="867" t="s">
        <v>1015</v>
      </c>
      <c r="AG68" s="714">
        <v>0</v>
      </c>
      <c r="AH68" s="715"/>
      <c r="AI68" s="867" t="s">
        <v>1015</v>
      </c>
      <c r="AJ68" s="714">
        <v>0</v>
      </c>
      <c r="AK68" s="715"/>
      <c r="AL68" s="867" t="s">
        <v>1015</v>
      </c>
      <c r="AM68" s="714">
        <v>0</v>
      </c>
      <c r="AN68" s="715"/>
      <c r="AO68" s="867" t="s">
        <v>1015</v>
      </c>
      <c r="AP68" s="714">
        <v>0</v>
      </c>
      <c r="AQ68" s="715"/>
      <c r="AR68" s="867" t="s">
        <v>1015</v>
      </c>
      <c r="AS68" s="714">
        <v>0</v>
      </c>
      <c r="AT68" s="715"/>
      <c r="AU68" s="867" t="s">
        <v>1015</v>
      </c>
      <c r="AV68" s="714">
        <v>0</v>
      </c>
      <c r="AW68" s="715"/>
      <c r="AX68" s="867" t="s">
        <v>1015</v>
      </c>
      <c r="AY68" s="714">
        <v>0</v>
      </c>
      <c r="AZ68" s="715"/>
      <c r="BA68" s="867" t="s">
        <v>1015</v>
      </c>
      <c r="BB68" s="714">
        <v>0</v>
      </c>
      <c r="BC68" s="715"/>
      <c r="BD68" s="867" t="s">
        <v>1015</v>
      </c>
      <c r="BE68" s="714">
        <v>0</v>
      </c>
      <c r="BF68" s="715"/>
      <c r="BG68" s="867" t="s">
        <v>1015</v>
      </c>
      <c r="BH68" s="714">
        <v>0</v>
      </c>
      <c r="BI68" s="715"/>
      <c r="BJ68" s="867" t="s">
        <v>1015</v>
      </c>
      <c r="BK68" s="714">
        <v>0</v>
      </c>
      <c r="BL68" s="715"/>
      <c r="BM68" s="867" t="s">
        <v>1015</v>
      </c>
      <c r="BN68" s="714">
        <v>0</v>
      </c>
      <c r="BO68" s="715"/>
      <c r="BP68" s="867" t="s">
        <v>1015</v>
      </c>
      <c r="BQ68" s="714">
        <v>0</v>
      </c>
      <c r="BR68" s="715"/>
      <c r="BS68" s="867" t="s">
        <v>1015</v>
      </c>
      <c r="BT68" s="714">
        <v>0</v>
      </c>
      <c r="BU68" s="715"/>
      <c r="BV68" s="867" t="s">
        <v>1015</v>
      </c>
      <c r="BW68" s="714">
        <v>0</v>
      </c>
      <c r="BX68" s="715"/>
      <c r="BY68" s="867" t="s">
        <v>1015</v>
      </c>
      <c r="BZ68" s="714">
        <v>0</v>
      </c>
      <c r="CA68" s="715"/>
      <c r="CB68" s="867" t="s">
        <v>1015</v>
      </c>
      <c r="CC68" s="714">
        <v>0</v>
      </c>
      <c r="CD68" s="715"/>
      <c r="CE68" s="867" t="s">
        <v>1015</v>
      </c>
      <c r="CF68" s="714">
        <v>0</v>
      </c>
      <c r="CG68" s="715"/>
      <c r="CH68" s="867" t="s">
        <v>1015</v>
      </c>
      <c r="CI68" s="714">
        <v>0</v>
      </c>
      <c r="CJ68" s="715"/>
      <c r="CK68" s="867" t="s">
        <v>1015</v>
      </c>
      <c r="CL68" s="714">
        <v>0</v>
      </c>
      <c r="CM68" s="715"/>
      <c r="CN68" s="867" t="s">
        <v>1015</v>
      </c>
      <c r="CO68" s="714">
        <v>0</v>
      </c>
    </row>
    <row r="69" spans="1:93" ht="15.75">
      <c r="A69" s="14">
        <f t="shared" si="4"/>
        <v>6</v>
      </c>
      <c r="B69" s="886"/>
      <c r="C69" s="630" t="s">
        <v>458</v>
      </c>
      <c r="D69" s="612"/>
      <c r="E69" s="713">
        <v>0</v>
      </c>
      <c r="F69" s="503"/>
      <c r="G69" s="661">
        <f>AM$63</f>
        <v>0</v>
      </c>
      <c r="H69" s="503"/>
      <c r="I69" s="662">
        <f t="shared" si="2"/>
        <v>0</v>
      </c>
      <c r="J69" s="503"/>
      <c r="K69" s="662">
        <f t="shared" si="3"/>
        <v>0</v>
      </c>
      <c r="L69" s="503"/>
      <c r="M69" s="847"/>
      <c r="W69" s="867" t="s">
        <v>1015</v>
      </c>
      <c r="X69" s="714">
        <v>0</v>
      </c>
      <c r="Y69" s="715"/>
      <c r="Z69" s="867" t="s">
        <v>1015</v>
      </c>
      <c r="AA69" s="714">
        <v>0</v>
      </c>
      <c r="AB69" s="715"/>
      <c r="AC69" s="867" t="s">
        <v>1015</v>
      </c>
      <c r="AD69" s="714">
        <v>0</v>
      </c>
      <c r="AE69" s="715"/>
      <c r="AF69" s="867" t="s">
        <v>1015</v>
      </c>
      <c r="AG69" s="714">
        <v>0</v>
      </c>
      <c r="AH69" s="715"/>
      <c r="AI69" s="867" t="s">
        <v>1015</v>
      </c>
      <c r="AJ69" s="714">
        <v>0</v>
      </c>
      <c r="AK69" s="715"/>
      <c r="AL69" s="867" t="s">
        <v>1015</v>
      </c>
      <c r="AM69" s="714">
        <v>0</v>
      </c>
      <c r="AN69" s="715"/>
      <c r="AO69" s="867" t="s">
        <v>1015</v>
      </c>
      <c r="AP69" s="714">
        <v>0</v>
      </c>
      <c r="AQ69" s="715"/>
      <c r="AR69" s="867" t="s">
        <v>1015</v>
      </c>
      <c r="AS69" s="714">
        <v>0</v>
      </c>
      <c r="AT69" s="715"/>
      <c r="AU69" s="867" t="s">
        <v>1015</v>
      </c>
      <c r="AV69" s="714">
        <v>0</v>
      </c>
      <c r="AW69" s="715"/>
      <c r="AX69" s="867" t="s">
        <v>1015</v>
      </c>
      <c r="AY69" s="714">
        <v>0</v>
      </c>
      <c r="AZ69" s="715"/>
      <c r="BA69" s="867" t="s">
        <v>1015</v>
      </c>
      <c r="BB69" s="714">
        <v>0</v>
      </c>
      <c r="BC69" s="715"/>
      <c r="BD69" s="867" t="s">
        <v>1015</v>
      </c>
      <c r="BE69" s="714">
        <v>0</v>
      </c>
      <c r="BF69" s="715"/>
      <c r="BG69" s="867" t="s">
        <v>1015</v>
      </c>
      <c r="BH69" s="714">
        <v>0</v>
      </c>
      <c r="BI69" s="715"/>
      <c r="BJ69" s="867" t="s">
        <v>1015</v>
      </c>
      <c r="BK69" s="714">
        <v>0</v>
      </c>
      <c r="BL69" s="715"/>
      <c r="BM69" s="867" t="s">
        <v>1015</v>
      </c>
      <c r="BN69" s="714">
        <v>0</v>
      </c>
      <c r="BO69" s="715"/>
      <c r="BP69" s="867" t="s">
        <v>1015</v>
      </c>
      <c r="BQ69" s="714">
        <v>0</v>
      </c>
      <c r="BR69" s="715"/>
      <c r="BS69" s="867" t="s">
        <v>1015</v>
      </c>
      <c r="BT69" s="714">
        <v>0</v>
      </c>
      <c r="BU69" s="715"/>
      <c r="BV69" s="867" t="s">
        <v>1015</v>
      </c>
      <c r="BW69" s="714">
        <v>0</v>
      </c>
      <c r="BX69" s="715"/>
      <c r="BY69" s="867" t="s">
        <v>1015</v>
      </c>
      <c r="BZ69" s="714">
        <v>0</v>
      </c>
      <c r="CA69" s="715"/>
      <c r="CB69" s="867" t="s">
        <v>1015</v>
      </c>
      <c r="CC69" s="714">
        <v>0</v>
      </c>
      <c r="CD69" s="715"/>
      <c r="CE69" s="867" t="s">
        <v>1015</v>
      </c>
      <c r="CF69" s="714">
        <v>0</v>
      </c>
      <c r="CG69" s="715"/>
      <c r="CH69" s="867" t="s">
        <v>1015</v>
      </c>
      <c r="CI69" s="714">
        <v>0</v>
      </c>
      <c r="CJ69" s="715"/>
      <c r="CK69" s="867" t="s">
        <v>1015</v>
      </c>
      <c r="CL69" s="714">
        <v>0</v>
      </c>
      <c r="CM69" s="715"/>
      <c r="CN69" s="867" t="s">
        <v>1015</v>
      </c>
      <c r="CO69" s="714">
        <v>0</v>
      </c>
    </row>
    <row r="70" spans="1:93" ht="15.75">
      <c r="A70" s="14">
        <f t="shared" si="4"/>
        <v>7</v>
      </c>
      <c r="B70" s="886"/>
      <c r="C70" s="630" t="s">
        <v>459</v>
      </c>
      <c r="D70" s="612"/>
      <c r="E70" s="713">
        <v>0</v>
      </c>
      <c r="F70" s="503"/>
      <c r="G70" s="661">
        <f>AP$63</f>
        <v>0</v>
      </c>
      <c r="H70" s="503"/>
      <c r="I70" s="662">
        <f t="shared" si="2"/>
        <v>0</v>
      </c>
      <c r="J70" s="503"/>
      <c r="K70" s="662">
        <f t="shared" si="3"/>
        <v>0</v>
      </c>
      <c r="L70" s="503"/>
      <c r="M70" s="847"/>
      <c r="W70" s="867" t="s">
        <v>1015</v>
      </c>
      <c r="X70" s="714">
        <v>0</v>
      </c>
      <c r="Y70" s="715"/>
      <c r="Z70" s="867" t="s">
        <v>1015</v>
      </c>
      <c r="AA70" s="714">
        <v>0</v>
      </c>
      <c r="AB70" s="715"/>
      <c r="AC70" s="867" t="s">
        <v>1015</v>
      </c>
      <c r="AD70" s="714">
        <v>0</v>
      </c>
      <c r="AE70" s="715"/>
      <c r="AF70" s="867" t="s">
        <v>1015</v>
      </c>
      <c r="AG70" s="714">
        <v>0</v>
      </c>
      <c r="AH70" s="715"/>
      <c r="AI70" s="867" t="s">
        <v>1015</v>
      </c>
      <c r="AJ70" s="714">
        <v>0</v>
      </c>
      <c r="AK70" s="715"/>
      <c r="AL70" s="867" t="s">
        <v>1015</v>
      </c>
      <c r="AM70" s="714">
        <v>0</v>
      </c>
      <c r="AN70" s="715"/>
      <c r="AO70" s="867" t="s">
        <v>1015</v>
      </c>
      <c r="AP70" s="714">
        <v>0</v>
      </c>
      <c r="AQ70" s="715"/>
      <c r="AR70" s="867" t="s">
        <v>1015</v>
      </c>
      <c r="AS70" s="714">
        <v>0</v>
      </c>
      <c r="AT70" s="715"/>
      <c r="AU70" s="867" t="s">
        <v>1015</v>
      </c>
      <c r="AV70" s="714">
        <v>0</v>
      </c>
      <c r="AW70" s="715"/>
      <c r="AX70" s="867" t="s">
        <v>1015</v>
      </c>
      <c r="AY70" s="714">
        <v>0</v>
      </c>
      <c r="AZ70" s="715"/>
      <c r="BA70" s="867" t="s">
        <v>1015</v>
      </c>
      <c r="BB70" s="714">
        <v>0</v>
      </c>
      <c r="BC70" s="715"/>
      <c r="BD70" s="867" t="s">
        <v>1015</v>
      </c>
      <c r="BE70" s="714">
        <v>0</v>
      </c>
      <c r="BF70" s="715"/>
      <c r="BG70" s="867" t="s">
        <v>1015</v>
      </c>
      <c r="BH70" s="714">
        <v>0</v>
      </c>
      <c r="BI70" s="715"/>
      <c r="BJ70" s="867" t="s">
        <v>1015</v>
      </c>
      <c r="BK70" s="714">
        <v>0</v>
      </c>
      <c r="BL70" s="715"/>
      <c r="BM70" s="867" t="s">
        <v>1015</v>
      </c>
      <c r="BN70" s="714">
        <v>0</v>
      </c>
      <c r="BO70" s="715"/>
      <c r="BP70" s="867" t="s">
        <v>1015</v>
      </c>
      <c r="BQ70" s="714">
        <v>0</v>
      </c>
      <c r="BR70" s="715"/>
      <c r="BS70" s="867" t="s">
        <v>1015</v>
      </c>
      <c r="BT70" s="714">
        <v>0</v>
      </c>
      <c r="BU70" s="715"/>
      <c r="BV70" s="867" t="s">
        <v>1015</v>
      </c>
      <c r="BW70" s="714">
        <v>0</v>
      </c>
      <c r="BX70" s="715"/>
      <c r="BY70" s="867" t="s">
        <v>1015</v>
      </c>
      <c r="BZ70" s="714">
        <v>0</v>
      </c>
      <c r="CA70" s="715"/>
      <c r="CB70" s="867" t="s">
        <v>1015</v>
      </c>
      <c r="CC70" s="714">
        <v>0</v>
      </c>
      <c r="CD70" s="715"/>
      <c r="CE70" s="867" t="s">
        <v>1015</v>
      </c>
      <c r="CF70" s="714">
        <v>0</v>
      </c>
      <c r="CG70" s="715"/>
      <c r="CH70" s="867" t="s">
        <v>1015</v>
      </c>
      <c r="CI70" s="714">
        <v>0</v>
      </c>
      <c r="CJ70" s="715"/>
      <c r="CK70" s="867" t="s">
        <v>1015</v>
      </c>
      <c r="CL70" s="714">
        <v>0</v>
      </c>
      <c r="CM70" s="715"/>
      <c r="CN70" s="867" t="s">
        <v>1015</v>
      </c>
      <c r="CO70" s="714">
        <v>0</v>
      </c>
    </row>
    <row r="71" spans="1:93" ht="15.75">
      <c r="A71" s="14">
        <f t="shared" si="4"/>
        <v>8</v>
      </c>
      <c r="B71" s="886"/>
      <c r="C71" s="630" t="s">
        <v>460</v>
      </c>
      <c r="D71" s="612"/>
      <c r="E71" s="713">
        <v>0</v>
      </c>
      <c r="F71" s="503"/>
      <c r="G71" s="661">
        <f>AS$63</f>
        <v>0</v>
      </c>
      <c r="H71" s="503"/>
      <c r="I71" s="662">
        <f t="shared" si="2"/>
        <v>0</v>
      </c>
      <c r="J71" s="503"/>
      <c r="K71" s="662">
        <f t="shared" si="3"/>
        <v>0</v>
      </c>
      <c r="L71" s="503"/>
      <c r="M71" s="847"/>
      <c r="W71" s="867" t="s">
        <v>1015</v>
      </c>
      <c r="X71" s="714">
        <v>0</v>
      </c>
      <c r="Y71" s="715"/>
      <c r="Z71" s="867" t="s">
        <v>1015</v>
      </c>
      <c r="AA71" s="714">
        <v>0</v>
      </c>
      <c r="AB71" s="715"/>
      <c r="AC71" s="867" t="s">
        <v>1015</v>
      </c>
      <c r="AD71" s="714">
        <v>0</v>
      </c>
      <c r="AE71" s="715"/>
      <c r="AF71" s="867" t="s">
        <v>1015</v>
      </c>
      <c r="AG71" s="714">
        <v>0</v>
      </c>
      <c r="AH71" s="715"/>
      <c r="AI71" s="867" t="s">
        <v>1015</v>
      </c>
      <c r="AJ71" s="714">
        <v>0</v>
      </c>
      <c r="AK71" s="715"/>
      <c r="AL71" s="867" t="s">
        <v>1015</v>
      </c>
      <c r="AM71" s="714">
        <v>0</v>
      </c>
      <c r="AN71" s="715"/>
      <c r="AO71" s="867" t="s">
        <v>1015</v>
      </c>
      <c r="AP71" s="714">
        <v>0</v>
      </c>
      <c r="AQ71" s="715"/>
      <c r="AR71" s="867" t="s">
        <v>1015</v>
      </c>
      <c r="AS71" s="714">
        <v>0</v>
      </c>
      <c r="AT71" s="715"/>
      <c r="AU71" s="867" t="s">
        <v>1015</v>
      </c>
      <c r="AV71" s="714">
        <v>0</v>
      </c>
      <c r="AW71" s="715"/>
      <c r="AX71" s="867" t="s">
        <v>1015</v>
      </c>
      <c r="AY71" s="714">
        <v>0</v>
      </c>
      <c r="AZ71" s="715"/>
      <c r="BA71" s="867" t="s">
        <v>1015</v>
      </c>
      <c r="BB71" s="714">
        <v>0</v>
      </c>
      <c r="BC71" s="715"/>
      <c r="BD71" s="867" t="s">
        <v>1015</v>
      </c>
      <c r="BE71" s="714">
        <v>0</v>
      </c>
      <c r="BF71" s="715"/>
      <c r="BG71" s="867" t="s">
        <v>1015</v>
      </c>
      <c r="BH71" s="714">
        <v>0</v>
      </c>
      <c r="BI71" s="715"/>
      <c r="BJ71" s="867" t="s">
        <v>1015</v>
      </c>
      <c r="BK71" s="714">
        <v>0</v>
      </c>
      <c r="BL71" s="715"/>
      <c r="BM71" s="867" t="s">
        <v>1015</v>
      </c>
      <c r="BN71" s="714">
        <v>0</v>
      </c>
      <c r="BO71" s="715"/>
      <c r="BP71" s="867" t="s">
        <v>1015</v>
      </c>
      <c r="BQ71" s="714">
        <v>0</v>
      </c>
      <c r="BR71" s="715"/>
      <c r="BS71" s="867" t="s">
        <v>1015</v>
      </c>
      <c r="BT71" s="714">
        <v>0</v>
      </c>
      <c r="BU71" s="715"/>
      <c r="BV71" s="867" t="s">
        <v>1015</v>
      </c>
      <c r="BW71" s="714">
        <v>0</v>
      </c>
      <c r="BX71" s="715"/>
      <c r="BY71" s="867" t="s">
        <v>1015</v>
      </c>
      <c r="BZ71" s="714">
        <v>0</v>
      </c>
      <c r="CA71" s="715"/>
      <c r="CB71" s="867" t="s">
        <v>1015</v>
      </c>
      <c r="CC71" s="714">
        <v>0</v>
      </c>
      <c r="CD71" s="715"/>
      <c r="CE71" s="867" t="s">
        <v>1015</v>
      </c>
      <c r="CF71" s="714">
        <v>0</v>
      </c>
      <c r="CG71" s="715"/>
      <c r="CH71" s="867" t="s">
        <v>1015</v>
      </c>
      <c r="CI71" s="714">
        <v>0</v>
      </c>
      <c r="CJ71" s="715"/>
      <c r="CK71" s="867" t="s">
        <v>1015</v>
      </c>
      <c r="CL71" s="714">
        <v>0</v>
      </c>
      <c r="CM71" s="715"/>
      <c r="CN71" s="867" t="s">
        <v>1015</v>
      </c>
      <c r="CO71" s="714">
        <v>0</v>
      </c>
    </row>
    <row r="72" spans="1:93" ht="15.75">
      <c r="A72" s="14">
        <f t="shared" si="4"/>
        <v>9</v>
      </c>
      <c r="B72" s="886"/>
      <c r="C72" s="630" t="s">
        <v>461</v>
      </c>
      <c r="D72" s="612"/>
      <c r="E72" s="713">
        <v>0</v>
      </c>
      <c r="F72" s="503"/>
      <c r="G72" s="661">
        <f>AV$63</f>
        <v>0</v>
      </c>
      <c r="H72" s="503"/>
      <c r="I72" s="662">
        <f t="shared" si="2"/>
        <v>0</v>
      </c>
      <c r="J72" s="503"/>
      <c r="K72" s="662">
        <f t="shared" si="3"/>
        <v>0</v>
      </c>
      <c r="L72" s="503"/>
      <c r="M72" s="847"/>
      <c r="W72" s="867" t="s">
        <v>1015</v>
      </c>
      <c r="X72" s="714">
        <v>0</v>
      </c>
      <c r="Y72" s="715"/>
      <c r="Z72" s="867" t="s">
        <v>1015</v>
      </c>
      <c r="AA72" s="714">
        <v>0</v>
      </c>
      <c r="AB72" s="715"/>
      <c r="AC72" s="867" t="s">
        <v>1015</v>
      </c>
      <c r="AD72" s="714">
        <v>0</v>
      </c>
      <c r="AE72" s="715"/>
      <c r="AF72" s="867" t="s">
        <v>1015</v>
      </c>
      <c r="AG72" s="714">
        <v>0</v>
      </c>
      <c r="AH72" s="715"/>
      <c r="AI72" s="867" t="s">
        <v>1015</v>
      </c>
      <c r="AJ72" s="714">
        <v>0</v>
      </c>
      <c r="AK72" s="715"/>
      <c r="AL72" s="867" t="s">
        <v>1015</v>
      </c>
      <c r="AM72" s="714">
        <v>0</v>
      </c>
      <c r="AN72" s="715"/>
      <c r="AO72" s="867" t="s">
        <v>1015</v>
      </c>
      <c r="AP72" s="714">
        <v>0</v>
      </c>
      <c r="AQ72" s="715"/>
      <c r="AR72" s="867" t="s">
        <v>1015</v>
      </c>
      <c r="AS72" s="714">
        <v>0</v>
      </c>
      <c r="AT72" s="715"/>
      <c r="AU72" s="867" t="s">
        <v>1015</v>
      </c>
      <c r="AV72" s="714">
        <v>0</v>
      </c>
      <c r="AW72" s="715"/>
      <c r="AX72" s="867" t="s">
        <v>1015</v>
      </c>
      <c r="AY72" s="714">
        <v>0</v>
      </c>
      <c r="AZ72" s="715"/>
      <c r="BA72" s="867" t="s">
        <v>1015</v>
      </c>
      <c r="BB72" s="714">
        <v>0</v>
      </c>
      <c r="BC72" s="715"/>
      <c r="BD72" s="867" t="s">
        <v>1015</v>
      </c>
      <c r="BE72" s="714">
        <v>0</v>
      </c>
      <c r="BF72" s="715"/>
      <c r="BG72" s="867" t="s">
        <v>1015</v>
      </c>
      <c r="BH72" s="714">
        <v>0</v>
      </c>
      <c r="BI72" s="715"/>
      <c r="BJ72" s="867" t="s">
        <v>1015</v>
      </c>
      <c r="BK72" s="714">
        <v>0</v>
      </c>
      <c r="BL72" s="715"/>
      <c r="BM72" s="867" t="s">
        <v>1015</v>
      </c>
      <c r="BN72" s="714">
        <v>0</v>
      </c>
      <c r="BO72" s="715"/>
      <c r="BP72" s="867" t="s">
        <v>1015</v>
      </c>
      <c r="BQ72" s="714">
        <v>0</v>
      </c>
      <c r="BR72" s="715"/>
      <c r="BS72" s="867" t="s">
        <v>1015</v>
      </c>
      <c r="BT72" s="714">
        <v>0</v>
      </c>
      <c r="BU72" s="715"/>
      <c r="BV72" s="867" t="s">
        <v>1015</v>
      </c>
      <c r="BW72" s="714">
        <v>0</v>
      </c>
      <c r="BX72" s="715"/>
      <c r="BY72" s="867" t="s">
        <v>1015</v>
      </c>
      <c r="BZ72" s="714">
        <v>0</v>
      </c>
      <c r="CA72" s="715"/>
      <c r="CB72" s="867" t="s">
        <v>1015</v>
      </c>
      <c r="CC72" s="714">
        <v>0</v>
      </c>
      <c r="CD72" s="715"/>
      <c r="CE72" s="867" t="s">
        <v>1015</v>
      </c>
      <c r="CF72" s="714">
        <v>0</v>
      </c>
      <c r="CG72" s="715"/>
      <c r="CH72" s="867" t="s">
        <v>1015</v>
      </c>
      <c r="CI72" s="714">
        <v>0</v>
      </c>
      <c r="CJ72" s="715"/>
      <c r="CK72" s="867" t="s">
        <v>1015</v>
      </c>
      <c r="CL72" s="714">
        <v>0</v>
      </c>
      <c r="CM72" s="715"/>
      <c r="CN72" s="867" t="s">
        <v>1015</v>
      </c>
      <c r="CO72" s="714">
        <v>0</v>
      </c>
    </row>
    <row r="73" spans="1:93" ht="15.75">
      <c r="A73" s="14">
        <f t="shared" si="4"/>
        <v>10</v>
      </c>
      <c r="B73" s="886"/>
      <c r="C73" s="630" t="s">
        <v>462</v>
      </c>
      <c r="D73" s="612"/>
      <c r="E73" s="713">
        <v>0</v>
      </c>
      <c r="F73" s="503"/>
      <c r="G73" s="661">
        <f>AY$63</f>
        <v>0</v>
      </c>
      <c r="H73" s="503"/>
      <c r="I73" s="662">
        <f t="shared" si="2"/>
        <v>0</v>
      </c>
      <c r="J73" s="503"/>
      <c r="K73" s="662">
        <f t="shared" si="3"/>
        <v>0</v>
      </c>
      <c r="L73" s="503"/>
      <c r="M73" s="847"/>
      <c r="W73" s="867" t="s">
        <v>1015</v>
      </c>
      <c r="X73" s="714">
        <v>0</v>
      </c>
      <c r="Y73" s="715"/>
      <c r="Z73" s="867" t="s">
        <v>1015</v>
      </c>
      <c r="AA73" s="714">
        <v>0</v>
      </c>
      <c r="AB73" s="715"/>
      <c r="AC73" s="867" t="s">
        <v>1015</v>
      </c>
      <c r="AD73" s="714">
        <v>0</v>
      </c>
      <c r="AE73" s="715"/>
      <c r="AF73" s="867" t="s">
        <v>1015</v>
      </c>
      <c r="AG73" s="714">
        <v>0</v>
      </c>
      <c r="AH73" s="715"/>
      <c r="AI73" s="867" t="s">
        <v>1015</v>
      </c>
      <c r="AJ73" s="714">
        <v>0</v>
      </c>
      <c r="AK73" s="715"/>
      <c r="AL73" s="867" t="s">
        <v>1015</v>
      </c>
      <c r="AM73" s="714">
        <v>0</v>
      </c>
      <c r="AN73" s="715"/>
      <c r="AO73" s="867" t="s">
        <v>1015</v>
      </c>
      <c r="AP73" s="714">
        <v>0</v>
      </c>
      <c r="AQ73" s="715"/>
      <c r="AR73" s="867" t="s">
        <v>1015</v>
      </c>
      <c r="AS73" s="714">
        <v>0</v>
      </c>
      <c r="AT73" s="715"/>
      <c r="AU73" s="867" t="s">
        <v>1015</v>
      </c>
      <c r="AV73" s="714">
        <v>0</v>
      </c>
      <c r="AW73" s="715"/>
      <c r="AX73" s="867" t="s">
        <v>1015</v>
      </c>
      <c r="AY73" s="714">
        <v>0</v>
      </c>
      <c r="AZ73" s="715"/>
      <c r="BA73" s="867" t="s">
        <v>1015</v>
      </c>
      <c r="BB73" s="714">
        <v>0</v>
      </c>
      <c r="BC73" s="715"/>
      <c r="BD73" s="867" t="s">
        <v>1015</v>
      </c>
      <c r="BE73" s="714">
        <v>0</v>
      </c>
      <c r="BF73" s="715"/>
      <c r="BG73" s="867" t="s">
        <v>1015</v>
      </c>
      <c r="BH73" s="714">
        <v>0</v>
      </c>
      <c r="BI73" s="715"/>
      <c r="BJ73" s="867" t="s">
        <v>1015</v>
      </c>
      <c r="BK73" s="714">
        <v>0</v>
      </c>
      <c r="BL73" s="715"/>
      <c r="BM73" s="867" t="s">
        <v>1015</v>
      </c>
      <c r="BN73" s="714">
        <v>0</v>
      </c>
      <c r="BO73" s="715"/>
      <c r="BP73" s="867" t="s">
        <v>1015</v>
      </c>
      <c r="BQ73" s="714">
        <v>0</v>
      </c>
      <c r="BR73" s="715"/>
      <c r="BS73" s="867" t="s">
        <v>1015</v>
      </c>
      <c r="BT73" s="714">
        <v>0</v>
      </c>
      <c r="BU73" s="715"/>
      <c r="BV73" s="867" t="s">
        <v>1015</v>
      </c>
      <c r="BW73" s="714">
        <v>0</v>
      </c>
      <c r="BX73" s="715"/>
      <c r="BY73" s="867" t="s">
        <v>1015</v>
      </c>
      <c r="BZ73" s="714">
        <v>0</v>
      </c>
      <c r="CA73" s="715"/>
      <c r="CB73" s="867" t="s">
        <v>1015</v>
      </c>
      <c r="CC73" s="714">
        <v>0</v>
      </c>
      <c r="CD73" s="715"/>
      <c r="CE73" s="867" t="s">
        <v>1015</v>
      </c>
      <c r="CF73" s="714">
        <v>0</v>
      </c>
      <c r="CG73" s="715"/>
      <c r="CH73" s="867" t="s">
        <v>1015</v>
      </c>
      <c r="CI73" s="714">
        <v>0</v>
      </c>
      <c r="CJ73" s="715"/>
      <c r="CK73" s="867" t="s">
        <v>1015</v>
      </c>
      <c r="CL73" s="714">
        <v>0</v>
      </c>
      <c r="CM73" s="715"/>
      <c r="CN73" s="867" t="s">
        <v>1015</v>
      </c>
      <c r="CO73" s="714">
        <v>0</v>
      </c>
    </row>
    <row r="74" spans="1:93" ht="15.75">
      <c r="A74" s="14">
        <f t="shared" si="4"/>
        <v>11</v>
      </c>
      <c r="B74" s="886"/>
      <c r="C74" s="630" t="s">
        <v>463</v>
      </c>
      <c r="D74" s="612"/>
      <c r="E74" s="713">
        <v>0</v>
      </c>
      <c r="F74" s="503"/>
      <c r="G74" s="661">
        <f>BB$63</f>
        <v>0</v>
      </c>
      <c r="H74" s="503"/>
      <c r="I74" s="662">
        <f t="shared" si="2"/>
        <v>0</v>
      </c>
      <c r="J74" s="503"/>
      <c r="K74" s="662">
        <f t="shared" si="3"/>
        <v>0</v>
      </c>
      <c r="L74" s="503"/>
      <c r="M74" s="847"/>
      <c r="W74" s="867" t="s">
        <v>1015</v>
      </c>
      <c r="X74" s="714">
        <v>0</v>
      </c>
      <c r="Y74" s="715"/>
      <c r="Z74" s="867" t="s">
        <v>1015</v>
      </c>
      <c r="AA74" s="714">
        <v>0</v>
      </c>
      <c r="AB74" s="715"/>
      <c r="AC74" s="867" t="s">
        <v>1015</v>
      </c>
      <c r="AD74" s="714">
        <v>0</v>
      </c>
      <c r="AE74" s="715"/>
      <c r="AF74" s="867" t="s">
        <v>1015</v>
      </c>
      <c r="AG74" s="714">
        <v>0</v>
      </c>
      <c r="AH74" s="715"/>
      <c r="AI74" s="867" t="s">
        <v>1015</v>
      </c>
      <c r="AJ74" s="714">
        <v>0</v>
      </c>
      <c r="AK74" s="715"/>
      <c r="AL74" s="867" t="s">
        <v>1015</v>
      </c>
      <c r="AM74" s="714">
        <v>0</v>
      </c>
      <c r="AN74" s="715"/>
      <c r="AO74" s="867" t="s">
        <v>1015</v>
      </c>
      <c r="AP74" s="714">
        <v>0</v>
      </c>
      <c r="AQ74" s="715"/>
      <c r="AR74" s="867" t="s">
        <v>1015</v>
      </c>
      <c r="AS74" s="714">
        <v>0</v>
      </c>
      <c r="AT74" s="715"/>
      <c r="AU74" s="867" t="s">
        <v>1015</v>
      </c>
      <c r="AV74" s="714">
        <v>0</v>
      </c>
      <c r="AW74" s="715"/>
      <c r="AX74" s="867" t="s">
        <v>1015</v>
      </c>
      <c r="AY74" s="714">
        <v>0</v>
      </c>
      <c r="AZ74" s="715"/>
      <c r="BA74" s="867" t="s">
        <v>1015</v>
      </c>
      <c r="BB74" s="714">
        <v>0</v>
      </c>
      <c r="BC74" s="715"/>
      <c r="BD74" s="867" t="s">
        <v>1015</v>
      </c>
      <c r="BE74" s="714">
        <v>0</v>
      </c>
      <c r="BF74" s="715"/>
      <c r="BG74" s="867" t="s">
        <v>1015</v>
      </c>
      <c r="BH74" s="714">
        <v>0</v>
      </c>
      <c r="BI74" s="715"/>
      <c r="BJ74" s="867" t="s">
        <v>1015</v>
      </c>
      <c r="BK74" s="714">
        <v>0</v>
      </c>
      <c r="BL74" s="715"/>
      <c r="BM74" s="867" t="s">
        <v>1015</v>
      </c>
      <c r="BN74" s="714">
        <v>0</v>
      </c>
      <c r="BO74" s="715"/>
      <c r="BP74" s="867" t="s">
        <v>1015</v>
      </c>
      <c r="BQ74" s="714">
        <v>0</v>
      </c>
      <c r="BR74" s="715"/>
      <c r="BS74" s="867" t="s">
        <v>1015</v>
      </c>
      <c r="BT74" s="714">
        <v>0</v>
      </c>
      <c r="BU74" s="715"/>
      <c r="BV74" s="867" t="s">
        <v>1015</v>
      </c>
      <c r="BW74" s="714">
        <v>0</v>
      </c>
      <c r="BX74" s="715"/>
      <c r="BY74" s="867" t="s">
        <v>1015</v>
      </c>
      <c r="BZ74" s="714">
        <v>0</v>
      </c>
      <c r="CA74" s="715"/>
      <c r="CB74" s="867" t="s">
        <v>1015</v>
      </c>
      <c r="CC74" s="714">
        <v>0</v>
      </c>
      <c r="CD74" s="715"/>
      <c r="CE74" s="867" t="s">
        <v>1015</v>
      </c>
      <c r="CF74" s="714">
        <v>0</v>
      </c>
      <c r="CG74" s="715"/>
      <c r="CH74" s="867" t="s">
        <v>1015</v>
      </c>
      <c r="CI74" s="714">
        <v>0</v>
      </c>
      <c r="CJ74" s="715"/>
      <c r="CK74" s="867" t="s">
        <v>1015</v>
      </c>
      <c r="CL74" s="714">
        <v>0</v>
      </c>
      <c r="CM74" s="715"/>
      <c r="CN74" s="867" t="s">
        <v>1015</v>
      </c>
      <c r="CO74" s="714">
        <v>0</v>
      </c>
    </row>
    <row r="75" spans="1:93" ht="15.75">
      <c r="A75" s="14">
        <f t="shared" si="4"/>
        <v>12</v>
      </c>
      <c r="B75" s="886"/>
      <c r="C75" s="630" t="s">
        <v>464</v>
      </c>
      <c r="D75" s="612"/>
      <c r="E75" s="713">
        <v>0</v>
      </c>
      <c r="F75" s="503"/>
      <c r="G75" s="661">
        <f>BE$63</f>
        <v>0</v>
      </c>
      <c r="H75" s="503"/>
      <c r="I75" s="662">
        <f t="shared" si="2"/>
        <v>0</v>
      </c>
      <c r="J75" s="503"/>
      <c r="K75" s="662">
        <f t="shared" si="3"/>
        <v>0</v>
      </c>
      <c r="L75" s="503"/>
      <c r="M75" s="847"/>
      <c r="W75" s="867" t="s">
        <v>1015</v>
      </c>
      <c r="X75" s="714">
        <v>0</v>
      </c>
      <c r="Y75" s="715"/>
      <c r="Z75" s="867" t="s">
        <v>1015</v>
      </c>
      <c r="AA75" s="714">
        <v>0</v>
      </c>
      <c r="AB75" s="715"/>
      <c r="AC75" s="867" t="s">
        <v>1015</v>
      </c>
      <c r="AD75" s="714">
        <v>0</v>
      </c>
      <c r="AE75" s="715"/>
      <c r="AF75" s="867" t="s">
        <v>1015</v>
      </c>
      <c r="AG75" s="714">
        <v>0</v>
      </c>
      <c r="AH75" s="715"/>
      <c r="AI75" s="867" t="s">
        <v>1015</v>
      </c>
      <c r="AJ75" s="714">
        <v>0</v>
      </c>
      <c r="AK75" s="715"/>
      <c r="AL75" s="867" t="s">
        <v>1015</v>
      </c>
      <c r="AM75" s="714">
        <v>0</v>
      </c>
      <c r="AN75" s="715"/>
      <c r="AO75" s="867" t="s">
        <v>1015</v>
      </c>
      <c r="AP75" s="714">
        <v>0</v>
      </c>
      <c r="AQ75" s="715"/>
      <c r="AR75" s="867" t="s">
        <v>1015</v>
      </c>
      <c r="AS75" s="714">
        <v>0</v>
      </c>
      <c r="AT75" s="715"/>
      <c r="AU75" s="867" t="s">
        <v>1015</v>
      </c>
      <c r="AV75" s="714">
        <v>0</v>
      </c>
      <c r="AW75" s="715"/>
      <c r="AX75" s="867" t="s">
        <v>1015</v>
      </c>
      <c r="AY75" s="714">
        <v>0</v>
      </c>
      <c r="AZ75" s="715"/>
      <c r="BA75" s="867" t="s">
        <v>1015</v>
      </c>
      <c r="BB75" s="714">
        <v>0</v>
      </c>
      <c r="BC75" s="715"/>
      <c r="BD75" s="867" t="s">
        <v>1015</v>
      </c>
      <c r="BE75" s="714">
        <v>0</v>
      </c>
      <c r="BF75" s="715"/>
      <c r="BG75" s="867" t="s">
        <v>1015</v>
      </c>
      <c r="BH75" s="714">
        <v>0</v>
      </c>
      <c r="BI75" s="715"/>
      <c r="BJ75" s="867" t="s">
        <v>1015</v>
      </c>
      <c r="BK75" s="714">
        <v>0</v>
      </c>
      <c r="BL75" s="715"/>
      <c r="BM75" s="867" t="s">
        <v>1015</v>
      </c>
      <c r="BN75" s="714">
        <v>0</v>
      </c>
      <c r="BO75" s="715"/>
      <c r="BP75" s="867" t="s">
        <v>1015</v>
      </c>
      <c r="BQ75" s="714">
        <v>0</v>
      </c>
      <c r="BR75" s="715"/>
      <c r="BS75" s="867" t="s">
        <v>1015</v>
      </c>
      <c r="BT75" s="714">
        <v>0</v>
      </c>
      <c r="BU75" s="715"/>
      <c r="BV75" s="867" t="s">
        <v>1015</v>
      </c>
      <c r="BW75" s="714">
        <v>0</v>
      </c>
      <c r="BX75" s="715"/>
      <c r="BY75" s="867" t="s">
        <v>1015</v>
      </c>
      <c r="BZ75" s="714">
        <v>0</v>
      </c>
      <c r="CA75" s="715"/>
      <c r="CB75" s="867" t="s">
        <v>1015</v>
      </c>
      <c r="CC75" s="714">
        <v>0</v>
      </c>
      <c r="CD75" s="715"/>
      <c r="CE75" s="867" t="s">
        <v>1015</v>
      </c>
      <c r="CF75" s="714">
        <v>0</v>
      </c>
      <c r="CG75" s="715"/>
      <c r="CH75" s="867" t="s">
        <v>1015</v>
      </c>
      <c r="CI75" s="714">
        <v>0</v>
      </c>
      <c r="CJ75" s="715"/>
      <c r="CK75" s="867" t="s">
        <v>1015</v>
      </c>
      <c r="CL75" s="714">
        <v>0</v>
      </c>
      <c r="CM75" s="715"/>
      <c r="CN75" s="867" t="s">
        <v>1015</v>
      </c>
      <c r="CO75" s="714">
        <v>0</v>
      </c>
    </row>
    <row r="76" spans="1:93" ht="15.75">
      <c r="A76" s="14">
        <f t="shared" si="4"/>
        <v>13</v>
      </c>
      <c r="B76" s="610">
        <f>'Att O_RPU'!E$320</f>
        <v>2018</v>
      </c>
      <c r="C76" s="630" t="s">
        <v>453</v>
      </c>
      <c r="D76" s="612"/>
      <c r="E76" s="713">
        <v>0</v>
      </c>
      <c r="F76" s="503"/>
      <c r="G76" s="661">
        <f>BH$63</f>
        <v>0</v>
      </c>
      <c r="H76" s="503"/>
      <c r="I76" s="662">
        <f t="shared" si="2"/>
        <v>0</v>
      </c>
      <c r="J76" s="503"/>
      <c r="K76" s="662">
        <f t="shared" si="3"/>
        <v>0</v>
      </c>
      <c r="L76" s="503"/>
      <c r="M76" s="847"/>
      <c r="W76" s="867" t="s">
        <v>1015</v>
      </c>
      <c r="X76" s="714">
        <v>0</v>
      </c>
      <c r="Y76" s="715"/>
      <c r="Z76" s="867" t="s">
        <v>1015</v>
      </c>
      <c r="AA76" s="714">
        <v>0</v>
      </c>
      <c r="AB76" s="715"/>
      <c r="AC76" s="867" t="s">
        <v>1015</v>
      </c>
      <c r="AD76" s="714">
        <v>0</v>
      </c>
      <c r="AE76" s="715"/>
      <c r="AF76" s="867" t="s">
        <v>1015</v>
      </c>
      <c r="AG76" s="714">
        <v>0</v>
      </c>
      <c r="AH76" s="715"/>
      <c r="AI76" s="867" t="s">
        <v>1015</v>
      </c>
      <c r="AJ76" s="714">
        <v>0</v>
      </c>
      <c r="AK76" s="715"/>
      <c r="AL76" s="867" t="s">
        <v>1015</v>
      </c>
      <c r="AM76" s="714">
        <v>0</v>
      </c>
      <c r="AN76" s="715"/>
      <c r="AO76" s="867" t="s">
        <v>1015</v>
      </c>
      <c r="AP76" s="714">
        <v>0</v>
      </c>
      <c r="AQ76" s="715"/>
      <c r="AR76" s="867" t="s">
        <v>1015</v>
      </c>
      <c r="AS76" s="714">
        <v>0</v>
      </c>
      <c r="AT76" s="715"/>
      <c r="AU76" s="867" t="s">
        <v>1015</v>
      </c>
      <c r="AV76" s="714">
        <v>0</v>
      </c>
      <c r="AW76" s="715"/>
      <c r="AX76" s="867" t="s">
        <v>1015</v>
      </c>
      <c r="AY76" s="714">
        <v>0</v>
      </c>
      <c r="AZ76" s="715"/>
      <c r="BA76" s="867" t="s">
        <v>1015</v>
      </c>
      <c r="BB76" s="714">
        <v>0</v>
      </c>
      <c r="BC76" s="715"/>
      <c r="BD76" s="867" t="s">
        <v>1015</v>
      </c>
      <c r="BE76" s="714">
        <v>0</v>
      </c>
      <c r="BF76" s="715"/>
      <c r="BG76" s="867" t="s">
        <v>1015</v>
      </c>
      <c r="BH76" s="714">
        <v>0</v>
      </c>
      <c r="BI76" s="715"/>
      <c r="BJ76" s="867" t="s">
        <v>1015</v>
      </c>
      <c r="BK76" s="714">
        <v>0</v>
      </c>
      <c r="BL76" s="715"/>
      <c r="BM76" s="867" t="s">
        <v>1015</v>
      </c>
      <c r="BN76" s="714">
        <v>0</v>
      </c>
      <c r="BO76" s="715"/>
      <c r="BP76" s="867" t="s">
        <v>1015</v>
      </c>
      <c r="BQ76" s="714">
        <v>0</v>
      </c>
      <c r="BR76" s="715"/>
      <c r="BS76" s="867" t="s">
        <v>1015</v>
      </c>
      <c r="BT76" s="714">
        <v>0</v>
      </c>
      <c r="BU76" s="715"/>
      <c r="BV76" s="867" t="s">
        <v>1015</v>
      </c>
      <c r="BW76" s="714">
        <v>0</v>
      </c>
      <c r="BX76" s="715"/>
      <c r="BY76" s="867" t="s">
        <v>1015</v>
      </c>
      <c r="BZ76" s="714">
        <v>0</v>
      </c>
      <c r="CA76" s="715"/>
      <c r="CB76" s="867" t="s">
        <v>1015</v>
      </c>
      <c r="CC76" s="714">
        <v>0</v>
      </c>
      <c r="CD76" s="715"/>
      <c r="CE76" s="867" t="s">
        <v>1015</v>
      </c>
      <c r="CF76" s="714">
        <v>0</v>
      </c>
      <c r="CG76" s="715"/>
      <c r="CH76" s="867" t="s">
        <v>1015</v>
      </c>
      <c r="CI76" s="714">
        <v>0</v>
      </c>
      <c r="CJ76" s="715"/>
      <c r="CK76" s="867" t="s">
        <v>1015</v>
      </c>
      <c r="CL76" s="714">
        <v>0</v>
      </c>
      <c r="CM76" s="715"/>
      <c r="CN76" s="867" t="s">
        <v>1015</v>
      </c>
      <c r="CO76" s="714">
        <v>0</v>
      </c>
    </row>
    <row r="77" spans="1:93" ht="15.75">
      <c r="A77" s="14">
        <f t="shared" si="4"/>
        <v>14</v>
      </c>
      <c r="B77" s="886"/>
      <c r="C77" s="630" t="s">
        <v>454</v>
      </c>
      <c r="D77" s="612"/>
      <c r="E77" s="713">
        <v>0</v>
      </c>
      <c r="F77" s="503"/>
      <c r="G77" s="661">
        <f>BK$63</f>
        <v>0</v>
      </c>
      <c r="H77" s="503"/>
      <c r="I77" s="662">
        <f t="shared" si="2"/>
        <v>0</v>
      </c>
      <c r="J77" s="503"/>
      <c r="K77" s="662">
        <f t="shared" si="3"/>
        <v>0</v>
      </c>
      <c r="L77" s="503"/>
      <c r="M77" s="847"/>
      <c r="W77" s="867" t="s">
        <v>1015</v>
      </c>
      <c r="X77" s="716">
        <v>0</v>
      </c>
      <c r="Y77" s="715"/>
      <c r="Z77" s="867" t="s">
        <v>1015</v>
      </c>
      <c r="AA77" s="716">
        <v>0</v>
      </c>
      <c r="AB77" s="715"/>
      <c r="AC77" s="867" t="s">
        <v>1015</v>
      </c>
      <c r="AD77" s="716">
        <v>0</v>
      </c>
      <c r="AE77" s="715"/>
      <c r="AF77" s="867" t="s">
        <v>1015</v>
      </c>
      <c r="AG77" s="716">
        <v>0</v>
      </c>
      <c r="AH77" s="715"/>
      <c r="AI77" s="867" t="s">
        <v>1015</v>
      </c>
      <c r="AJ77" s="716">
        <v>0</v>
      </c>
      <c r="AK77" s="715"/>
      <c r="AL77" s="867" t="s">
        <v>1015</v>
      </c>
      <c r="AM77" s="716">
        <v>0</v>
      </c>
      <c r="AN77" s="715"/>
      <c r="AO77" s="867" t="s">
        <v>1015</v>
      </c>
      <c r="AP77" s="716">
        <v>0</v>
      </c>
      <c r="AQ77" s="715"/>
      <c r="AR77" s="867" t="s">
        <v>1015</v>
      </c>
      <c r="AS77" s="716">
        <v>0</v>
      </c>
      <c r="AT77" s="715"/>
      <c r="AU77" s="867" t="s">
        <v>1015</v>
      </c>
      <c r="AV77" s="716">
        <v>0</v>
      </c>
      <c r="AW77" s="715"/>
      <c r="AX77" s="867" t="s">
        <v>1015</v>
      </c>
      <c r="AY77" s="716">
        <v>0</v>
      </c>
      <c r="AZ77" s="715"/>
      <c r="BA77" s="867" t="s">
        <v>1015</v>
      </c>
      <c r="BB77" s="716">
        <v>0</v>
      </c>
      <c r="BC77" s="715"/>
      <c r="BD77" s="867" t="s">
        <v>1015</v>
      </c>
      <c r="BE77" s="716">
        <v>0</v>
      </c>
      <c r="BF77" s="715"/>
      <c r="BG77" s="867" t="s">
        <v>1015</v>
      </c>
      <c r="BH77" s="716">
        <v>0</v>
      </c>
      <c r="BI77" s="715"/>
      <c r="BJ77" s="867" t="s">
        <v>1015</v>
      </c>
      <c r="BK77" s="716">
        <v>0</v>
      </c>
      <c r="BL77" s="715"/>
      <c r="BM77" s="867" t="s">
        <v>1015</v>
      </c>
      <c r="BN77" s="716">
        <v>0</v>
      </c>
      <c r="BO77" s="715"/>
      <c r="BP77" s="867" t="s">
        <v>1015</v>
      </c>
      <c r="BQ77" s="716">
        <v>0</v>
      </c>
      <c r="BR77" s="715"/>
      <c r="BS77" s="867" t="s">
        <v>1015</v>
      </c>
      <c r="BT77" s="716">
        <v>0</v>
      </c>
      <c r="BU77" s="715"/>
      <c r="BV77" s="867" t="s">
        <v>1015</v>
      </c>
      <c r="BW77" s="716">
        <v>0</v>
      </c>
      <c r="BX77" s="715"/>
      <c r="BY77" s="867" t="s">
        <v>1015</v>
      </c>
      <c r="BZ77" s="716">
        <v>0</v>
      </c>
      <c r="CA77" s="715"/>
      <c r="CB77" s="867" t="s">
        <v>1015</v>
      </c>
      <c r="CC77" s="716">
        <v>0</v>
      </c>
      <c r="CD77" s="715"/>
      <c r="CE77" s="867" t="s">
        <v>1015</v>
      </c>
      <c r="CF77" s="716">
        <v>0</v>
      </c>
      <c r="CG77" s="715"/>
      <c r="CH77" s="867" t="s">
        <v>1015</v>
      </c>
      <c r="CI77" s="716">
        <v>0</v>
      </c>
      <c r="CJ77" s="715"/>
      <c r="CK77" s="867" t="s">
        <v>1015</v>
      </c>
      <c r="CL77" s="716">
        <v>0</v>
      </c>
      <c r="CM77" s="715"/>
      <c r="CN77" s="867" t="s">
        <v>1015</v>
      </c>
      <c r="CO77" s="716">
        <v>0</v>
      </c>
    </row>
    <row r="78" spans="1:93" ht="15.75">
      <c r="A78" s="14">
        <f t="shared" si="4"/>
        <v>15</v>
      </c>
      <c r="B78" s="886"/>
      <c r="C78" s="630" t="s">
        <v>455</v>
      </c>
      <c r="D78" s="612"/>
      <c r="E78" s="713">
        <v>0</v>
      </c>
      <c r="F78" s="503"/>
      <c r="G78" s="661">
        <f>BN$63</f>
        <v>0</v>
      </c>
      <c r="H78" s="503"/>
      <c r="I78" s="662">
        <f t="shared" si="2"/>
        <v>0</v>
      </c>
      <c r="J78" s="503"/>
      <c r="K78" s="662">
        <f t="shared" si="3"/>
        <v>0</v>
      </c>
      <c r="L78" s="503"/>
      <c r="M78" s="847"/>
      <c r="W78" s="867" t="s">
        <v>1015</v>
      </c>
      <c r="X78" s="716">
        <v>0</v>
      </c>
      <c r="Y78" s="715"/>
      <c r="Z78" s="867" t="s">
        <v>1015</v>
      </c>
      <c r="AA78" s="716">
        <v>0</v>
      </c>
      <c r="AB78" s="715"/>
      <c r="AC78" s="867" t="s">
        <v>1015</v>
      </c>
      <c r="AD78" s="716">
        <v>0</v>
      </c>
      <c r="AE78" s="715"/>
      <c r="AF78" s="867" t="s">
        <v>1015</v>
      </c>
      <c r="AG78" s="716">
        <v>0</v>
      </c>
      <c r="AH78" s="715"/>
      <c r="AI78" s="867" t="s">
        <v>1015</v>
      </c>
      <c r="AJ78" s="716">
        <v>0</v>
      </c>
      <c r="AK78" s="715"/>
      <c r="AL78" s="867" t="s">
        <v>1015</v>
      </c>
      <c r="AM78" s="716">
        <v>0</v>
      </c>
      <c r="AN78" s="715"/>
      <c r="AO78" s="867" t="s">
        <v>1015</v>
      </c>
      <c r="AP78" s="716">
        <v>0</v>
      </c>
      <c r="AQ78" s="715"/>
      <c r="AR78" s="867" t="s">
        <v>1015</v>
      </c>
      <c r="AS78" s="716">
        <v>0</v>
      </c>
      <c r="AT78" s="715"/>
      <c r="AU78" s="867" t="s">
        <v>1015</v>
      </c>
      <c r="AV78" s="716">
        <v>0</v>
      </c>
      <c r="AW78" s="715"/>
      <c r="AX78" s="867" t="s">
        <v>1015</v>
      </c>
      <c r="AY78" s="716">
        <v>0</v>
      </c>
      <c r="AZ78" s="715"/>
      <c r="BA78" s="867" t="s">
        <v>1015</v>
      </c>
      <c r="BB78" s="716">
        <v>0</v>
      </c>
      <c r="BC78" s="715"/>
      <c r="BD78" s="867" t="s">
        <v>1015</v>
      </c>
      <c r="BE78" s="716">
        <v>0</v>
      </c>
      <c r="BF78" s="715"/>
      <c r="BG78" s="867" t="s">
        <v>1015</v>
      </c>
      <c r="BH78" s="716">
        <v>0</v>
      </c>
      <c r="BI78" s="715"/>
      <c r="BJ78" s="867" t="s">
        <v>1015</v>
      </c>
      <c r="BK78" s="716">
        <v>0</v>
      </c>
      <c r="BL78" s="715"/>
      <c r="BM78" s="867" t="s">
        <v>1015</v>
      </c>
      <c r="BN78" s="716">
        <v>0</v>
      </c>
      <c r="BO78" s="715"/>
      <c r="BP78" s="867" t="s">
        <v>1015</v>
      </c>
      <c r="BQ78" s="716">
        <v>0</v>
      </c>
      <c r="BR78" s="715"/>
      <c r="BS78" s="867" t="s">
        <v>1015</v>
      </c>
      <c r="BT78" s="716">
        <v>0</v>
      </c>
      <c r="BU78" s="715"/>
      <c r="BV78" s="867" t="s">
        <v>1015</v>
      </c>
      <c r="BW78" s="716">
        <v>0</v>
      </c>
      <c r="BX78" s="715"/>
      <c r="BY78" s="867" t="s">
        <v>1015</v>
      </c>
      <c r="BZ78" s="716">
        <v>0</v>
      </c>
      <c r="CA78" s="715"/>
      <c r="CB78" s="867" t="s">
        <v>1015</v>
      </c>
      <c r="CC78" s="716">
        <v>0</v>
      </c>
      <c r="CD78" s="715"/>
      <c r="CE78" s="867" t="s">
        <v>1015</v>
      </c>
      <c r="CF78" s="716">
        <v>0</v>
      </c>
      <c r="CG78" s="715"/>
      <c r="CH78" s="867" t="s">
        <v>1015</v>
      </c>
      <c r="CI78" s="716">
        <v>0</v>
      </c>
      <c r="CJ78" s="715"/>
      <c r="CK78" s="867" t="s">
        <v>1015</v>
      </c>
      <c r="CL78" s="716">
        <v>0</v>
      </c>
      <c r="CM78" s="715"/>
      <c r="CN78" s="867" t="s">
        <v>1015</v>
      </c>
      <c r="CO78" s="716">
        <v>0</v>
      </c>
    </row>
    <row r="79" spans="1:93" ht="15.75">
      <c r="A79" s="14">
        <f t="shared" si="4"/>
        <v>16</v>
      </c>
      <c r="B79" s="853"/>
      <c r="C79" s="630" t="s">
        <v>456</v>
      </c>
      <c r="D79" s="612"/>
      <c r="E79" s="713">
        <v>0</v>
      </c>
      <c r="F79" s="503"/>
      <c r="G79" s="661">
        <f>BQ$63</f>
        <v>0</v>
      </c>
      <c r="H79" s="503"/>
      <c r="I79" s="662">
        <f t="shared" si="2"/>
        <v>0</v>
      </c>
      <c r="J79" s="503"/>
      <c r="K79" s="662">
        <f t="shared" si="3"/>
        <v>0</v>
      </c>
      <c r="L79" s="503"/>
      <c r="M79" s="847"/>
      <c r="W79" s="867" t="s">
        <v>1015</v>
      </c>
      <c r="X79" s="714">
        <v>0</v>
      </c>
      <c r="Y79" s="715"/>
      <c r="Z79" s="867" t="s">
        <v>1015</v>
      </c>
      <c r="AA79" s="714">
        <v>0</v>
      </c>
      <c r="AB79" s="715"/>
      <c r="AC79" s="867" t="s">
        <v>1015</v>
      </c>
      <c r="AD79" s="714">
        <v>0</v>
      </c>
      <c r="AE79" s="715"/>
      <c r="AF79" s="867" t="s">
        <v>1015</v>
      </c>
      <c r="AG79" s="714">
        <v>0</v>
      </c>
      <c r="AH79" s="715"/>
      <c r="AI79" s="867" t="s">
        <v>1015</v>
      </c>
      <c r="AJ79" s="714">
        <v>0</v>
      </c>
      <c r="AK79" s="715"/>
      <c r="AL79" s="867" t="s">
        <v>1015</v>
      </c>
      <c r="AM79" s="714">
        <v>0</v>
      </c>
      <c r="AN79" s="715"/>
      <c r="AO79" s="867" t="s">
        <v>1015</v>
      </c>
      <c r="AP79" s="714">
        <v>0</v>
      </c>
      <c r="AQ79" s="715"/>
      <c r="AR79" s="867" t="s">
        <v>1015</v>
      </c>
      <c r="AS79" s="714">
        <v>0</v>
      </c>
      <c r="AT79" s="715"/>
      <c r="AU79" s="867" t="s">
        <v>1015</v>
      </c>
      <c r="AV79" s="714">
        <v>0</v>
      </c>
      <c r="AW79" s="715"/>
      <c r="AX79" s="867" t="s">
        <v>1015</v>
      </c>
      <c r="AY79" s="714">
        <v>0</v>
      </c>
      <c r="AZ79" s="715"/>
      <c r="BA79" s="867" t="s">
        <v>1015</v>
      </c>
      <c r="BB79" s="714">
        <v>0</v>
      </c>
      <c r="BC79" s="715"/>
      <c r="BD79" s="867" t="s">
        <v>1015</v>
      </c>
      <c r="BE79" s="714">
        <v>0</v>
      </c>
      <c r="BF79" s="715"/>
      <c r="BG79" s="867" t="s">
        <v>1015</v>
      </c>
      <c r="BH79" s="714">
        <v>0</v>
      </c>
      <c r="BI79" s="715"/>
      <c r="BJ79" s="867" t="s">
        <v>1015</v>
      </c>
      <c r="BK79" s="714">
        <v>0</v>
      </c>
      <c r="BL79" s="715"/>
      <c r="BM79" s="867" t="s">
        <v>1015</v>
      </c>
      <c r="BN79" s="714">
        <v>0</v>
      </c>
      <c r="BO79" s="715"/>
      <c r="BP79" s="867" t="s">
        <v>1015</v>
      </c>
      <c r="BQ79" s="714">
        <v>0</v>
      </c>
      <c r="BR79" s="715"/>
      <c r="BS79" s="867" t="s">
        <v>1015</v>
      </c>
      <c r="BT79" s="714">
        <v>0</v>
      </c>
      <c r="BU79" s="715"/>
      <c r="BV79" s="867" t="s">
        <v>1015</v>
      </c>
      <c r="BW79" s="714">
        <v>0</v>
      </c>
      <c r="BX79" s="715"/>
      <c r="BY79" s="867" t="s">
        <v>1015</v>
      </c>
      <c r="BZ79" s="714">
        <v>0</v>
      </c>
      <c r="CA79" s="715"/>
      <c r="CB79" s="867" t="s">
        <v>1015</v>
      </c>
      <c r="CC79" s="714">
        <v>0</v>
      </c>
      <c r="CD79" s="715"/>
      <c r="CE79" s="867" t="s">
        <v>1015</v>
      </c>
      <c r="CF79" s="714">
        <v>0</v>
      </c>
      <c r="CG79" s="715"/>
      <c r="CH79" s="867" t="s">
        <v>1015</v>
      </c>
      <c r="CI79" s="714">
        <v>0</v>
      </c>
      <c r="CJ79" s="715"/>
      <c r="CK79" s="867" t="s">
        <v>1015</v>
      </c>
      <c r="CL79" s="714">
        <v>0</v>
      </c>
      <c r="CM79" s="715"/>
      <c r="CN79" s="867" t="s">
        <v>1015</v>
      </c>
      <c r="CO79" s="714">
        <v>0</v>
      </c>
    </row>
    <row r="80" spans="1:93" ht="15.75">
      <c r="A80" s="14">
        <f t="shared" si="4"/>
        <v>17</v>
      </c>
      <c r="B80" s="853"/>
      <c r="C80" s="630" t="s">
        <v>457</v>
      </c>
      <c r="D80" s="612"/>
      <c r="E80" s="713">
        <v>0</v>
      </c>
      <c r="F80" s="503"/>
      <c r="G80" s="661">
        <f>BT$63</f>
        <v>0</v>
      </c>
      <c r="H80" s="503"/>
      <c r="I80" s="662">
        <f t="shared" si="2"/>
        <v>0</v>
      </c>
      <c r="J80" s="503"/>
      <c r="K80" s="662">
        <f t="shared" si="3"/>
        <v>0</v>
      </c>
      <c r="L80" s="503"/>
      <c r="M80" s="847"/>
      <c r="W80" s="867" t="s">
        <v>1015</v>
      </c>
      <c r="X80" s="714">
        <v>0</v>
      </c>
      <c r="Y80" s="715"/>
      <c r="Z80" s="867" t="s">
        <v>1015</v>
      </c>
      <c r="AA80" s="714">
        <v>0</v>
      </c>
      <c r="AB80" s="715"/>
      <c r="AC80" s="867" t="s">
        <v>1015</v>
      </c>
      <c r="AD80" s="714">
        <v>0</v>
      </c>
      <c r="AE80" s="715"/>
      <c r="AF80" s="867" t="s">
        <v>1015</v>
      </c>
      <c r="AG80" s="714">
        <v>0</v>
      </c>
      <c r="AH80" s="715"/>
      <c r="AI80" s="867" t="s">
        <v>1015</v>
      </c>
      <c r="AJ80" s="714">
        <v>0</v>
      </c>
      <c r="AK80" s="715"/>
      <c r="AL80" s="867" t="s">
        <v>1015</v>
      </c>
      <c r="AM80" s="714">
        <v>0</v>
      </c>
      <c r="AN80" s="715"/>
      <c r="AO80" s="867" t="s">
        <v>1015</v>
      </c>
      <c r="AP80" s="714">
        <v>0</v>
      </c>
      <c r="AQ80" s="715"/>
      <c r="AR80" s="867" t="s">
        <v>1015</v>
      </c>
      <c r="AS80" s="714">
        <v>0</v>
      </c>
      <c r="AT80" s="715"/>
      <c r="AU80" s="867" t="s">
        <v>1015</v>
      </c>
      <c r="AV80" s="714">
        <v>0</v>
      </c>
      <c r="AW80" s="715"/>
      <c r="AX80" s="867" t="s">
        <v>1015</v>
      </c>
      <c r="AY80" s="714">
        <v>0</v>
      </c>
      <c r="AZ80" s="715"/>
      <c r="BA80" s="867" t="s">
        <v>1015</v>
      </c>
      <c r="BB80" s="714">
        <v>0</v>
      </c>
      <c r="BC80" s="715"/>
      <c r="BD80" s="867" t="s">
        <v>1015</v>
      </c>
      <c r="BE80" s="714">
        <v>0</v>
      </c>
      <c r="BF80" s="715"/>
      <c r="BG80" s="867" t="s">
        <v>1015</v>
      </c>
      <c r="BH80" s="714">
        <v>0</v>
      </c>
      <c r="BI80" s="715"/>
      <c r="BJ80" s="867" t="s">
        <v>1015</v>
      </c>
      <c r="BK80" s="714">
        <v>0</v>
      </c>
      <c r="BL80" s="715"/>
      <c r="BM80" s="867" t="s">
        <v>1015</v>
      </c>
      <c r="BN80" s="714">
        <v>0</v>
      </c>
      <c r="BO80" s="715"/>
      <c r="BP80" s="867" t="s">
        <v>1015</v>
      </c>
      <c r="BQ80" s="714">
        <v>0</v>
      </c>
      <c r="BR80" s="715"/>
      <c r="BS80" s="867" t="s">
        <v>1015</v>
      </c>
      <c r="BT80" s="714">
        <v>0</v>
      </c>
      <c r="BU80" s="715"/>
      <c r="BV80" s="867" t="s">
        <v>1015</v>
      </c>
      <c r="BW80" s="714">
        <v>0</v>
      </c>
      <c r="BX80" s="715"/>
      <c r="BY80" s="867" t="s">
        <v>1015</v>
      </c>
      <c r="BZ80" s="714">
        <v>0</v>
      </c>
      <c r="CA80" s="715"/>
      <c r="CB80" s="867" t="s">
        <v>1015</v>
      </c>
      <c r="CC80" s="714">
        <v>0</v>
      </c>
      <c r="CD80" s="715"/>
      <c r="CE80" s="867" t="s">
        <v>1015</v>
      </c>
      <c r="CF80" s="714">
        <v>0</v>
      </c>
      <c r="CG80" s="715"/>
      <c r="CH80" s="867" t="s">
        <v>1015</v>
      </c>
      <c r="CI80" s="714">
        <v>0</v>
      </c>
      <c r="CJ80" s="715"/>
      <c r="CK80" s="867" t="s">
        <v>1015</v>
      </c>
      <c r="CL80" s="714">
        <v>0</v>
      </c>
      <c r="CM80" s="715"/>
      <c r="CN80" s="867" t="s">
        <v>1015</v>
      </c>
      <c r="CO80" s="714">
        <v>0</v>
      </c>
    </row>
    <row r="81" spans="1:93" ht="15.4" customHeight="1">
      <c r="A81" s="14">
        <f t="shared" si="4"/>
        <v>18</v>
      </c>
      <c r="B81" s="853"/>
      <c r="C81" s="630" t="s">
        <v>458</v>
      </c>
      <c r="D81" s="612"/>
      <c r="E81" s="713">
        <v>0</v>
      </c>
      <c r="F81" s="503"/>
      <c r="G81" s="661">
        <f>BW$63</f>
        <v>0</v>
      </c>
      <c r="H81" s="503"/>
      <c r="I81" s="662">
        <f t="shared" si="2"/>
        <v>0</v>
      </c>
      <c r="J81" s="503"/>
      <c r="K81" s="662">
        <f t="shared" si="3"/>
        <v>0</v>
      </c>
      <c r="L81" s="503"/>
      <c r="M81" s="847"/>
      <c r="W81" s="867" t="s">
        <v>1015</v>
      </c>
      <c r="X81" s="714">
        <v>0</v>
      </c>
      <c r="Y81" s="715"/>
      <c r="Z81" s="867" t="s">
        <v>1015</v>
      </c>
      <c r="AA81" s="714">
        <v>0</v>
      </c>
      <c r="AB81" s="715"/>
      <c r="AC81" s="867" t="s">
        <v>1015</v>
      </c>
      <c r="AD81" s="714">
        <v>0</v>
      </c>
      <c r="AE81" s="715"/>
      <c r="AF81" s="867" t="s">
        <v>1015</v>
      </c>
      <c r="AG81" s="714">
        <v>0</v>
      </c>
      <c r="AH81" s="715"/>
      <c r="AI81" s="867" t="s">
        <v>1015</v>
      </c>
      <c r="AJ81" s="714">
        <v>0</v>
      </c>
      <c r="AK81" s="715"/>
      <c r="AL81" s="867" t="s">
        <v>1015</v>
      </c>
      <c r="AM81" s="714">
        <v>0</v>
      </c>
      <c r="AN81" s="715"/>
      <c r="AO81" s="867" t="s">
        <v>1015</v>
      </c>
      <c r="AP81" s="714">
        <v>0</v>
      </c>
      <c r="AQ81" s="715"/>
      <c r="AR81" s="867" t="s">
        <v>1015</v>
      </c>
      <c r="AS81" s="714">
        <v>0</v>
      </c>
      <c r="AT81" s="715"/>
      <c r="AU81" s="867" t="s">
        <v>1015</v>
      </c>
      <c r="AV81" s="714">
        <v>0</v>
      </c>
      <c r="AW81" s="715"/>
      <c r="AX81" s="867" t="s">
        <v>1015</v>
      </c>
      <c r="AY81" s="714">
        <v>0</v>
      </c>
      <c r="AZ81" s="715"/>
      <c r="BA81" s="867" t="s">
        <v>1015</v>
      </c>
      <c r="BB81" s="714">
        <v>0</v>
      </c>
      <c r="BC81" s="715"/>
      <c r="BD81" s="867" t="s">
        <v>1015</v>
      </c>
      <c r="BE81" s="714">
        <v>0</v>
      </c>
      <c r="BF81" s="715"/>
      <c r="BG81" s="867" t="s">
        <v>1015</v>
      </c>
      <c r="BH81" s="714">
        <v>0</v>
      </c>
      <c r="BI81" s="715"/>
      <c r="BJ81" s="867" t="s">
        <v>1015</v>
      </c>
      <c r="BK81" s="714">
        <v>0</v>
      </c>
      <c r="BL81" s="715"/>
      <c r="BM81" s="867" t="s">
        <v>1015</v>
      </c>
      <c r="BN81" s="714">
        <v>0</v>
      </c>
      <c r="BO81" s="715"/>
      <c r="BP81" s="867" t="s">
        <v>1015</v>
      </c>
      <c r="BQ81" s="714">
        <v>0</v>
      </c>
      <c r="BR81" s="715"/>
      <c r="BS81" s="867" t="s">
        <v>1015</v>
      </c>
      <c r="BT81" s="714">
        <v>0</v>
      </c>
      <c r="BU81" s="715"/>
      <c r="BV81" s="867" t="s">
        <v>1015</v>
      </c>
      <c r="BW81" s="714">
        <v>0</v>
      </c>
      <c r="BX81" s="715"/>
      <c r="BY81" s="867" t="s">
        <v>1015</v>
      </c>
      <c r="BZ81" s="714">
        <v>0</v>
      </c>
      <c r="CA81" s="715"/>
      <c r="CB81" s="867" t="s">
        <v>1015</v>
      </c>
      <c r="CC81" s="714">
        <v>0</v>
      </c>
      <c r="CD81" s="715"/>
      <c r="CE81" s="867" t="s">
        <v>1015</v>
      </c>
      <c r="CF81" s="714">
        <v>0</v>
      </c>
      <c r="CG81" s="715"/>
      <c r="CH81" s="867" t="s">
        <v>1015</v>
      </c>
      <c r="CI81" s="714">
        <v>0</v>
      </c>
      <c r="CJ81" s="715"/>
      <c r="CK81" s="867" t="s">
        <v>1015</v>
      </c>
      <c r="CL81" s="714">
        <v>0</v>
      </c>
      <c r="CM81" s="715"/>
      <c r="CN81" s="867" t="s">
        <v>1015</v>
      </c>
      <c r="CO81" s="714">
        <v>0</v>
      </c>
    </row>
    <row r="82" spans="1:93" ht="15.75">
      <c r="A82" s="14">
        <f t="shared" si="4"/>
        <v>19</v>
      </c>
      <c r="B82" s="853"/>
      <c r="C82" s="630" t="s">
        <v>459</v>
      </c>
      <c r="D82" s="612"/>
      <c r="E82" s="713">
        <v>0</v>
      </c>
      <c r="F82" s="503"/>
      <c r="G82" s="661">
        <f>BZ$63</f>
        <v>0</v>
      </c>
      <c r="H82" s="503"/>
      <c r="I82" s="662">
        <f t="shared" si="2"/>
        <v>0</v>
      </c>
      <c r="J82" s="503"/>
      <c r="K82" s="662">
        <f t="shared" si="3"/>
        <v>0</v>
      </c>
      <c r="L82" s="503"/>
      <c r="M82" s="847"/>
      <c r="W82" s="867" t="s">
        <v>1015</v>
      </c>
      <c r="X82" s="714">
        <v>0</v>
      </c>
      <c r="Y82" s="715"/>
      <c r="Z82" s="867" t="s">
        <v>1015</v>
      </c>
      <c r="AA82" s="714">
        <v>0</v>
      </c>
      <c r="AB82" s="715"/>
      <c r="AC82" s="867" t="s">
        <v>1015</v>
      </c>
      <c r="AD82" s="714">
        <v>0</v>
      </c>
      <c r="AE82" s="715"/>
      <c r="AF82" s="867" t="s">
        <v>1015</v>
      </c>
      <c r="AG82" s="714">
        <v>0</v>
      </c>
      <c r="AH82" s="715"/>
      <c r="AI82" s="867" t="s">
        <v>1015</v>
      </c>
      <c r="AJ82" s="714">
        <v>0</v>
      </c>
      <c r="AK82" s="715"/>
      <c r="AL82" s="867" t="s">
        <v>1015</v>
      </c>
      <c r="AM82" s="714">
        <v>0</v>
      </c>
      <c r="AN82" s="715"/>
      <c r="AO82" s="867" t="s">
        <v>1015</v>
      </c>
      <c r="AP82" s="714">
        <v>0</v>
      </c>
      <c r="AQ82" s="715"/>
      <c r="AR82" s="867" t="s">
        <v>1015</v>
      </c>
      <c r="AS82" s="714">
        <v>0</v>
      </c>
      <c r="AT82" s="715"/>
      <c r="AU82" s="867" t="s">
        <v>1015</v>
      </c>
      <c r="AV82" s="714">
        <v>0</v>
      </c>
      <c r="AW82" s="715"/>
      <c r="AX82" s="867" t="s">
        <v>1015</v>
      </c>
      <c r="AY82" s="714">
        <v>0</v>
      </c>
      <c r="AZ82" s="715"/>
      <c r="BA82" s="867" t="s">
        <v>1015</v>
      </c>
      <c r="BB82" s="714">
        <v>0</v>
      </c>
      <c r="BC82" s="715"/>
      <c r="BD82" s="867" t="s">
        <v>1015</v>
      </c>
      <c r="BE82" s="714">
        <v>0</v>
      </c>
      <c r="BF82" s="715"/>
      <c r="BG82" s="867" t="s">
        <v>1015</v>
      </c>
      <c r="BH82" s="714">
        <v>0</v>
      </c>
      <c r="BI82" s="715"/>
      <c r="BJ82" s="867" t="s">
        <v>1015</v>
      </c>
      <c r="BK82" s="714">
        <v>0</v>
      </c>
      <c r="BL82" s="715"/>
      <c r="BM82" s="867" t="s">
        <v>1015</v>
      </c>
      <c r="BN82" s="714">
        <v>0</v>
      </c>
      <c r="BO82" s="715"/>
      <c r="BP82" s="867" t="s">
        <v>1015</v>
      </c>
      <c r="BQ82" s="714">
        <v>0</v>
      </c>
      <c r="BR82" s="715"/>
      <c r="BS82" s="867" t="s">
        <v>1015</v>
      </c>
      <c r="BT82" s="714">
        <v>0</v>
      </c>
      <c r="BU82" s="715"/>
      <c r="BV82" s="867" t="s">
        <v>1015</v>
      </c>
      <c r="BW82" s="714">
        <v>0</v>
      </c>
      <c r="BX82" s="715"/>
      <c r="BY82" s="867" t="s">
        <v>1015</v>
      </c>
      <c r="BZ82" s="714">
        <v>0</v>
      </c>
      <c r="CA82" s="715"/>
      <c r="CB82" s="867" t="s">
        <v>1015</v>
      </c>
      <c r="CC82" s="714">
        <v>0</v>
      </c>
      <c r="CD82" s="715"/>
      <c r="CE82" s="867" t="s">
        <v>1015</v>
      </c>
      <c r="CF82" s="714">
        <v>0</v>
      </c>
      <c r="CG82" s="715"/>
      <c r="CH82" s="867" t="s">
        <v>1015</v>
      </c>
      <c r="CI82" s="714">
        <v>0</v>
      </c>
      <c r="CJ82" s="715"/>
      <c r="CK82" s="867" t="s">
        <v>1015</v>
      </c>
      <c r="CL82" s="714">
        <v>0</v>
      </c>
      <c r="CM82" s="715"/>
      <c r="CN82" s="867" t="s">
        <v>1015</v>
      </c>
      <c r="CO82" s="714">
        <v>0</v>
      </c>
    </row>
    <row r="83" spans="1:93" ht="15.75">
      <c r="A83" s="14">
        <f t="shared" si="4"/>
        <v>20</v>
      </c>
      <c r="B83" s="853"/>
      <c r="C83" s="630" t="s">
        <v>460</v>
      </c>
      <c r="D83" s="612"/>
      <c r="E83" s="713">
        <v>0</v>
      </c>
      <c r="F83" s="503"/>
      <c r="G83" s="661">
        <f>CC$63</f>
        <v>0</v>
      </c>
      <c r="H83" s="503"/>
      <c r="I83" s="662">
        <f t="shared" si="2"/>
        <v>0</v>
      </c>
      <c r="J83" s="503"/>
      <c r="K83" s="662">
        <f t="shared" si="3"/>
        <v>0</v>
      </c>
      <c r="L83" s="503"/>
      <c r="M83" s="847"/>
      <c r="W83" s="867" t="s">
        <v>1015</v>
      </c>
      <c r="X83" s="714">
        <v>0</v>
      </c>
      <c r="Y83" s="715"/>
      <c r="Z83" s="867" t="s">
        <v>1015</v>
      </c>
      <c r="AA83" s="714">
        <v>0</v>
      </c>
      <c r="AB83" s="715"/>
      <c r="AC83" s="867" t="s">
        <v>1015</v>
      </c>
      <c r="AD83" s="714">
        <v>0</v>
      </c>
      <c r="AE83" s="715"/>
      <c r="AF83" s="867" t="s">
        <v>1015</v>
      </c>
      <c r="AG83" s="714">
        <v>0</v>
      </c>
      <c r="AH83" s="715"/>
      <c r="AI83" s="867" t="s">
        <v>1015</v>
      </c>
      <c r="AJ83" s="714">
        <v>0</v>
      </c>
      <c r="AK83" s="715"/>
      <c r="AL83" s="867" t="s">
        <v>1015</v>
      </c>
      <c r="AM83" s="714">
        <v>0</v>
      </c>
      <c r="AN83" s="715"/>
      <c r="AO83" s="867" t="s">
        <v>1015</v>
      </c>
      <c r="AP83" s="714">
        <v>0</v>
      </c>
      <c r="AQ83" s="715"/>
      <c r="AR83" s="867" t="s">
        <v>1015</v>
      </c>
      <c r="AS83" s="714">
        <v>0</v>
      </c>
      <c r="AT83" s="715"/>
      <c r="AU83" s="867" t="s">
        <v>1015</v>
      </c>
      <c r="AV83" s="714">
        <v>0</v>
      </c>
      <c r="AW83" s="715"/>
      <c r="AX83" s="867" t="s">
        <v>1015</v>
      </c>
      <c r="AY83" s="714">
        <v>0</v>
      </c>
      <c r="AZ83" s="715"/>
      <c r="BA83" s="867" t="s">
        <v>1015</v>
      </c>
      <c r="BB83" s="714">
        <v>0</v>
      </c>
      <c r="BC83" s="715"/>
      <c r="BD83" s="867" t="s">
        <v>1015</v>
      </c>
      <c r="BE83" s="714">
        <v>0</v>
      </c>
      <c r="BF83" s="715"/>
      <c r="BG83" s="867" t="s">
        <v>1015</v>
      </c>
      <c r="BH83" s="714">
        <v>0</v>
      </c>
      <c r="BI83" s="715"/>
      <c r="BJ83" s="867" t="s">
        <v>1015</v>
      </c>
      <c r="BK83" s="714">
        <v>0</v>
      </c>
      <c r="BL83" s="715"/>
      <c r="BM83" s="867" t="s">
        <v>1015</v>
      </c>
      <c r="BN83" s="714">
        <v>0</v>
      </c>
      <c r="BO83" s="715"/>
      <c r="BP83" s="867" t="s">
        <v>1015</v>
      </c>
      <c r="BQ83" s="714">
        <v>0</v>
      </c>
      <c r="BR83" s="715"/>
      <c r="BS83" s="867" t="s">
        <v>1015</v>
      </c>
      <c r="BT83" s="714">
        <v>0</v>
      </c>
      <c r="BU83" s="715"/>
      <c r="BV83" s="867" t="s">
        <v>1015</v>
      </c>
      <c r="BW83" s="714">
        <v>0</v>
      </c>
      <c r="BX83" s="715"/>
      <c r="BY83" s="867" t="s">
        <v>1015</v>
      </c>
      <c r="BZ83" s="714">
        <v>0</v>
      </c>
      <c r="CA83" s="715"/>
      <c r="CB83" s="867" t="s">
        <v>1015</v>
      </c>
      <c r="CC83" s="714">
        <v>0</v>
      </c>
      <c r="CD83" s="715"/>
      <c r="CE83" s="867" t="s">
        <v>1015</v>
      </c>
      <c r="CF83" s="714">
        <v>0</v>
      </c>
      <c r="CG83" s="715"/>
      <c r="CH83" s="867" t="s">
        <v>1015</v>
      </c>
      <c r="CI83" s="714">
        <v>0</v>
      </c>
      <c r="CJ83" s="715"/>
      <c r="CK83" s="867" t="s">
        <v>1015</v>
      </c>
      <c r="CL83" s="714">
        <v>0</v>
      </c>
      <c r="CM83" s="715"/>
      <c r="CN83" s="867" t="s">
        <v>1015</v>
      </c>
      <c r="CO83" s="714">
        <v>0</v>
      </c>
    </row>
    <row r="84" spans="1:93" ht="16.5" thickBot="1">
      <c r="A84" s="890">
        <f>A83+1</f>
        <v>21</v>
      </c>
      <c r="B84" s="40" t="s">
        <v>1077</v>
      </c>
      <c r="C84" s="886"/>
      <c r="D84" s="886"/>
      <c r="E84" s="855">
        <f>AVERAGE(E64:E83)</f>
        <v>0</v>
      </c>
      <c r="F84" s="719"/>
      <c r="G84" s="855">
        <f>AVERAGE(G64:G83)</f>
        <v>0</v>
      </c>
      <c r="H84" s="719"/>
      <c r="I84" s="855">
        <f>AVERAGE(I64:I83)</f>
        <v>0</v>
      </c>
      <c r="J84" s="856"/>
      <c r="K84" s="855">
        <f>AVERAGE(K64:K83)</f>
        <v>0</v>
      </c>
      <c r="L84" s="503"/>
      <c r="M84" s="886"/>
      <c r="W84" s="867" t="s">
        <v>1015</v>
      </c>
      <c r="X84" s="714">
        <v>0</v>
      </c>
      <c r="Y84" s="715"/>
      <c r="Z84" s="867" t="s">
        <v>1015</v>
      </c>
      <c r="AA84" s="714">
        <v>0</v>
      </c>
      <c r="AB84" s="715"/>
      <c r="AC84" s="867" t="s">
        <v>1015</v>
      </c>
      <c r="AD84" s="714">
        <v>0</v>
      </c>
      <c r="AE84" s="715"/>
      <c r="AF84" s="867" t="s">
        <v>1015</v>
      </c>
      <c r="AG84" s="714">
        <v>0</v>
      </c>
      <c r="AH84" s="715"/>
      <c r="AI84" s="867" t="s">
        <v>1015</v>
      </c>
      <c r="AJ84" s="714">
        <v>0</v>
      </c>
      <c r="AK84" s="715"/>
      <c r="AL84" s="867" t="s">
        <v>1015</v>
      </c>
      <c r="AM84" s="714">
        <v>0</v>
      </c>
      <c r="AN84" s="715"/>
      <c r="AO84" s="867" t="s">
        <v>1015</v>
      </c>
      <c r="AP84" s="714">
        <v>0</v>
      </c>
      <c r="AQ84" s="715"/>
      <c r="AR84" s="867" t="s">
        <v>1015</v>
      </c>
      <c r="AS84" s="714">
        <v>0</v>
      </c>
      <c r="AT84" s="715"/>
      <c r="AU84" s="867" t="s">
        <v>1015</v>
      </c>
      <c r="AV84" s="714">
        <v>0</v>
      </c>
      <c r="AW84" s="715"/>
      <c r="AX84" s="867" t="s">
        <v>1015</v>
      </c>
      <c r="AY84" s="714">
        <v>0</v>
      </c>
      <c r="AZ84" s="715"/>
      <c r="BA84" s="867" t="s">
        <v>1015</v>
      </c>
      <c r="BB84" s="714">
        <v>0</v>
      </c>
      <c r="BC84" s="715"/>
      <c r="BD84" s="867" t="s">
        <v>1015</v>
      </c>
      <c r="BE84" s="714">
        <v>0</v>
      </c>
      <c r="BF84" s="715"/>
      <c r="BG84" s="867" t="s">
        <v>1015</v>
      </c>
      <c r="BH84" s="714">
        <v>0</v>
      </c>
      <c r="BI84" s="715"/>
      <c r="BJ84" s="867" t="s">
        <v>1015</v>
      </c>
      <c r="BK84" s="714">
        <v>0</v>
      </c>
      <c r="BL84" s="715"/>
      <c r="BM84" s="867" t="s">
        <v>1015</v>
      </c>
      <c r="BN84" s="714">
        <v>0</v>
      </c>
      <c r="BO84" s="715"/>
      <c r="BP84" s="867" t="s">
        <v>1015</v>
      </c>
      <c r="BQ84" s="714">
        <v>0</v>
      </c>
      <c r="BR84" s="715"/>
      <c r="BS84" s="867" t="s">
        <v>1015</v>
      </c>
      <c r="BT84" s="714">
        <v>0</v>
      </c>
      <c r="BU84" s="715"/>
      <c r="BV84" s="867" t="s">
        <v>1015</v>
      </c>
      <c r="BW84" s="714">
        <v>0</v>
      </c>
      <c r="BX84" s="715"/>
      <c r="BY84" s="867" t="s">
        <v>1015</v>
      </c>
      <c r="BZ84" s="714">
        <v>0</v>
      </c>
      <c r="CA84" s="715"/>
      <c r="CB84" s="867" t="s">
        <v>1015</v>
      </c>
      <c r="CC84" s="714">
        <v>0</v>
      </c>
      <c r="CD84" s="715"/>
      <c r="CE84" s="867" t="s">
        <v>1015</v>
      </c>
      <c r="CF84" s="714">
        <v>0</v>
      </c>
      <c r="CG84" s="715"/>
      <c r="CH84" s="867" t="s">
        <v>1015</v>
      </c>
      <c r="CI84" s="714">
        <v>0</v>
      </c>
      <c r="CJ84" s="715"/>
      <c r="CK84" s="867" t="s">
        <v>1015</v>
      </c>
      <c r="CL84" s="714">
        <v>0</v>
      </c>
      <c r="CM84" s="715"/>
      <c r="CN84" s="867" t="s">
        <v>1015</v>
      </c>
      <c r="CO84" s="714">
        <v>0</v>
      </c>
    </row>
    <row r="85" spans="1:93" ht="16.5" thickTop="1">
      <c r="A85" s="886"/>
      <c r="B85" s="886"/>
      <c r="C85" s="886"/>
      <c r="D85" s="886"/>
      <c r="E85" s="886"/>
      <c r="F85" s="886"/>
      <c r="G85" s="886"/>
      <c r="H85" s="886"/>
      <c r="I85" s="886"/>
      <c r="J85" s="886"/>
      <c r="K85" s="886"/>
      <c r="L85" s="886"/>
      <c r="M85" s="886"/>
      <c r="W85" s="867" t="s">
        <v>1015</v>
      </c>
      <c r="X85" s="714">
        <v>0</v>
      </c>
      <c r="Y85" s="715"/>
      <c r="Z85" s="867" t="s">
        <v>1015</v>
      </c>
      <c r="AA85" s="714">
        <v>0</v>
      </c>
      <c r="AB85" s="715"/>
      <c r="AC85" s="867" t="s">
        <v>1015</v>
      </c>
      <c r="AD85" s="714">
        <v>0</v>
      </c>
      <c r="AE85" s="715"/>
      <c r="AF85" s="867" t="s">
        <v>1015</v>
      </c>
      <c r="AG85" s="714">
        <v>0</v>
      </c>
      <c r="AH85" s="715"/>
      <c r="AI85" s="867" t="s">
        <v>1015</v>
      </c>
      <c r="AJ85" s="714">
        <v>0</v>
      </c>
      <c r="AK85" s="715"/>
      <c r="AL85" s="867" t="s">
        <v>1015</v>
      </c>
      <c r="AM85" s="714">
        <v>0</v>
      </c>
      <c r="AN85" s="715"/>
      <c r="AO85" s="867" t="s">
        <v>1015</v>
      </c>
      <c r="AP85" s="714">
        <v>0</v>
      </c>
      <c r="AQ85" s="715"/>
      <c r="AR85" s="867" t="s">
        <v>1015</v>
      </c>
      <c r="AS85" s="714">
        <v>0</v>
      </c>
      <c r="AT85" s="715"/>
      <c r="AU85" s="867" t="s">
        <v>1015</v>
      </c>
      <c r="AV85" s="714">
        <v>0</v>
      </c>
      <c r="AW85" s="715"/>
      <c r="AX85" s="867" t="s">
        <v>1015</v>
      </c>
      <c r="AY85" s="714">
        <v>0</v>
      </c>
      <c r="AZ85" s="715"/>
      <c r="BA85" s="867" t="s">
        <v>1015</v>
      </c>
      <c r="BB85" s="714">
        <v>0</v>
      </c>
      <c r="BC85" s="715"/>
      <c r="BD85" s="867" t="s">
        <v>1015</v>
      </c>
      <c r="BE85" s="714">
        <v>0</v>
      </c>
      <c r="BF85" s="715"/>
      <c r="BG85" s="867" t="s">
        <v>1015</v>
      </c>
      <c r="BH85" s="714">
        <v>0</v>
      </c>
      <c r="BI85" s="715"/>
      <c r="BJ85" s="867" t="s">
        <v>1015</v>
      </c>
      <c r="BK85" s="714">
        <v>0</v>
      </c>
      <c r="BL85" s="715"/>
      <c r="BM85" s="867" t="s">
        <v>1015</v>
      </c>
      <c r="BN85" s="714">
        <v>0</v>
      </c>
      <c r="BO85" s="715"/>
      <c r="BP85" s="867" t="s">
        <v>1015</v>
      </c>
      <c r="BQ85" s="714">
        <v>0</v>
      </c>
      <c r="BR85" s="715"/>
      <c r="BS85" s="867" t="s">
        <v>1015</v>
      </c>
      <c r="BT85" s="714">
        <v>0</v>
      </c>
      <c r="BU85" s="715"/>
      <c r="BV85" s="867" t="s">
        <v>1015</v>
      </c>
      <c r="BW85" s="714">
        <v>0</v>
      </c>
      <c r="BX85" s="715"/>
      <c r="BY85" s="867" t="s">
        <v>1015</v>
      </c>
      <c r="BZ85" s="714">
        <v>0</v>
      </c>
      <c r="CA85" s="715"/>
      <c r="CB85" s="867" t="s">
        <v>1015</v>
      </c>
      <c r="CC85" s="714">
        <v>0</v>
      </c>
      <c r="CD85" s="715"/>
      <c r="CE85" s="867" t="s">
        <v>1015</v>
      </c>
      <c r="CF85" s="714">
        <v>0</v>
      </c>
      <c r="CG85" s="715"/>
      <c r="CH85" s="867" t="s">
        <v>1015</v>
      </c>
      <c r="CI85" s="714">
        <v>0</v>
      </c>
      <c r="CJ85" s="715"/>
      <c r="CK85" s="867" t="s">
        <v>1015</v>
      </c>
      <c r="CL85" s="714">
        <v>0</v>
      </c>
      <c r="CM85" s="715"/>
      <c r="CN85" s="867" t="s">
        <v>1015</v>
      </c>
      <c r="CO85" s="714">
        <v>0</v>
      </c>
    </row>
    <row r="86" spans="1:93" ht="15.75">
      <c r="A86" s="886"/>
      <c r="B86" s="499" t="s">
        <v>883</v>
      </c>
      <c r="C86" s="886"/>
      <c r="D86" s="886"/>
      <c r="E86" s="886"/>
      <c r="F86" s="886"/>
      <c r="G86" s="886"/>
      <c r="H86" s="886"/>
      <c r="I86" s="886"/>
      <c r="J86" s="886"/>
      <c r="K86" s="886"/>
      <c r="L86" s="886"/>
      <c r="M86" s="886"/>
      <c r="W86" s="867" t="s">
        <v>1015</v>
      </c>
      <c r="X86" s="714">
        <v>0</v>
      </c>
      <c r="Y86" s="715"/>
      <c r="Z86" s="867" t="s">
        <v>1015</v>
      </c>
      <c r="AA86" s="714">
        <v>0</v>
      </c>
      <c r="AB86" s="715"/>
      <c r="AC86" s="867" t="s">
        <v>1015</v>
      </c>
      <c r="AD86" s="714">
        <v>0</v>
      </c>
      <c r="AE86" s="715"/>
      <c r="AF86" s="867" t="s">
        <v>1015</v>
      </c>
      <c r="AG86" s="714">
        <v>0</v>
      </c>
      <c r="AH86" s="715"/>
      <c r="AI86" s="867" t="s">
        <v>1015</v>
      </c>
      <c r="AJ86" s="714">
        <v>0</v>
      </c>
      <c r="AK86" s="715"/>
      <c r="AL86" s="867" t="s">
        <v>1015</v>
      </c>
      <c r="AM86" s="714">
        <v>0</v>
      </c>
      <c r="AN86" s="715"/>
      <c r="AO86" s="867" t="s">
        <v>1015</v>
      </c>
      <c r="AP86" s="714">
        <v>0</v>
      </c>
      <c r="AQ86" s="715"/>
      <c r="AR86" s="867" t="s">
        <v>1015</v>
      </c>
      <c r="AS86" s="714">
        <v>0</v>
      </c>
      <c r="AT86" s="715"/>
      <c r="AU86" s="867" t="s">
        <v>1015</v>
      </c>
      <c r="AV86" s="714">
        <v>0</v>
      </c>
      <c r="AW86" s="715"/>
      <c r="AX86" s="867" t="s">
        <v>1015</v>
      </c>
      <c r="AY86" s="714">
        <v>0</v>
      </c>
      <c r="AZ86" s="715"/>
      <c r="BA86" s="867" t="s">
        <v>1015</v>
      </c>
      <c r="BB86" s="714">
        <v>0</v>
      </c>
      <c r="BC86" s="715"/>
      <c r="BD86" s="867" t="s">
        <v>1015</v>
      </c>
      <c r="BE86" s="714">
        <v>0</v>
      </c>
      <c r="BF86" s="715"/>
      <c r="BG86" s="867" t="s">
        <v>1015</v>
      </c>
      <c r="BH86" s="714">
        <v>0</v>
      </c>
      <c r="BI86" s="715"/>
      <c r="BJ86" s="867" t="s">
        <v>1015</v>
      </c>
      <c r="BK86" s="714">
        <v>0</v>
      </c>
      <c r="BL86" s="715"/>
      <c r="BM86" s="867" t="s">
        <v>1015</v>
      </c>
      <c r="BN86" s="714">
        <v>0</v>
      </c>
      <c r="BO86" s="715"/>
      <c r="BP86" s="867" t="s">
        <v>1015</v>
      </c>
      <c r="BQ86" s="714">
        <v>0</v>
      </c>
      <c r="BR86" s="715"/>
      <c r="BS86" s="867" t="s">
        <v>1015</v>
      </c>
      <c r="BT86" s="714">
        <v>0</v>
      </c>
      <c r="BU86" s="715"/>
      <c r="BV86" s="867" t="s">
        <v>1015</v>
      </c>
      <c r="BW86" s="714">
        <v>0</v>
      </c>
      <c r="BX86" s="715"/>
      <c r="BY86" s="867" t="s">
        <v>1015</v>
      </c>
      <c r="BZ86" s="714">
        <v>0</v>
      </c>
      <c r="CA86" s="715"/>
      <c r="CB86" s="867" t="s">
        <v>1015</v>
      </c>
      <c r="CC86" s="714">
        <v>0</v>
      </c>
      <c r="CD86" s="715"/>
      <c r="CE86" s="867" t="s">
        <v>1015</v>
      </c>
      <c r="CF86" s="714">
        <v>0</v>
      </c>
      <c r="CG86" s="715"/>
      <c r="CH86" s="867" t="s">
        <v>1015</v>
      </c>
      <c r="CI86" s="714">
        <v>0</v>
      </c>
      <c r="CJ86" s="715"/>
      <c r="CK86" s="867" t="s">
        <v>1015</v>
      </c>
      <c r="CL86" s="714">
        <v>0</v>
      </c>
      <c r="CM86" s="715"/>
      <c r="CN86" s="867" t="s">
        <v>1015</v>
      </c>
      <c r="CO86" s="714">
        <v>0</v>
      </c>
    </row>
    <row r="87" spans="1:93" ht="15.75">
      <c r="A87" s="886"/>
      <c r="B87" s="977" t="s">
        <v>876</v>
      </c>
      <c r="C87" s="977"/>
      <c r="D87" s="977"/>
      <c r="E87" s="977"/>
      <c r="F87" s="977"/>
      <c r="G87" s="977"/>
      <c r="H87" s="977"/>
      <c r="I87" s="977"/>
      <c r="J87" s="977"/>
      <c r="K87" s="977"/>
      <c r="L87" s="889"/>
      <c r="M87" s="889"/>
      <c r="W87" s="665"/>
      <c r="X87" s="666"/>
      <c r="Y87" s="503"/>
      <c r="Z87" s="503"/>
      <c r="AA87" s="503"/>
      <c r="AB87" s="503"/>
      <c r="AC87" s="503"/>
      <c r="AD87" s="503"/>
      <c r="AE87" s="503"/>
      <c r="AF87" s="503"/>
      <c r="AG87" s="503"/>
      <c r="AH87" s="503"/>
      <c r="AI87" s="503"/>
      <c r="AJ87" s="503"/>
      <c r="AK87" s="503"/>
      <c r="AL87" s="503"/>
      <c r="AM87" s="503"/>
      <c r="AN87" s="503"/>
      <c r="AO87" s="503"/>
      <c r="AP87" s="503"/>
      <c r="AQ87" s="503"/>
      <c r="AR87" s="503"/>
      <c r="AS87" s="503"/>
      <c r="AT87" s="503"/>
      <c r="AU87" s="503"/>
      <c r="AV87" s="503"/>
      <c r="AW87" s="503"/>
      <c r="AX87" s="503"/>
      <c r="AY87" s="503"/>
      <c r="AZ87" s="503"/>
      <c r="BA87" s="503"/>
      <c r="BB87" s="503"/>
      <c r="BC87" s="503"/>
      <c r="BD87" s="503"/>
      <c r="BE87" s="503"/>
      <c r="BF87" s="503"/>
      <c r="BG87" s="503"/>
      <c r="BH87" s="503"/>
      <c r="BI87" s="503"/>
      <c r="BJ87" s="503"/>
      <c r="BK87" s="503"/>
      <c r="BL87" s="503"/>
      <c r="BM87" s="503"/>
      <c r="BN87" s="503"/>
      <c r="BO87" s="503"/>
      <c r="BP87" s="503"/>
      <c r="BQ87" s="503"/>
      <c r="BR87" s="503"/>
      <c r="BS87" s="503"/>
      <c r="BT87" s="503"/>
      <c r="BU87" s="503"/>
      <c r="BV87" s="503"/>
      <c r="BW87" s="503"/>
      <c r="BX87" s="503"/>
      <c r="BY87" s="503"/>
      <c r="BZ87" s="503"/>
      <c r="CA87" s="503"/>
      <c r="CB87" s="503"/>
      <c r="CC87" s="503"/>
      <c r="CD87" s="503"/>
      <c r="CE87" s="503"/>
      <c r="CF87" s="503"/>
      <c r="CG87" s="503"/>
      <c r="CH87" s="503"/>
      <c r="CI87" s="503"/>
      <c r="CJ87" s="503"/>
      <c r="CK87" s="503"/>
      <c r="CL87" s="503"/>
      <c r="CM87" s="503"/>
      <c r="CN87" s="503"/>
      <c r="CO87" s="503"/>
    </row>
    <row r="88" spans="1:93" ht="15.75">
      <c r="A88" s="886"/>
      <c r="B88" s="886"/>
      <c r="C88" s="663" t="s">
        <v>877</v>
      </c>
      <c r="D88" s="886"/>
      <c r="E88" s="886"/>
      <c r="F88" s="886"/>
      <c r="G88" s="886"/>
      <c r="H88" s="886"/>
      <c r="I88" s="886"/>
      <c r="J88" s="886"/>
      <c r="K88" s="886"/>
      <c r="L88" s="847"/>
      <c r="M88" s="847"/>
      <c r="W88" s="665"/>
      <c r="X88" s="666"/>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3"/>
      <c r="AZ88" s="503"/>
      <c r="BA88" s="503"/>
      <c r="BB88" s="503"/>
      <c r="BC88" s="503"/>
      <c r="BD88" s="503"/>
      <c r="BE88" s="503"/>
      <c r="BF88" s="503"/>
      <c r="BG88" s="503"/>
      <c r="BH88" s="503"/>
      <c r="BI88" s="503"/>
      <c r="BJ88" s="503"/>
      <c r="BK88" s="503"/>
      <c r="BL88" s="503"/>
      <c r="BM88" s="503"/>
      <c r="BN88" s="503"/>
      <c r="BO88" s="503"/>
      <c r="BP88" s="503"/>
      <c r="BQ88" s="503"/>
      <c r="BR88" s="503"/>
      <c r="BS88" s="503"/>
      <c r="BT88" s="503"/>
      <c r="BU88" s="503"/>
      <c r="BV88" s="503"/>
      <c r="BW88" s="503"/>
      <c r="BX88" s="503"/>
      <c r="BY88" s="503"/>
      <c r="BZ88" s="503"/>
      <c r="CA88" s="503"/>
      <c r="CB88" s="503"/>
      <c r="CC88" s="503"/>
      <c r="CD88" s="503"/>
      <c r="CE88" s="503"/>
      <c r="CF88" s="503"/>
      <c r="CG88" s="503"/>
      <c r="CH88" s="503"/>
      <c r="CI88" s="503"/>
      <c r="CJ88" s="503"/>
      <c r="CK88" s="503"/>
      <c r="CL88" s="503"/>
      <c r="CM88" s="503"/>
      <c r="CN88" s="503"/>
      <c r="CO88" s="503"/>
    </row>
    <row r="89" spans="1:93" ht="15.75">
      <c r="A89" s="886"/>
      <c r="B89" s="977" t="s">
        <v>878</v>
      </c>
      <c r="C89" s="977"/>
      <c r="D89" s="977"/>
      <c r="E89" s="977"/>
      <c r="F89" s="977"/>
      <c r="G89" s="977"/>
      <c r="H89" s="977"/>
      <c r="I89" s="977"/>
      <c r="J89" s="977"/>
      <c r="K89" s="977"/>
      <c r="L89" s="889"/>
      <c r="M89" s="889"/>
      <c r="N89" s="665"/>
      <c r="O89" s="666"/>
      <c r="P89" s="503"/>
      <c r="Q89" s="503"/>
      <c r="R89" s="503"/>
      <c r="S89" s="503"/>
      <c r="T89" s="503"/>
      <c r="U89" s="503"/>
      <c r="V89" s="503"/>
      <c r="W89" s="665"/>
      <c r="X89" s="666"/>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3"/>
      <c r="AZ89" s="503"/>
      <c r="BA89" s="503"/>
      <c r="BB89" s="503"/>
      <c r="BC89" s="503"/>
      <c r="BD89" s="503"/>
      <c r="BE89" s="503"/>
      <c r="BF89" s="503"/>
      <c r="BG89" s="503"/>
      <c r="BH89" s="503"/>
      <c r="BI89" s="503"/>
      <c r="BJ89" s="503"/>
      <c r="BK89" s="503"/>
      <c r="BL89" s="503"/>
      <c r="BM89" s="503"/>
      <c r="BN89" s="503"/>
      <c r="BO89" s="503"/>
      <c r="BP89" s="503"/>
      <c r="BQ89" s="503"/>
      <c r="BR89" s="503"/>
      <c r="BS89" s="503"/>
      <c r="BT89" s="503"/>
      <c r="BU89" s="503"/>
      <c r="BV89" s="503"/>
      <c r="BW89" s="503"/>
      <c r="BX89" s="503"/>
      <c r="BY89" s="503"/>
      <c r="BZ89" s="503"/>
      <c r="CA89" s="503"/>
      <c r="CB89" s="503"/>
      <c r="CC89" s="503"/>
      <c r="CD89" s="503"/>
      <c r="CE89" s="503"/>
      <c r="CF89" s="503"/>
      <c r="CG89" s="503"/>
      <c r="CH89" s="503"/>
      <c r="CI89" s="503"/>
      <c r="CJ89" s="503"/>
      <c r="CK89" s="503"/>
      <c r="CL89" s="503"/>
      <c r="CM89" s="503"/>
      <c r="CN89" s="503"/>
      <c r="CO89" s="503"/>
    </row>
    <row r="90" spans="1:93" ht="15.75">
      <c r="A90" s="886"/>
      <c r="B90" s="886"/>
      <c r="C90" s="663" t="s">
        <v>879</v>
      </c>
      <c r="D90" s="886"/>
      <c r="E90" s="886"/>
      <c r="F90" s="886"/>
      <c r="G90" s="886"/>
      <c r="H90" s="886"/>
      <c r="I90" s="886"/>
      <c r="J90" s="886"/>
      <c r="K90" s="886"/>
      <c r="L90" s="847"/>
      <c r="M90" s="847"/>
      <c r="N90" s="665"/>
      <c r="O90" s="666"/>
      <c r="P90" s="503"/>
      <c r="Q90" s="503"/>
      <c r="R90" s="503"/>
      <c r="S90" s="503"/>
      <c r="T90" s="503"/>
      <c r="U90" s="503"/>
      <c r="V90" s="503"/>
      <c r="W90" s="665"/>
      <c r="X90" s="666"/>
      <c r="Y90" s="503"/>
      <c r="Z90" s="503"/>
      <c r="AA90" s="503"/>
      <c r="AB90" s="503"/>
      <c r="AC90" s="503"/>
      <c r="AD90" s="503"/>
      <c r="AE90" s="503"/>
      <c r="AF90" s="503"/>
      <c r="AG90" s="503"/>
      <c r="AH90" s="503"/>
      <c r="AI90" s="503"/>
      <c r="AJ90" s="503"/>
      <c r="AK90" s="503"/>
      <c r="AL90" s="503"/>
      <c r="AM90" s="503"/>
      <c r="AN90" s="503"/>
      <c r="AO90" s="503"/>
      <c r="AP90" s="503"/>
      <c r="AQ90" s="503"/>
      <c r="AR90" s="503"/>
      <c r="AS90" s="503"/>
      <c r="AT90" s="503"/>
      <c r="AU90" s="503"/>
      <c r="AV90" s="503"/>
      <c r="AW90" s="503"/>
      <c r="AX90" s="503"/>
      <c r="AY90" s="503"/>
      <c r="AZ90" s="503"/>
      <c r="BA90" s="503"/>
      <c r="BB90" s="503"/>
      <c r="BC90" s="503"/>
      <c r="BD90" s="503"/>
      <c r="BE90" s="503"/>
      <c r="BF90" s="503"/>
      <c r="BG90" s="503"/>
      <c r="BH90" s="503"/>
      <c r="BI90" s="503"/>
      <c r="BJ90" s="503"/>
      <c r="BK90" s="503"/>
      <c r="BL90" s="503"/>
      <c r="BM90" s="503"/>
      <c r="BN90" s="503"/>
      <c r="BO90" s="503"/>
      <c r="BP90" s="503"/>
      <c r="BQ90" s="503"/>
      <c r="BR90" s="503"/>
      <c r="BS90" s="503"/>
      <c r="BT90" s="503"/>
      <c r="BU90" s="503"/>
      <c r="BV90" s="503"/>
      <c r="BW90" s="503"/>
      <c r="BX90" s="503"/>
      <c r="BY90" s="503"/>
      <c r="BZ90" s="503"/>
      <c r="CA90" s="503"/>
      <c r="CB90" s="503"/>
      <c r="CC90" s="503"/>
      <c r="CD90" s="503"/>
      <c r="CE90" s="503"/>
      <c r="CF90" s="503"/>
      <c r="CG90" s="503"/>
      <c r="CH90" s="503"/>
      <c r="CI90" s="503"/>
      <c r="CJ90" s="503"/>
      <c r="CK90" s="503"/>
      <c r="CL90" s="503"/>
      <c r="CM90" s="503"/>
      <c r="CN90" s="503"/>
      <c r="CO90" s="503"/>
    </row>
    <row r="91" spans="1:93" ht="15.4" customHeight="1">
      <c r="A91" s="886"/>
      <c r="B91" s="499" t="s">
        <v>880</v>
      </c>
      <c r="C91" s="886"/>
      <c r="D91" s="886"/>
      <c r="E91" s="886"/>
      <c r="F91" s="886"/>
      <c r="G91" s="886"/>
      <c r="H91" s="886"/>
      <c r="I91" s="886"/>
      <c r="J91" s="886"/>
      <c r="K91" s="886"/>
      <c r="L91" s="847"/>
      <c r="M91" s="847"/>
      <c r="N91" s="665"/>
      <c r="O91" s="666"/>
      <c r="P91" s="503"/>
      <c r="Q91" s="503"/>
      <c r="R91" s="503"/>
      <c r="S91" s="503"/>
      <c r="T91" s="503"/>
      <c r="U91" s="503"/>
      <c r="V91" s="503"/>
      <c r="W91" s="665"/>
      <c r="X91" s="666"/>
      <c r="Y91" s="503"/>
      <c r="Z91" s="503"/>
      <c r="AA91" s="503"/>
      <c r="AB91" s="503"/>
      <c r="AC91" s="503"/>
      <c r="AD91" s="503"/>
      <c r="AE91" s="503"/>
      <c r="AF91" s="503"/>
      <c r="AG91" s="503"/>
      <c r="AH91" s="503"/>
      <c r="AI91" s="503"/>
      <c r="AJ91" s="503"/>
      <c r="AK91" s="503"/>
      <c r="AL91" s="503"/>
      <c r="AM91" s="503"/>
      <c r="AN91" s="503"/>
      <c r="AO91" s="503"/>
      <c r="AP91" s="503"/>
      <c r="AQ91" s="503"/>
      <c r="AR91" s="503"/>
      <c r="AS91" s="503"/>
      <c r="AT91" s="503"/>
      <c r="AU91" s="503"/>
      <c r="AV91" s="503"/>
      <c r="AW91" s="503"/>
      <c r="AX91" s="503"/>
      <c r="AY91" s="503"/>
      <c r="AZ91" s="503"/>
      <c r="BA91" s="503"/>
      <c r="BB91" s="503"/>
      <c r="BC91" s="503"/>
      <c r="BD91" s="503"/>
      <c r="BE91" s="503"/>
      <c r="BF91" s="503"/>
      <c r="BG91" s="503"/>
      <c r="BH91" s="503"/>
      <c r="BI91" s="503"/>
      <c r="BJ91" s="503"/>
      <c r="BK91" s="503"/>
      <c r="BL91" s="503"/>
      <c r="BM91" s="503"/>
      <c r="BN91" s="503"/>
      <c r="BO91" s="503"/>
      <c r="BP91" s="503"/>
      <c r="BQ91" s="503"/>
      <c r="BR91" s="503"/>
      <c r="BS91" s="503"/>
      <c r="BT91" s="503"/>
      <c r="BU91" s="503"/>
      <c r="BV91" s="503"/>
      <c r="BW91" s="503"/>
      <c r="BX91" s="503"/>
      <c r="BY91" s="503"/>
      <c r="BZ91" s="503"/>
      <c r="CA91" s="503"/>
      <c r="CB91" s="503"/>
      <c r="CC91" s="503"/>
      <c r="CD91" s="503"/>
      <c r="CE91" s="503"/>
      <c r="CF91" s="503"/>
      <c r="CG91" s="503"/>
      <c r="CH91" s="503"/>
      <c r="CI91" s="503"/>
      <c r="CJ91" s="503"/>
      <c r="CK91" s="503"/>
      <c r="CL91" s="503"/>
      <c r="CM91" s="503"/>
      <c r="CN91" s="503"/>
      <c r="CO91" s="503"/>
    </row>
    <row r="92" spans="1:93" ht="15.75">
      <c r="A92" s="886"/>
      <c r="B92" s="499" t="s">
        <v>924</v>
      </c>
      <c r="C92" s="886"/>
      <c r="D92" s="886"/>
      <c r="E92" s="886"/>
      <c r="F92" s="886"/>
      <c r="G92" s="886"/>
      <c r="H92" s="886"/>
      <c r="I92" s="886"/>
      <c r="J92" s="886"/>
      <c r="K92" s="886"/>
      <c r="L92" s="847"/>
      <c r="M92" s="847"/>
      <c r="N92" s="665"/>
      <c r="O92" s="666"/>
      <c r="P92" s="503"/>
      <c r="Q92" s="503"/>
      <c r="R92" s="503"/>
      <c r="S92" s="503"/>
      <c r="T92" s="503"/>
      <c r="U92" s="503"/>
      <c r="V92" s="503"/>
      <c r="W92" s="665"/>
      <c r="X92" s="666"/>
      <c r="Y92" s="503"/>
      <c r="Z92" s="503"/>
      <c r="AA92" s="503"/>
      <c r="AB92" s="503"/>
      <c r="AC92" s="503"/>
      <c r="AD92" s="503"/>
      <c r="AE92" s="503"/>
      <c r="AF92" s="503"/>
      <c r="AG92" s="503"/>
      <c r="AH92" s="503"/>
      <c r="AI92" s="503"/>
      <c r="AJ92" s="503"/>
      <c r="AK92" s="503"/>
      <c r="AL92" s="503"/>
      <c r="AM92" s="503"/>
      <c r="AN92" s="503"/>
      <c r="AO92" s="503"/>
      <c r="AP92" s="503"/>
      <c r="AQ92" s="503"/>
      <c r="AR92" s="503"/>
      <c r="AS92" s="503"/>
      <c r="AT92" s="503"/>
      <c r="AU92" s="503"/>
      <c r="AV92" s="503"/>
      <c r="AW92" s="503"/>
      <c r="AX92" s="503"/>
      <c r="AY92" s="503"/>
      <c r="AZ92" s="503"/>
      <c r="BA92" s="503"/>
      <c r="BB92" s="503"/>
      <c r="BC92" s="503"/>
      <c r="BD92" s="503"/>
      <c r="BE92" s="503"/>
      <c r="BF92" s="503"/>
      <c r="BG92" s="503"/>
      <c r="BH92" s="503"/>
      <c r="BI92" s="503"/>
      <c r="BJ92" s="503"/>
      <c r="BK92" s="503"/>
      <c r="BL92" s="503"/>
      <c r="BM92" s="503"/>
      <c r="BN92" s="503"/>
      <c r="BO92" s="503"/>
      <c r="BP92" s="503"/>
      <c r="BQ92" s="503"/>
      <c r="BR92" s="503"/>
      <c r="BS92" s="503"/>
      <c r="BT92" s="503"/>
      <c r="BU92" s="503"/>
      <c r="BV92" s="503"/>
      <c r="BW92" s="503"/>
      <c r="BX92" s="503"/>
      <c r="BY92" s="503"/>
      <c r="BZ92" s="503"/>
      <c r="CA92" s="503"/>
      <c r="CB92" s="503"/>
      <c r="CC92" s="503"/>
      <c r="CD92" s="503"/>
      <c r="CE92" s="503"/>
      <c r="CF92" s="503"/>
      <c r="CG92" s="503"/>
      <c r="CH92" s="503"/>
      <c r="CI92" s="503"/>
      <c r="CJ92" s="503"/>
      <c r="CK92" s="503"/>
      <c r="CL92" s="503"/>
      <c r="CM92" s="503"/>
      <c r="CN92" s="503"/>
      <c r="CO92" s="503"/>
    </row>
    <row r="93" spans="1:93" ht="15.4" customHeight="1">
      <c r="A93" s="886"/>
      <c r="B93" s="499" t="s">
        <v>925</v>
      </c>
      <c r="C93" s="886"/>
      <c r="D93" s="886"/>
      <c r="E93" s="886"/>
      <c r="F93" s="886"/>
      <c r="G93" s="886"/>
      <c r="H93" s="886"/>
      <c r="I93" s="886"/>
      <c r="J93" s="886"/>
      <c r="K93" s="886"/>
      <c r="L93" s="847"/>
      <c r="M93" s="847"/>
      <c r="N93" s="665"/>
      <c r="O93" s="666"/>
      <c r="P93" s="503"/>
      <c r="Q93" s="503"/>
      <c r="R93" s="503"/>
      <c r="S93" s="503"/>
      <c r="T93" s="503"/>
      <c r="U93" s="503"/>
      <c r="V93" s="503"/>
      <c r="W93" s="665"/>
      <c r="X93" s="666"/>
      <c r="Y93" s="503"/>
      <c r="Z93" s="503"/>
      <c r="AA93" s="503"/>
      <c r="AB93" s="503"/>
      <c r="AC93" s="503"/>
      <c r="AD93" s="503"/>
      <c r="AE93" s="503"/>
      <c r="AF93" s="503"/>
      <c r="AG93" s="503"/>
      <c r="AH93" s="503"/>
      <c r="AI93" s="503"/>
      <c r="AJ93" s="503"/>
      <c r="AK93" s="503"/>
      <c r="AL93" s="503"/>
      <c r="AM93" s="503"/>
      <c r="AN93" s="503"/>
      <c r="AO93" s="503"/>
      <c r="AP93" s="503"/>
      <c r="AQ93" s="503"/>
      <c r="AR93" s="503"/>
      <c r="AS93" s="503"/>
      <c r="AT93" s="503"/>
      <c r="AU93" s="503"/>
      <c r="AV93" s="503"/>
      <c r="AW93" s="503"/>
      <c r="AX93" s="503"/>
      <c r="AY93" s="503"/>
      <c r="AZ93" s="503"/>
      <c r="BA93" s="503"/>
      <c r="BB93" s="503"/>
      <c r="BC93" s="503"/>
      <c r="BD93" s="503"/>
      <c r="BE93" s="503"/>
      <c r="BF93" s="503"/>
      <c r="BG93" s="503"/>
      <c r="BH93" s="503"/>
      <c r="BI93" s="503"/>
      <c r="BJ93" s="503"/>
      <c r="BK93" s="503"/>
      <c r="BL93" s="503"/>
      <c r="BM93" s="503"/>
      <c r="BN93" s="503"/>
      <c r="BO93" s="503"/>
      <c r="BP93" s="503"/>
      <c r="BQ93" s="503"/>
      <c r="BR93" s="503"/>
      <c r="BS93" s="503"/>
      <c r="BT93" s="503"/>
      <c r="BU93" s="503"/>
      <c r="BV93" s="503"/>
      <c r="BW93" s="503"/>
      <c r="BX93" s="503"/>
      <c r="BY93" s="503"/>
      <c r="BZ93" s="503"/>
      <c r="CA93" s="503"/>
      <c r="CB93" s="503"/>
      <c r="CC93" s="503"/>
      <c r="CD93" s="503"/>
      <c r="CE93" s="503"/>
      <c r="CF93" s="503"/>
      <c r="CG93" s="503"/>
      <c r="CH93" s="503"/>
      <c r="CI93" s="503"/>
      <c r="CJ93" s="503"/>
      <c r="CK93" s="503"/>
      <c r="CL93" s="503"/>
      <c r="CM93" s="503"/>
      <c r="CN93" s="503"/>
      <c r="CO93" s="503"/>
    </row>
    <row r="94" spans="1:93">
      <c r="A94" s="503"/>
      <c r="B94" s="503"/>
      <c r="C94" s="503"/>
      <c r="D94" s="503"/>
      <c r="E94" s="503"/>
      <c r="F94" s="503"/>
      <c r="G94" s="503"/>
      <c r="H94" s="503"/>
      <c r="I94" s="503"/>
      <c r="J94" s="503"/>
      <c r="K94" s="503"/>
      <c r="L94" s="503"/>
      <c r="M94" s="503"/>
      <c r="N94" s="665"/>
      <c r="O94" s="666"/>
      <c r="P94" s="503"/>
      <c r="Q94" s="503"/>
      <c r="R94" s="503"/>
      <c r="S94" s="503"/>
      <c r="T94" s="503"/>
      <c r="U94" s="503"/>
      <c r="V94" s="503"/>
      <c r="W94" s="665"/>
      <c r="X94" s="666"/>
      <c r="Y94" s="503"/>
      <c r="Z94" s="503"/>
      <c r="AA94" s="503"/>
      <c r="AB94" s="503"/>
      <c r="AC94" s="503"/>
      <c r="AD94" s="503"/>
      <c r="AE94" s="503"/>
      <c r="AF94" s="503"/>
      <c r="AG94" s="503"/>
      <c r="AH94" s="503"/>
      <c r="AI94" s="503"/>
      <c r="AJ94" s="503"/>
      <c r="AK94" s="503"/>
      <c r="AL94" s="503"/>
      <c r="AM94" s="503"/>
      <c r="AN94" s="503"/>
      <c r="AO94" s="503"/>
      <c r="AP94" s="503"/>
      <c r="AQ94" s="503"/>
      <c r="AR94" s="503"/>
      <c r="AS94" s="503"/>
      <c r="AT94" s="503"/>
      <c r="AU94" s="503"/>
      <c r="AV94" s="503"/>
      <c r="AW94" s="503"/>
      <c r="AX94" s="503"/>
      <c r="AY94" s="503"/>
      <c r="AZ94" s="503"/>
      <c r="BA94" s="503"/>
      <c r="BB94" s="503"/>
      <c r="BC94" s="503"/>
      <c r="BD94" s="503"/>
      <c r="BE94" s="503"/>
      <c r="BF94" s="503"/>
      <c r="BG94" s="503"/>
      <c r="BH94" s="503"/>
      <c r="BI94" s="503"/>
      <c r="BJ94" s="503"/>
      <c r="BK94" s="503"/>
      <c r="BL94" s="503"/>
      <c r="BM94" s="503"/>
      <c r="BN94" s="503"/>
      <c r="BO94" s="503"/>
      <c r="BP94" s="503"/>
      <c r="BQ94" s="503"/>
      <c r="BR94" s="503"/>
      <c r="BS94" s="503"/>
      <c r="BT94" s="503"/>
      <c r="BU94" s="503"/>
      <c r="BV94" s="503"/>
      <c r="BW94" s="503"/>
      <c r="BX94" s="503"/>
      <c r="BY94" s="503"/>
      <c r="BZ94" s="503"/>
      <c r="CA94" s="503"/>
      <c r="CB94" s="503"/>
      <c r="CC94" s="503"/>
      <c r="CD94" s="503"/>
      <c r="CE94" s="503"/>
      <c r="CF94" s="503"/>
      <c r="CG94" s="503"/>
      <c r="CH94" s="503"/>
      <c r="CI94" s="503"/>
      <c r="CJ94" s="503"/>
      <c r="CK94" s="503"/>
      <c r="CL94" s="503"/>
      <c r="CM94" s="503"/>
      <c r="CN94" s="503"/>
      <c r="CO94" s="503"/>
    </row>
    <row r="95" spans="1:93">
      <c r="A95" s="503"/>
      <c r="B95" s="503"/>
      <c r="C95" s="503"/>
      <c r="D95" s="503"/>
      <c r="E95" s="503"/>
      <c r="F95" s="503"/>
      <c r="G95" s="503"/>
      <c r="H95" s="503"/>
      <c r="I95" s="503"/>
      <c r="J95" s="503"/>
      <c r="K95" s="503"/>
      <c r="L95" s="503"/>
      <c r="M95" s="503"/>
      <c r="N95" s="665"/>
      <c r="O95" s="666"/>
      <c r="P95" s="503"/>
      <c r="Q95" s="503"/>
      <c r="R95" s="503"/>
      <c r="S95" s="503"/>
      <c r="T95" s="503"/>
      <c r="U95" s="503"/>
      <c r="V95" s="503"/>
      <c r="W95" s="665"/>
      <c r="X95" s="666"/>
      <c r="Y95" s="503"/>
      <c r="Z95" s="503"/>
      <c r="AA95" s="503"/>
      <c r="AB95" s="503"/>
      <c r="AC95" s="503"/>
      <c r="AD95" s="503"/>
      <c r="AE95" s="503"/>
      <c r="AF95" s="503"/>
      <c r="AG95" s="503"/>
      <c r="AH95" s="503"/>
      <c r="AI95" s="503"/>
      <c r="AJ95" s="503"/>
      <c r="AK95" s="503"/>
      <c r="AL95" s="503"/>
      <c r="AM95" s="503"/>
      <c r="AN95" s="503"/>
      <c r="AO95" s="503"/>
      <c r="AP95" s="503"/>
      <c r="AQ95" s="503"/>
      <c r="AR95" s="503"/>
      <c r="AS95" s="503"/>
      <c r="AT95" s="503"/>
      <c r="AU95" s="503"/>
      <c r="AV95" s="503"/>
      <c r="AW95" s="503"/>
      <c r="AX95" s="503"/>
      <c r="AY95" s="503"/>
      <c r="AZ95" s="503"/>
      <c r="BA95" s="503"/>
      <c r="BB95" s="503"/>
      <c r="BC95" s="503"/>
      <c r="BD95" s="503"/>
      <c r="BE95" s="503"/>
      <c r="BF95" s="503"/>
      <c r="BG95" s="503"/>
      <c r="BH95" s="503"/>
      <c r="BI95" s="503"/>
      <c r="BJ95" s="503"/>
      <c r="BK95" s="503"/>
      <c r="BL95" s="503"/>
      <c r="BM95" s="503"/>
      <c r="BN95" s="503"/>
      <c r="BO95" s="503"/>
      <c r="BP95" s="503"/>
      <c r="BQ95" s="503"/>
      <c r="BR95" s="503"/>
      <c r="BS95" s="503"/>
      <c r="BT95" s="503"/>
      <c r="BU95" s="503"/>
      <c r="BV95" s="503"/>
      <c r="BW95" s="503"/>
      <c r="BX95" s="503"/>
      <c r="BY95" s="503"/>
      <c r="BZ95" s="503"/>
      <c r="CA95" s="503"/>
      <c r="CB95" s="503"/>
      <c r="CC95" s="503"/>
      <c r="CD95" s="503"/>
      <c r="CE95" s="503"/>
      <c r="CF95" s="503"/>
      <c r="CG95" s="503"/>
      <c r="CH95" s="503"/>
      <c r="CI95" s="503"/>
      <c r="CJ95" s="503"/>
      <c r="CK95" s="503"/>
      <c r="CL95" s="503"/>
      <c r="CM95" s="503"/>
      <c r="CN95" s="503"/>
      <c r="CO95" s="503"/>
    </row>
    <row r="96" spans="1:93">
      <c r="A96" s="503"/>
      <c r="B96" s="503"/>
      <c r="C96" s="503"/>
      <c r="D96" s="503"/>
      <c r="E96" s="503"/>
      <c r="F96" s="503"/>
      <c r="G96" s="503"/>
      <c r="H96" s="503"/>
      <c r="I96" s="503"/>
      <c r="J96" s="503"/>
      <c r="K96" s="503"/>
      <c r="L96" s="503"/>
      <c r="M96" s="503"/>
      <c r="N96" s="665"/>
      <c r="O96" s="666"/>
      <c r="P96" s="503"/>
      <c r="Q96" s="503"/>
      <c r="R96" s="503"/>
      <c r="S96" s="503"/>
      <c r="T96" s="503"/>
      <c r="U96" s="503"/>
      <c r="V96" s="503"/>
      <c r="W96" s="503"/>
      <c r="X96" s="503"/>
      <c r="Y96" s="503"/>
      <c r="Z96" s="503"/>
      <c r="AA96" s="503"/>
      <c r="AB96" s="503"/>
      <c r="AC96" s="503"/>
      <c r="AD96" s="503"/>
      <c r="AE96" s="503"/>
      <c r="AF96" s="503"/>
      <c r="AG96" s="503"/>
      <c r="AH96" s="503"/>
      <c r="AI96" s="503"/>
      <c r="AJ96" s="503"/>
      <c r="AK96" s="503"/>
      <c r="AL96" s="503"/>
      <c r="AM96" s="503"/>
      <c r="AN96" s="503"/>
      <c r="AO96" s="503"/>
      <c r="AP96" s="503"/>
      <c r="AQ96" s="503"/>
      <c r="AR96" s="503"/>
      <c r="AS96" s="503"/>
      <c r="AT96" s="503"/>
      <c r="AU96" s="503"/>
      <c r="AV96" s="503"/>
      <c r="AW96" s="503"/>
      <c r="AX96" s="503"/>
      <c r="AY96" s="503"/>
      <c r="AZ96" s="503"/>
      <c r="BA96" s="503"/>
      <c r="BB96" s="503"/>
      <c r="BC96" s="503"/>
      <c r="BD96" s="503"/>
      <c r="BE96" s="503"/>
      <c r="BF96" s="503"/>
      <c r="BG96" s="503"/>
      <c r="BH96" s="503"/>
      <c r="BI96" s="503"/>
      <c r="BJ96" s="503"/>
      <c r="BK96" s="503"/>
      <c r="BL96" s="503"/>
      <c r="BM96" s="503"/>
      <c r="BN96" s="503"/>
      <c r="BO96" s="503"/>
      <c r="BP96" s="503"/>
      <c r="BQ96" s="503"/>
      <c r="BR96" s="503"/>
      <c r="BS96" s="503"/>
      <c r="BT96" s="503"/>
      <c r="BU96" s="503"/>
      <c r="BV96" s="503"/>
      <c r="BW96" s="503"/>
      <c r="BX96" s="503"/>
      <c r="BY96" s="503"/>
      <c r="BZ96" s="503"/>
      <c r="CA96" s="503"/>
      <c r="CB96" s="503"/>
      <c r="CC96" s="503"/>
      <c r="CD96" s="503"/>
      <c r="CE96" s="503"/>
      <c r="CF96" s="503"/>
    </row>
    <row r="97" spans="1:84">
      <c r="A97" s="503"/>
      <c r="B97" s="503"/>
      <c r="C97" s="503"/>
      <c r="D97" s="503"/>
      <c r="E97" s="503"/>
      <c r="F97" s="503"/>
      <c r="G97" s="503"/>
      <c r="H97" s="503"/>
      <c r="I97" s="503"/>
      <c r="J97" s="503"/>
      <c r="K97" s="503"/>
      <c r="L97" s="503"/>
      <c r="M97" s="503"/>
      <c r="N97" s="665"/>
      <c r="O97" s="666"/>
      <c r="P97" s="503"/>
      <c r="Q97" s="503"/>
      <c r="R97" s="503"/>
      <c r="S97" s="503"/>
      <c r="T97" s="503"/>
      <c r="U97" s="503"/>
      <c r="V97" s="503"/>
      <c r="W97" s="503"/>
      <c r="X97" s="503"/>
      <c r="Y97" s="503"/>
      <c r="Z97" s="503"/>
      <c r="AA97" s="503"/>
      <c r="AB97" s="503"/>
      <c r="AC97" s="503"/>
      <c r="AD97" s="503"/>
      <c r="AE97" s="503"/>
      <c r="AF97" s="503"/>
      <c r="AG97" s="503"/>
      <c r="AH97" s="503"/>
      <c r="AI97" s="503"/>
      <c r="AJ97" s="503"/>
      <c r="AK97" s="503"/>
      <c r="AL97" s="503"/>
      <c r="AM97" s="503"/>
      <c r="AN97" s="503"/>
      <c r="AO97" s="503"/>
      <c r="AP97" s="503"/>
      <c r="AQ97" s="503"/>
      <c r="AR97" s="503"/>
      <c r="AS97" s="503"/>
      <c r="AT97" s="503"/>
      <c r="AU97" s="503"/>
      <c r="AV97" s="503"/>
      <c r="AW97" s="503"/>
      <c r="AX97" s="503"/>
      <c r="AY97" s="503"/>
      <c r="AZ97" s="503"/>
      <c r="BA97" s="503"/>
      <c r="BB97" s="503"/>
      <c r="BC97" s="503"/>
      <c r="BD97" s="503"/>
      <c r="BE97" s="503"/>
      <c r="BF97" s="503"/>
      <c r="BG97" s="503"/>
      <c r="BH97" s="503"/>
      <c r="BI97" s="503"/>
      <c r="BJ97" s="503"/>
      <c r="BK97" s="503"/>
      <c r="BL97" s="503"/>
      <c r="BM97" s="503"/>
      <c r="BN97" s="503"/>
      <c r="BO97" s="503"/>
      <c r="BP97" s="503"/>
      <c r="BQ97" s="503"/>
      <c r="BR97" s="503"/>
      <c r="BS97" s="503"/>
      <c r="BT97" s="503"/>
      <c r="BU97" s="503"/>
      <c r="BV97" s="503"/>
      <c r="BW97" s="503"/>
      <c r="BX97" s="503"/>
      <c r="BY97" s="503"/>
      <c r="BZ97" s="503"/>
      <c r="CA97" s="503"/>
      <c r="CB97" s="503"/>
      <c r="CC97" s="503"/>
      <c r="CD97" s="503"/>
      <c r="CE97" s="503"/>
      <c r="CF97" s="503"/>
    </row>
    <row r="98" spans="1:84">
      <c r="A98" s="503"/>
      <c r="B98" s="503"/>
      <c r="C98" s="503"/>
      <c r="D98" s="503"/>
      <c r="E98" s="503"/>
      <c r="F98" s="503"/>
      <c r="G98" s="503"/>
      <c r="H98" s="503"/>
      <c r="I98" s="503"/>
      <c r="J98" s="503"/>
      <c r="K98" s="503"/>
      <c r="L98" s="503"/>
      <c r="M98" s="503"/>
      <c r="N98" s="665"/>
      <c r="O98" s="666"/>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3"/>
      <c r="BX98" s="503"/>
      <c r="BY98" s="503"/>
      <c r="BZ98" s="503"/>
      <c r="CA98" s="503"/>
      <c r="CB98" s="503"/>
      <c r="CC98" s="503"/>
      <c r="CD98" s="503"/>
      <c r="CE98" s="503"/>
      <c r="CF98" s="503"/>
    </row>
    <row r="99" spans="1:84">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3"/>
      <c r="AK99" s="503"/>
      <c r="AL99" s="503"/>
      <c r="AM99" s="503"/>
      <c r="AN99" s="503"/>
      <c r="AO99" s="503"/>
      <c r="AP99" s="503"/>
      <c r="AQ99" s="503"/>
      <c r="AR99" s="503"/>
      <c r="AS99" s="503"/>
      <c r="AT99" s="503"/>
      <c r="AU99" s="503"/>
      <c r="AV99" s="503"/>
      <c r="AW99" s="503"/>
      <c r="AX99" s="503"/>
      <c r="AY99" s="503"/>
      <c r="AZ99" s="503"/>
      <c r="BA99" s="503"/>
      <c r="BB99" s="503"/>
      <c r="BC99" s="503"/>
      <c r="BD99" s="503"/>
      <c r="BE99" s="503"/>
      <c r="BF99" s="503"/>
      <c r="BG99" s="503"/>
      <c r="BH99" s="503"/>
      <c r="BI99" s="503"/>
      <c r="BJ99" s="503"/>
      <c r="BK99" s="503"/>
      <c r="BL99" s="503"/>
      <c r="BM99" s="503"/>
      <c r="BN99" s="503"/>
      <c r="BO99" s="503"/>
      <c r="BP99" s="503"/>
      <c r="BQ99" s="503"/>
      <c r="BR99" s="503"/>
      <c r="BS99" s="503"/>
      <c r="BT99" s="503"/>
      <c r="BU99" s="503"/>
      <c r="BV99" s="503"/>
      <c r="BW99" s="503"/>
      <c r="BX99" s="503"/>
      <c r="BY99" s="503"/>
      <c r="BZ99" s="503"/>
      <c r="CA99" s="503"/>
      <c r="CB99" s="503"/>
      <c r="CC99" s="503"/>
      <c r="CD99" s="503"/>
      <c r="CE99" s="503"/>
      <c r="CF99" s="503"/>
    </row>
    <row r="100" spans="1:84">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3"/>
      <c r="AY100" s="503"/>
      <c r="AZ100" s="503"/>
      <c r="BA100" s="503"/>
      <c r="BB100" s="503"/>
      <c r="BC100" s="503"/>
      <c r="BD100" s="503"/>
      <c r="BE100" s="503"/>
      <c r="BF100" s="503"/>
      <c r="BG100" s="503"/>
      <c r="BH100" s="503"/>
      <c r="BI100" s="503"/>
      <c r="BJ100" s="503"/>
      <c r="BK100" s="503"/>
      <c r="BL100" s="503"/>
      <c r="BM100" s="503"/>
      <c r="BN100" s="503"/>
      <c r="BO100" s="503"/>
      <c r="BP100" s="503"/>
      <c r="BQ100" s="503"/>
      <c r="BR100" s="503"/>
      <c r="BS100" s="503"/>
      <c r="BT100" s="503"/>
      <c r="BU100" s="503"/>
      <c r="BV100" s="503"/>
      <c r="BW100" s="503"/>
      <c r="BX100" s="503"/>
      <c r="BY100" s="503"/>
      <c r="BZ100" s="503"/>
      <c r="CA100" s="503"/>
      <c r="CB100" s="503"/>
      <c r="CC100" s="503"/>
      <c r="CD100" s="503"/>
      <c r="CE100" s="503"/>
      <c r="CF100" s="503"/>
    </row>
    <row r="101" spans="1:84">
      <c r="N101" s="503"/>
      <c r="O101" s="503"/>
      <c r="P101" s="503"/>
      <c r="Q101" s="503"/>
      <c r="R101" s="503"/>
      <c r="S101" s="503"/>
      <c r="T101" s="503"/>
      <c r="U101" s="503"/>
      <c r="V101" s="503"/>
      <c r="W101" s="503"/>
      <c r="X101" s="503"/>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c r="AW101" s="503"/>
      <c r="AX101" s="503"/>
      <c r="AY101" s="503"/>
      <c r="AZ101" s="503"/>
      <c r="BA101" s="503"/>
      <c r="BB101" s="503"/>
      <c r="BC101" s="503"/>
      <c r="BD101" s="503"/>
      <c r="BE101" s="503"/>
      <c r="BF101" s="503"/>
      <c r="BG101" s="503"/>
      <c r="BH101" s="503"/>
      <c r="BI101" s="503"/>
      <c r="BJ101" s="503"/>
      <c r="BK101" s="503"/>
      <c r="BL101" s="503"/>
      <c r="BM101" s="503"/>
      <c r="BN101" s="503"/>
      <c r="BO101" s="503"/>
      <c r="BP101" s="503"/>
      <c r="BQ101" s="503"/>
      <c r="BR101" s="503"/>
      <c r="BS101" s="503"/>
      <c r="BT101" s="503"/>
      <c r="BU101" s="503"/>
      <c r="BV101" s="503"/>
      <c r="BW101" s="503"/>
      <c r="BX101" s="503"/>
      <c r="BY101" s="503"/>
      <c r="BZ101" s="503"/>
      <c r="CA101" s="503"/>
      <c r="CB101" s="503"/>
      <c r="CC101" s="503"/>
      <c r="CD101" s="503"/>
      <c r="CE101" s="503"/>
      <c r="CF101" s="503"/>
    </row>
    <row r="102" spans="1:84">
      <c r="N102" s="503"/>
      <c r="O102" s="503"/>
      <c r="P102" s="503"/>
      <c r="Q102" s="503"/>
      <c r="R102" s="503"/>
      <c r="S102" s="503"/>
      <c r="T102" s="503"/>
      <c r="U102" s="503"/>
      <c r="V102" s="503"/>
      <c r="W102" s="503"/>
      <c r="X102" s="503"/>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503"/>
      <c r="AW102" s="503"/>
      <c r="AX102" s="503"/>
      <c r="AY102" s="503"/>
      <c r="AZ102" s="503"/>
      <c r="BA102" s="503"/>
      <c r="BB102" s="503"/>
      <c r="BC102" s="503"/>
      <c r="BD102" s="503"/>
      <c r="BE102" s="503"/>
      <c r="BF102" s="503"/>
      <c r="BG102" s="503"/>
      <c r="BH102" s="503"/>
      <c r="BI102" s="503"/>
      <c r="BJ102" s="503"/>
      <c r="BK102" s="503"/>
      <c r="BL102" s="503"/>
      <c r="BM102" s="503"/>
      <c r="BN102" s="503"/>
      <c r="BO102" s="503"/>
      <c r="BP102" s="503"/>
      <c r="BQ102" s="503"/>
      <c r="BR102" s="503"/>
      <c r="BS102" s="503"/>
      <c r="BT102" s="503"/>
      <c r="BU102" s="503"/>
      <c r="BV102" s="503"/>
      <c r="BW102" s="503"/>
      <c r="BX102" s="503"/>
      <c r="BY102" s="503"/>
      <c r="BZ102" s="503"/>
      <c r="CA102" s="503"/>
      <c r="CB102" s="503"/>
      <c r="CC102" s="503"/>
      <c r="CD102" s="503"/>
      <c r="CE102" s="503"/>
      <c r="CF102" s="503"/>
    </row>
    <row r="103" spans="1:84">
      <c r="A103" s="503"/>
      <c r="B103" s="503"/>
      <c r="C103" s="503"/>
      <c r="D103" s="503"/>
      <c r="E103" s="503"/>
      <c r="F103" s="503"/>
      <c r="G103" s="503"/>
      <c r="H103" s="503"/>
      <c r="I103" s="503"/>
      <c r="J103" s="503"/>
      <c r="K103" s="503"/>
      <c r="L103" s="503"/>
      <c r="M103" s="503"/>
      <c r="N103" s="503"/>
      <c r="O103" s="503"/>
      <c r="P103" s="503"/>
      <c r="Q103" s="503"/>
      <c r="R103" s="503"/>
      <c r="S103" s="503"/>
      <c r="T103" s="503"/>
      <c r="U103" s="503"/>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c r="AW103" s="503"/>
      <c r="AX103" s="503"/>
      <c r="AY103" s="503"/>
      <c r="AZ103" s="503"/>
      <c r="BA103" s="503"/>
      <c r="BB103" s="503"/>
      <c r="BC103" s="503"/>
      <c r="BD103" s="503"/>
      <c r="BE103" s="503"/>
      <c r="BF103" s="503"/>
      <c r="BG103" s="503"/>
      <c r="BH103" s="503"/>
      <c r="BI103" s="503"/>
      <c r="BJ103" s="503"/>
      <c r="BK103" s="503"/>
      <c r="BL103" s="503"/>
      <c r="BM103" s="503"/>
      <c r="BN103" s="503"/>
      <c r="BO103" s="503"/>
      <c r="BP103" s="503"/>
      <c r="BQ103" s="503"/>
      <c r="BR103" s="503"/>
      <c r="BS103" s="503"/>
      <c r="BT103" s="503"/>
      <c r="BU103" s="503"/>
      <c r="BV103" s="503"/>
      <c r="BW103" s="503"/>
      <c r="BX103" s="503"/>
      <c r="BY103" s="503"/>
      <c r="BZ103" s="503"/>
      <c r="CA103" s="503"/>
      <c r="CB103" s="503"/>
      <c r="CC103" s="503"/>
      <c r="CD103" s="503"/>
      <c r="CE103" s="503"/>
      <c r="CF103" s="503"/>
    </row>
    <row r="104" spans="1:84">
      <c r="A104" s="503"/>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3"/>
      <c r="AD104" s="503"/>
      <c r="AE104" s="503"/>
      <c r="AF104" s="503"/>
      <c r="AG104" s="503"/>
      <c r="AH104" s="503"/>
      <c r="AI104" s="503"/>
      <c r="AJ104" s="503"/>
      <c r="AK104" s="503"/>
      <c r="AL104" s="503"/>
      <c r="AM104" s="503"/>
      <c r="AN104" s="503"/>
      <c r="AO104" s="503"/>
      <c r="AP104" s="503"/>
      <c r="AQ104" s="503"/>
      <c r="AR104" s="503"/>
      <c r="AS104" s="503"/>
      <c r="AT104" s="503"/>
      <c r="AU104" s="503"/>
      <c r="AV104" s="503"/>
      <c r="AW104" s="503"/>
      <c r="AX104" s="503"/>
      <c r="AY104" s="503"/>
      <c r="AZ104" s="503"/>
      <c r="BA104" s="503"/>
      <c r="BB104" s="503"/>
      <c r="BC104" s="503"/>
      <c r="BD104" s="503"/>
      <c r="BE104" s="503"/>
      <c r="BF104" s="503"/>
      <c r="BG104" s="503"/>
      <c r="BH104" s="503"/>
      <c r="BI104" s="503"/>
      <c r="BJ104" s="503"/>
      <c r="BK104" s="503"/>
      <c r="BL104" s="503"/>
      <c r="BM104" s="503"/>
      <c r="BN104" s="503"/>
      <c r="BO104" s="503"/>
      <c r="BP104" s="503"/>
      <c r="BQ104" s="503"/>
      <c r="BR104" s="503"/>
      <c r="BS104" s="503"/>
      <c r="BT104" s="503"/>
      <c r="BU104" s="503"/>
      <c r="BV104" s="503"/>
      <c r="BW104" s="503"/>
      <c r="BX104" s="503"/>
      <c r="BY104" s="503"/>
      <c r="BZ104" s="503"/>
      <c r="CA104" s="503"/>
      <c r="CB104" s="503"/>
      <c r="CC104" s="503"/>
      <c r="CD104" s="503"/>
      <c r="CE104" s="503"/>
      <c r="CF104" s="503"/>
    </row>
    <row r="105" spans="1:84">
      <c r="A105" s="503"/>
      <c r="B105" s="503"/>
      <c r="C105" s="503"/>
      <c r="D105" s="503"/>
      <c r="E105" s="503"/>
      <c r="F105" s="503"/>
      <c r="G105" s="503"/>
      <c r="H105" s="503"/>
      <c r="I105" s="503"/>
      <c r="J105" s="503"/>
      <c r="K105" s="503"/>
      <c r="L105" s="503"/>
      <c r="M105" s="503"/>
      <c r="N105" s="503"/>
      <c r="O105" s="503"/>
      <c r="P105" s="503"/>
      <c r="Q105" s="503"/>
      <c r="R105" s="503"/>
      <c r="S105" s="503"/>
      <c r="T105" s="503"/>
      <c r="U105" s="503"/>
      <c r="V105" s="503"/>
      <c r="W105" s="503"/>
      <c r="X105" s="503"/>
      <c r="Y105" s="503"/>
      <c r="Z105" s="503"/>
      <c r="AA105" s="503"/>
      <c r="AB105" s="503"/>
      <c r="AC105" s="503"/>
      <c r="AD105" s="503"/>
      <c r="AE105" s="503"/>
      <c r="AF105" s="503"/>
      <c r="AG105" s="503"/>
      <c r="AH105" s="503"/>
      <c r="AI105" s="503"/>
      <c r="AJ105" s="503"/>
      <c r="AK105" s="503"/>
      <c r="AL105" s="503"/>
      <c r="AM105" s="503"/>
      <c r="AN105" s="503"/>
      <c r="AO105" s="503"/>
      <c r="AP105" s="503"/>
      <c r="AQ105" s="503"/>
      <c r="AR105" s="503"/>
      <c r="AS105" s="503"/>
      <c r="AT105" s="503"/>
      <c r="AU105" s="503"/>
      <c r="AV105" s="503"/>
      <c r="AW105" s="503"/>
      <c r="AX105" s="503"/>
      <c r="AY105" s="503"/>
      <c r="AZ105" s="503"/>
      <c r="BA105" s="503"/>
      <c r="BB105" s="503"/>
      <c r="BC105" s="503"/>
      <c r="BD105" s="503"/>
      <c r="BE105" s="503"/>
      <c r="BF105" s="503"/>
      <c r="BG105" s="503"/>
      <c r="BH105" s="503"/>
      <c r="BI105" s="503"/>
      <c r="BJ105" s="503"/>
      <c r="BK105" s="503"/>
      <c r="BL105" s="503"/>
      <c r="BM105" s="503"/>
      <c r="BN105" s="503"/>
      <c r="BO105" s="503"/>
      <c r="BP105" s="503"/>
      <c r="BQ105" s="503"/>
      <c r="BR105" s="503"/>
      <c r="BS105" s="503"/>
      <c r="BT105" s="503"/>
      <c r="BU105" s="503"/>
      <c r="BV105" s="503"/>
      <c r="BW105" s="503"/>
      <c r="BX105" s="503"/>
      <c r="BY105" s="503"/>
      <c r="BZ105" s="503"/>
      <c r="CA105" s="503"/>
      <c r="CB105" s="503"/>
      <c r="CC105" s="503"/>
      <c r="CD105" s="503"/>
      <c r="CE105" s="503"/>
      <c r="CF105" s="503"/>
    </row>
    <row r="106" spans="1:84">
      <c r="A106" s="503"/>
      <c r="B106" s="503"/>
      <c r="C106" s="503"/>
      <c r="D106" s="503"/>
      <c r="E106" s="503"/>
      <c r="F106" s="503"/>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3"/>
      <c r="AK106" s="503"/>
      <c r="AL106" s="503"/>
      <c r="AM106" s="503"/>
      <c r="AN106" s="503"/>
      <c r="AO106" s="503"/>
      <c r="AP106" s="503"/>
      <c r="AQ106" s="503"/>
      <c r="AR106" s="503"/>
      <c r="AS106" s="503"/>
      <c r="AT106" s="503"/>
      <c r="AU106" s="503"/>
      <c r="AV106" s="503"/>
      <c r="AW106" s="503"/>
      <c r="AX106" s="503"/>
      <c r="AY106" s="503"/>
      <c r="AZ106" s="503"/>
      <c r="BA106" s="503"/>
      <c r="BB106" s="503"/>
      <c r="BC106" s="503"/>
      <c r="BD106" s="503"/>
      <c r="BE106" s="503"/>
      <c r="BF106" s="503"/>
      <c r="BG106" s="503"/>
      <c r="BH106" s="503"/>
      <c r="BI106" s="503"/>
      <c r="BJ106" s="503"/>
      <c r="BK106" s="503"/>
      <c r="BL106" s="503"/>
      <c r="BM106" s="503"/>
      <c r="BN106" s="503"/>
      <c r="BO106" s="503"/>
      <c r="BP106" s="503"/>
      <c r="BQ106" s="503"/>
      <c r="BR106" s="503"/>
      <c r="BS106" s="503"/>
      <c r="BT106" s="503"/>
      <c r="BU106" s="503"/>
      <c r="BV106" s="503"/>
      <c r="BW106" s="503"/>
      <c r="BX106" s="503"/>
      <c r="BY106" s="503"/>
      <c r="BZ106" s="503"/>
      <c r="CA106" s="503"/>
      <c r="CB106" s="503"/>
      <c r="CC106" s="503"/>
      <c r="CD106" s="503"/>
      <c r="CE106" s="503"/>
      <c r="CF106" s="503"/>
    </row>
    <row r="107" spans="1:84">
      <c r="A107" s="503"/>
      <c r="B107" s="503"/>
      <c r="C107" s="503"/>
      <c r="D107" s="503"/>
      <c r="E107" s="503"/>
      <c r="F107" s="503"/>
      <c r="G107" s="503"/>
      <c r="H107" s="503"/>
      <c r="I107" s="503"/>
      <c r="J107" s="503"/>
      <c r="K107" s="503"/>
      <c r="L107" s="503"/>
      <c r="M107" s="503"/>
      <c r="N107" s="503"/>
      <c r="O107" s="503"/>
      <c r="P107" s="503"/>
      <c r="Q107" s="503"/>
      <c r="R107" s="503"/>
      <c r="S107" s="503"/>
      <c r="T107" s="503"/>
      <c r="U107" s="503"/>
      <c r="V107" s="503"/>
      <c r="W107" s="503"/>
      <c r="X107" s="503"/>
      <c r="Y107" s="503"/>
      <c r="Z107" s="503"/>
      <c r="AA107" s="503"/>
      <c r="AB107" s="503"/>
      <c r="AC107" s="503"/>
      <c r="AD107" s="503"/>
      <c r="AE107" s="503"/>
      <c r="AF107" s="503"/>
      <c r="AG107" s="503"/>
      <c r="AH107" s="503"/>
      <c r="AI107" s="503"/>
      <c r="AJ107" s="503"/>
      <c r="AK107" s="503"/>
      <c r="AL107" s="503"/>
      <c r="AM107" s="503"/>
      <c r="AN107" s="503"/>
      <c r="AO107" s="503"/>
      <c r="AP107" s="503"/>
      <c r="AQ107" s="503"/>
      <c r="AR107" s="503"/>
      <c r="AS107" s="503"/>
      <c r="AT107" s="503"/>
      <c r="AU107" s="503"/>
      <c r="AV107" s="503"/>
      <c r="AW107" s="503"/>
      <c r="AX107" s="503"/>
      <c r="AY107" s="503"/>
      <c r="AZ107" s="503"/>
      <c r="BA107" s="503"/>
      <c r="BB107" s="503"/>
      <c r="BC107" s="503"/>
      <c r="BD107" s="503"/>
      <c r="BE107" s="503"/>
      <c r="BF107" s="503"/>
      <c r="BG107" s="503"/>
      <c r="BH107" s="503"/>
      <c r="BI107" s="503"/>
      <c r="BJ107" s="503"/>
      <c r="BK107" s="503"/>
      <c r="BL107" s="503"/>
      <c r="BM107" s="503"/>
      <c r="BN107" s="503"/>
      <c r="BO107" s="503"/>
      <c r="BP107" s="503"/>
      <c r="BQ107" s="503"/>
      <c r="BR107" s="503"/>
      <c r="BS107" s="503"/>
      <c r="BT107" s="503"/>
      <c r="BU107" s="503"/>
      <c r="BV107" s="503"/>
      <c r="BW107" s="503"/>
      <c r="BX107" s="503"/>
      <c r="BY107" s="503"/>
      <c r="BZ107" s="503"/>
      <c r="CA107" s="503"/>
      <c r="CB107" s="503"/>
      <c r="CC107" s="503"/>
      <c r="CD107" s="503"/>
      <c r="CE107" s="503"/>
      <c r="CF107" s="503"/>
    </row>
    <row r="108" spans="1:84">
      <c r="A108" s="503"/>
      <c r="B108" s="503"/>
      <c r="C108" s="503"/>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3"/>
      <c r="AY108" s="503"/>
      <c r="AZ108" s="503"/>
      <c r="BA108" s="503"/>
      <c r="BB108" s="503"/>
      <c r="BC108" s="503"/>
      <c r="BD108" s="503"/>
      <c r="BE108" s="503"/>
      <c r="BF108" s="503"/>
      <c r="BG108" s="503"/>
      <c r="BH108" s="503"/>
      <c r="BI108" s="503"/>
      <c r="BJ108" s="503"/>
      <c r="BK108" s="503"/>
      <c r="BL108" s="503"/>
      <c r="BM108" s="503"/>
      <c r="BN108" s="503"/>
      <c r="BO108" s="503"/>
      <c r="BP108" s="503"/>
      <c r="BQ108" s="503"/>
      <c r="BR108" s="503"/>
      <c r="BS108" s="503"/>
      <c r="BT108" s="503"/>
      <c r="BU108" s="503"/>
      <c r="BV108" s="503"/>
      <c r="BW108" s="503"/>
      <c r="BX108" s="503"/>
      <c r="BY108" s="503"/>
      <c r="BZ108" s="503"/>
      <c r="CA108" s="503"/>
      <c r="CB108" s="503"/>
      <c r="CC108" s="503"/>
      <c r="CD108" s="503"/>
      <c r="CE108" s="503"/>
      <c r="CF108" s="503"/>
    </row>
    <row r="109" spans="1:84">
      <c r="A109" s="503"/>
      <c r="B109" s="503"/>
      <c r="C109" s="503"/>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3"/>
      <c r="AK109" s="503"/>
      <c r="AL109" s="503"/>
      <c r="AM109" s="503"/>
      <c r="AN109" s="503"/>
      <c r="AO109" s="503"/>
      <c r="AP109" s="503"/>
      <c r="AQ109" s="503"/>
      <c r="AR109" s="503"/>
      <c r="AS109" s="503"/>
      <c r="AT109" s="503"/>
      <c r="AU109" s="503"/>
      <c r="AV109" s="503"/>
      <c r="AW109" s="503"/>
      <c r="AX109" s="503"/>
      <c r="AY109" s="503"/>
      <c r="AZ109" s="503"/>
      <c r="BA109" s="503"/>
      <c r="BB109" s="503"/>
      <c r="BC109" s="503"/>
      <c r="BD109" s="503"/>
      <c r="BE109" s="503"/>
      <c r="BF109" s="503"/>
      <c r="BG109" s="503"/>
      <c r="BH109" s="503"/>
      <c r="BI109" s="503"/>
      <c r="BJ109" s="503"/>
      <c r="BK109" s="503"/>
      <c r="BL109" s="503"/>
      <c r="BM109" s="503"/>
      <c r="BN109" s="503"/>
      <c r="BO109" s="503"/>
      <c r="BP109" s="503"/>
      <c r="BQ109" s="503"/>
      <c r="BR109" s="503"/>
      <c r="BS109" s="503"/>
      <c r="BT109" s="503"/>
      <c r="BU109" s="503"/>
      <c r="BV109" s="503"/>
      <c r="BW109" s="503"/>
      <c r="BX109" s="503"/>
      <c r="BY109" s="503"/>
      <c r="BZ109" s="503"/>
      <c r="CA109" s="503"/>
      <c r="CB109" s="503"/>
      <c r="CC109" s="503"/>
      <c r="CD109" s="503"/>
      <c r="CE109" s="503"/>
      <c r="CF109" s="503"/>
    </row>
    <row r="110" spans="1:84">
      <c r="A110" s="503"/>
      <c r="B110" s="503"/>
      <c r="C110" s="503"/>
      <c r="D110" s="503"/>
      <c r="E110" s="503"/>
      <c r="F110" s="503"/>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3"/>
      <c r="AY110" s="503"/>
      <c r="AZ110" s="503"/>
      <c r="BA110" s="503"/>
      <c r="BB110" s="503"/>
      <c r="BC110" s="503"/>
      <c r="BD110" s="503"/>
      <c r="BE110" s="503"/>
      <c r="BF110" s="503"/>
      <c r="BG110" s="503"/>
      <c r="BH110" s="503"/>
      <c r="BI110" s="503"/>
      <c r="BJ110" s="503"/>
      <c r="BK110" s="503"/>
      <c r="BL110" s="503"/>
      <c r="BM110" s="503"/>
      <c r="BN110" s="503"/>
      <c r="BO110" s="503"/>
      <c r="BP110" s="503"/>
      <c r="BQ110" s="503"/>
      <c r="BR110" s="503"/>
      <c r="BS110" s="503"/>
      <c r="BT110" s="503"/>
      <c r="BU110" s="503"/>
      <c r="BV110" s="503"/>
      <c r="BW110" s="503"/>
      <c r="BX110" s="503"/>
      <c r="BY110" s="503"/>
      <c r="BZ110" s="503"/>
      <c r="CA110" s="503"/>
      <c r="CB110" s="503"/>
      <c r="CC110" s="503"/>
      <c r="CD110" s="503"/>
      <c r="CE110" s="503"/>
      <c r="CF110" s="503"/>
    </row>
    <row r="111" spans="1:84">
      <c r="A111" s="503"/>
      <c r="B111" s="503"/>
      <c r="C111" s="503"/>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3"/>
      <c r="AY111" s="503"/>
      <c r="AZ111" s="503"/>
      <c r="BA111" s="503"/>
      <c r="BB111" s="503"/>
      <c r="BC111" s="503"/>
      <c r="BD111" s="503"/>
      <c r="BE111" s="503"/>
      <c r="BF111" s="503"/>
      <c r="BG111" s="503"/>
      <c r="BH111" s="503"/>
      <c r="BI111" s="503"/>
      <c r="BJ111" s="503"/>
      <c r="BK111" s="503"/>
      <c r="BL111" s="503"/>
      <c r="BM111" s="503"/>
      <c r="BN111" s="503"/>
      <c r="BO111" s="503"/>
      <c r="BP111" s="503"/>
      <c r="BQ111" s="503"/>
      <c r="BR111" s="503"/>
      <c r="BS111" s="503"/>
      <c r="BT111" s="503"/>
      <c r="BU111" s="503"/>
      <c r="BV111" s="503"/>
      <c r="BW111" s="503"/>
      <c r="BX111" s="503"/>
      <c r="BY111" s="503"/>
      <c r="BZ111" s="503"/>
      <c r="CA111" s="503"/>
      <c r="CB111" s="503"/>
      <c r="CC111" s="503"/>
      <c r="CD111" s="503"/>
      <c r="CE111" s="503"/>
      <c r="CF111" s="503"/>
    </row>
    <row r="112" spans="1:84">
      <c r="A112" s="503"/>
      <c r="B112" s="503"/>
      <c r="C112" s="503"/>
      <c r="D112" s="503"/>
      <c r="E112" s="503"/>
      <c r="F112" s="503"/>
      <c r="G112" s="503"/>
      <c r="H112" s="503"/>
      <c r="I112" s="503"/>
      <c r="J112" s="503"/>
      <c r="K112" s="503"/>
      <c r="L112" s="503"/>
      <c r="M112" s="503"/>
      <c r="N112" s="503"/>
      <c r="O112" s="503"/>
      <c r="P112" s="503"/>
      <c r="Q112" s="503"/>
      <c r="R112" s="503"/>
      <c r="S112" s="503"/>
      <c r="T112" s="503"/>
      <c r="U112" s="503"/>
      <c r="V112" s="503"/>
      <c r="W112" s="503"/>
      <c r="X112" s="503"/>
      <c r="Y112" s="503"/>
      <c r="Z112" s="503"/>
      <c r="AA112" s="503"/>
      <c r="AB112" s="503"/>
      <c r="AC112" s="503"/>
      <c r="AD112" s="503"/>
      <c r="AE112" s="503"/>
      <c r="AF112" s="503"/>
      <c r="AG112" s="503"/>
      <c r="AH112" s="503"/>
      <c r="AI112" s="503"/>
      <c r="AJ112" s="503"/>
      <c r="AK112" s="503"/>
      <c r="AL112" s="503"/>
      <c r="AM112" s="503"/>
      <c r="AN112" s="503"/>
      <c r="AO112" s="503"/>
      <c r="AP112" s="503"/>
      <c r="AQ112" s="503"/>
      <c r="AR112" s="503"/>
      <c r="AS112" s="503"/>
      <c r="AT112" s="503"/>
      <c r="AU112" s="503"/>
      <c r="AV112" s="503"/>
      <c r="AW112" s="503"/>
      <c r="AX112" s="503"/>
      <c r="AY112" s="503"/>
      <c r="AZ112" s="503"/>
      <c r="BA112" s="503"/>
      <c r="BB112" s="503"/>
      <c r="BC112" s="503"/>
      <c r="BD112" s="503"/>
      <c r="BE112" s="503"/>
      <c r="BF112" s="503"/>
      <c r="BG112" s="503"/>
      <c r="BH112" s="503"/>
      <c r="BI112" s="503"/>
      <c r="BJ112" s="503"/>
      <c r="BK112" s="503"/>
      <c r="BL112" s="503"/>
      <c r="BM112" s="503"/>
      <c r="BN112" s="503"/>
      <c r="BO112" s="503"/>
      <c r="BP112" s="503"/>
      <c r="BQ112" s="503"/>
      <c r="BR112" s="503"/>
      <c r="BS112" s="503"/>
      <c r="BT112" s="503"/>
      <c r="BU112" s="503"/>
      <c r="BV112" s="503"/>
      <c r="BW112" s="503"/>
      <c r="BX112" s="503"/>
      <c r="BY112" s="503"/>
      <c r="BZ112" s="503"/>
      <c r="CA112" s="503"/>
      <c r="CB112" s="503"/>
      <c r="CC112" s="503"/>
      <c r="CD112" s="503"/>
      <c r="CE112" s="503"/>
      <c r="CF112" s="503"/>
    </row>
    <row r="113" spans="1:84">
      <c r="A113" s="503"/>
      <c r="B113" s="503"/>
      <c r="C113" s="503"/>
      <c r="D113" s="503"/>
      <c r="E113" s="503"/>
      <c r="F113" s="503"/>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3"/>
      <c r="AK113" s="503"/>
      <c r="AL113" s="503"/>
      <c r="AM113" s="503"/>
      <c r="AN113" s="503"/>
      <c r="AO113" s="503"/>
      <c r="AP113" s="503"/>
      <c r="AQ113" s="503"/>
      <c r="AR113" s="503"/>
      <c r="AS113" s="503"/>
      <c r="AT113" s="503"/>
      <c r="AU113" s="503"/>
      <c r="AV113" s="503"/>
      <c r="AW113" s="503"/>
      <c r="AX113" s="503"/>
      <c r="AY113" s="503"/>
      <c r="AZ113" s="503"/>
      <c r="BA113" s="503"/>
      <c r="BB113" s="503"/>
      <c r="BC113" s="503"/>
      <c r="BD113" s="503"/>
      <c r="BE113" s="503"/>
      <c r="BF113" s="503"/>
      <c r="BG113" s="503"/>
      <c r="BH113" s="503"/>
      <c r="BI113" s="503"/>
      <c r="BJ113" s="503"/>
      <c r="BK113" s="503"/>
      <c r="BL113" s="503"/>
      <c r="BM113" s="503"/>
      <c r="BN113" s="503"/>
      <c r="BO113" s="503"/>
      <c r="BP113" s="503"/>
      <c r="BQ113" s="503"/>
      <c r="BR113" s="503"/>
      <c r="BS113" s="503"/>
      <c r="BT113" s="503"/>
      <c r="BU113" s="503"/>
      <c r="BV113" s="503"/>
      <c r="BW113" s="503"/>
      <c r="BX113" s="503"/>
      <c r="BY113" s="503"/>
      <c r="BZ113" s="503"/>
      <c r="CA113" s="503"/>
      <c r="CB113" s="503"/>
      <c r="CC113" s="503"/>
      <c r="CD113" s="503"/>
      <c r="CE113" s="503"/>
      <c r="CF113" s="503"/>
    </row>
    <row r="114" spans="1:84">
      <c r="A114" s="503"/>
      <c r="B114" s="503"/>
      <c r="C114" s="503"/>
      <c r="D114" s="503"/>
      <c r="E114" s="503"/>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3"/>
      <c r="AY114" s="503"/>
      <c r="AZ114" s="503"/>
      <c r="BA114" s="503"/>
      <c r="BB114" s="503"/>
      <c r="BC114" s="503"/>
      <c r="BD114" s="503"/>
      <c r="BE114" s="503"/>
      <c r="BF114" s="503"/>
      <c r="BG114" s="503"/>
      <c r="BH114" s="503"/>
      <c r="BI114" s="503"/>
      <c r="BJ114" s="503"/>
      <c r="BK114" s="503"/>
      <c r="BL114" s="503"/>
      <c r="BM114" s="503"/>
      <c r="BN114" s="503"/>
      <c r="BO114" s="503"/>
      <c r="BP114" s="503"/>
      <c r="BQ114" s="503"/>
      <c r="BR114" s="503"/>
      <c r="BS114" s="503"/>
      <c r="BT114" s="503"/>
      <c r="BU114" s="503"/>
      <c r="BV114" s="503"/>
      <c r="BW114" s="503"/>
      <c r="BX114" s="503"/>
      <c r="BY114" s="503"/>
      <c r="BZ114" s="503"/>
      <c r="CA114" s="503"/>
      <c r="CB114" s="503"/>
      <c r="CC114" s="503"/>
      <c r="CD114" s="503"/>
      <c r="CE114" s="503"/>
      <c r="CF114" s="503"/>
    </row>
    <row r="115" spans="1:84">
      <c r="A115" s="503"/>
      <c r="B115" s="503"/>
      <c r="C115" s="503"/>
      <c r="D115" s="503"/>
      <c r="E115" s="503"/>
      <c r="F115" s="503"/>
      <c r="G115" s="503"/>
      <c r="H115" s="503"/>
      <c r="I115" s="503"/>
      <c r="J115" s="503"/>
      <c r="K115" s="503"/>
      <c r="L115" s="503"/>
      <c r="M115" s="503"/>
      <c r="N115" s="503"/>
      <c r="O115" s="503"/>
      <c r="P115" s="503"/>
      <c r="Q115" s="503"/>
      <c r="R115" s="503"/>
      <c r="S115" s="503"/>
      <c r="T115" s="503"/>
      <c r="U115" s="503"/>
      <c r="V115" s="503"/>
      <c r="W115" s="503"/>
      <c r="X115" s="503"/>
      <c r="Y115" s="503"/>
      <c r="Z115" s="503"/>
      <c r="AA115" s="503"/>
      <c r="AB115" s="503"/>
      <c r="AC115" s="503"/>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3"/>
      <c r="AY115" s="503"/>
      <c r="AZ115" s="503"/>
      <c r="BA115" s="503"/>
      <c r="BB115" s="503"/>
      <c r="BC115" s="503"/>
      <c r="BD115" s="503"/>
      <c r="BE115" s="503"/>
      <c r="BF115" s="503"/>
      <c r="BG115" s="503"/>
      <c r="BH115" s="503"/>
      <c r="BI115" s="503"/>
      <c r="BJ115" s="503"/>
      <c r="BK115" s="503"/>
      <c r="BL115" s="503"/>
      <c r="BM115" s="503"/>
      <c r="BN115" s="503"/>
      <c r="BO115" s="503"/>
      <c r="BP115" s="503"/>
      <c r="BQ115" s="503"/>
      <c r="BR115" s="503"/>
      <c r="BS115" s="503"/>
      <c r="BT115" s="503"/>
      <c r="BU115" s="503"/>
      <c r="BV115" s="503"/>
      <c r="BW115" s="503"/>
      <c r="BX115" s="503"/>
      <c r="BY115" s="503"/>
      <c r="BZ115" s="503"/>
      <c r="CA115" s="503"/>
      <c r="CB115" s="503"/>
      <c r="CC115" s="503"/>
      <c r="CD115" s="503"/>
      <c r="CE115" s="503"/>
      <c r="CF115" s="503"/>
    </row>
    <row r="116" spans="1:84">
      <c r="A116" s="503"/>
      <c r="B116" s="503"/>
      <c r="C116" s="503"/>
      <c r="D116" s="503"/>
      <c r="E116" s="503"/>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3"/>
      <c r="AD116" s="503"/>
      <c r="AE116" s="503"/>
      <c r="AF116" s="503"/>
      <c r="AG116" s="503"/>
      <c r="AH116" s="503"/>
      <c r="AI116" s="503"/>
      <c r="AJ116" s="503"/>
      <c r="AK116" s="503"/>
      <c r="AL116" s="503"/>
      <c r="AM116" s="503"/>
      <c r="AN116" s="503"/>
      <c r="AO116" s="503"/>
      <c r="AP116" s="503"/>
      <c r="AQ116" s="503"/>
      <c r="AR116" s="503"/>
      <c r="AS116" s="503"/>
      <c r="AT116" s="503"/>
      <c r="AU116" s="503"/>
      <c r="AV116" s="503"/>
      <c r="AW116" s="503"/>
      <c r="AX116" s="503"/>
      <c r="AY116" s="503"/>
      <c r="AZ116" s="503"/>
      <c r="BA116" s="503"/>
      <c r="BB116" s="503"/>
      <c r="BC116" s="503"/>
      <c r="BD116" s="503"/>
      <c r="BE116" s="503"/>
      <c r="BF116" s="503"/>
      <c r="BG116" s="503"/>
      <c r="BH116" s="503"/>
      <c r="BI116" s="503"/>
      <c r="BJ116" s="503"/>
      <c r="BK116" s="503"/>
      <c r="BL116" s="503"/>
      <c r="BM116" s="503"/>
      <c r="BN116" s="503"/>
      <c r="BO116" s="503"/>
      <c r="BP116" s="503"/>
      <c r="BQ116" s="503"/>
      <c r="BR116" s="503"/>
      <c r="BS116" s="503"/>
      <c r="BT116" s="503"/>
      <c r="BU116" s="503"/>
      <c r="BV116" s="503"/>
      <c r="BW116" s="503"/>
      <c r="BX116" s="503"/>
      <c r="BY116" s="503"/>
      <c r="BZ116" s="503"/>
      <c r="CA116" s="503"/>
      <c r="CB116" s="503"/>
      <c r="CC116" s="503"/>
      <c r="CD116" s="503"/>
      <c r="CE116" s="503"/>
      <c r="CF116" s="503"/>
    </row>
    <row r="117" spans="1:84">
      <c r="A117" s="503"/>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c r="AO117" s="503"/>
      <c r="AP117" s="503"/>
      <c r="AQ117" s="503"/>
      <c r="AR117" s="503"/>
      <c r="AS117" s="503"/>
      <c r="AT117" s="503"/>
      <c r="AU117" s="503"/>
      <c r="AV117" s="503"/>
      <c r="AW117" s="503"/>
      <c r="AX117" s="503"/>
      <c r="AY117" s="503"/>
      <c r="AZ117" s="503"/>
      <c r="BA117" s="503"/>
      <c r="BB117" s="503"/>
      <c r="BC117" s="503"/>
      <c r="BD117" s="503"/>
      <c r="BE117" s="503"/>
      <c r="BF117" s="503"/>
      <c r="BG117" s="503"/>
      <c r="BH117" s="503"/>
      <c r="BI117" s="503"/>
      <c r="BJ117" s="503"/>
      <c r="BK117" s="503"/>
      <c r="BL117" s="503"/>
      <c r="BM117" s="503"/>
      <c r="BN117" s="503"/>
      <c r="BO117" s="503"/>
      <c r="BP117" s="503"/>
      <c r="BQ117" s="503"/>
      <c r="BR117" s="503"/>
      <c r="BS117" s="503"/>
      <c r="BT117" s="503"/>
      <c r="BU117" s="503"/>
      <c r="BV117" s="503"/>
      <c r="BW117" s="503"/>
      <c r="BX117" s="503"/>
      <c r="BY117" s="503"/>
      <c r="BZ117" s="503"/>
      <c r="CA117" s="503"/>
      <c r="CB117" s="503"/>
      <c r="CC117" s="503"/>
      <c r="CD117" s="503"/>
      <c r="CE117" s="503"/>
      <c r="CF117" s="503"/>
    </row>
    <row r="118" spans="1:84">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c r="AO118" s="503"/>
      <c r="AP118" s="503"/>
      <c r="AQ118" s="503"/>
      <c r="AR118" s="503"/>
      <c r="AS118" s="503"/>
      <c r="AT118" s="503"/>
      <c r="AU118" s="503"/>
      <c r="AV118" s="503"/>
      <c r="AW118" s="503"/>
      <c r="AX118" s="503"/>
      <c r="AY118" s="503"/>
      <c r="AZ118" s="503"/>
      <c r="BA118" s="503"/>
      <c r="BB118" s="503"/>
      <c r="BC118" s="503"/>
      <c r="BD118" s="503"/>
      <c r="BE118" s="503"/>
      <c r="BF118" s="503"/>
      <c r="BG118" s="503"/>
      <c r="BH118" s="503"/>
      <c r="BI118" s="503"/>
      <c r="BJ118" s="503"/>
      <c r="BK118" s="503"/>
      <c r="BL118" s="503"/>
      <c r="BM118" s="503"/>
      <c r="BN118" s="503"/>
      <c r="BO118" s="503"/>
      <c r="BP118" s="503"/>
      <c r="BQ118" s="503"/>
      <c r="BR118" s="503"/>
      <c r="BS118" s="503"/>
      <c r="BT118" s="503"/>
      <c r="BU118" s="503"/>
      <c r="BV118" s="503"/>
      <c r="BW118" s="503"/>
      <c r="BX118" s="503"/>
      <c r="BY118" s="503"/>
      <c r="BZ118" s="503"/>
      <c r="CA118" s="503"/>
      <c r="CB118" s="503"/>
      <c r="CC118" s="503"/>
      <c r="CD118" s="503"/>
      <c r="CE118" s="503"/>
      <c r="CF118" s="503"/>
    </row>
    <row r="119" spans="1:84">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c r="AO119" s="503"/>
      <c r="AP119" s="503"/>
      <c r="AQ119" s="503"/>
      <c r="AR119" s="503"/>
      <c r="AS119" s="503"/>
      <c r="AT119" s="503"/>
      <c r="AU119" s="503"/>
      <c r="AV119" s="503"/>
      <c r="AW119" s="503"/>
      <c r="AX119" s="503"/>
      <c r="AY119" s="503"/>
      <c r="AZ119" s="503"/>
      <c r="BA119" s="503"/>
      <c r="BB119" s="503"/>
      <c r="BC119" s="503"/>
      <c r="BD119" s="503"/>
      <c r="BE119" s="503"/>
      <c r="BF119" s="503"/>
      <c r="BG119" s="503"/>
      <c r="BH119" s="503"/>
      <c r="BI119" s="503"/>
      <c r="BJ119" s="503"/>
      <c r="BK119" s="503"/>
      <c r="BL119" s="503"/>
      <c r="BM119" s="503"/>
      <c r="BN119" s="503"/>
      <c r="BO119" s="503"/>
      <c r="BP119" s="503"/>
      <c r="BQ119" s="503"/>
      <c r="BR119" s="503"/>
      <c r="BS119" s="503"/>
      <c r="BT119" s="503"/>
      <c r="BU119" s="503"/>
      <c r="BV119" s="503"/>
      <c r="BW119" s="503"/>
      <c r="BX119" s="503"/>
      <c r="BY119" s="503"/>
      <c r="BZ119" s="503"/>
      <c r="CA119" s="503"/>
      <c r="CB119" s="503"/>
      <c r="CC119" s="503"/>
      <c r="CD119" s="503"/>
      <c r="CE119" s="503"/>
      <c r="CF119" s="503"/>
    </row>
    <row r="120" spans="1:84">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c r="AO120" s="503"/>
      <c r="AP120" s="503"/>
      <c r="AQ120" s="503"/>
      <c r="AR120" s="503"/>
      <c r="AS120" s="503"/>
      <c r="AT120" s="503"/>
      <c r="AU120" s="503"/>
      <c r="AV120" s="503"/>
      <c r="AW120" s="503"/>
      <c r="AX120" s="503"/>
      <c r="AY120" s="503"/>
      <c r="AZ120" s="503"/>
      <c r="BA120" s="503"/>
      <c r="BB120" s="503"/>
      <c r="BC120" s="503"/>
      <c r="BD120" s="503"/>
      <c r="BE120" s="503"/>
      <c r="BF120" s="503"/>
      <c r="BG120" s="503"/>
      <c r="BH120" s="503"/>
      <c r="BI120" s="503"/>
      <c r="BJ120" s="503"/>
      <c r="BK120" s="503"/>
      <c r="BL120" s="503"/>
      <c r="BM120" s="503"/>
      <c r="BN120" s="503"/>
      <c r="BO120" s="503"/>
      <c r="BP120" s="503"/>
      <c r="BQ120" s="503"/>
      <c r="BR120" s="503"/>
      <c r="BS120" s="503"/>
      <c r="BT120" s="503"/>
      <c r="BU120" s="503"/>
      <c r="BV120" s="503"/>
      <c r="BW120" s="503"/>
      <c r="BX120" s="503"/>
      <c r="BY120" s="503"/>
      <c r="BZ120" s="503"/>
      <c r="CA120" s="503"/>
      <c r="CB120" s="503"/>
      <c r="CC120" s="503"/>
      <c r="CD120" s="503"/>
      <c r="CE120" s="503"/>
      <c r="CF120" s="503"/>
    </row>
    <row r="121" spans="1:84">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3"/>
      <c r="AY121" s="503"/>
      <c r="AZ121" s="503"/>
      <c r="BA121" s="503"/>
      <c r="BB121" s="503"/>
      <c r="BC121" s="503"/>
      <c r="BD121" s="503"/>
      <c r="BE121" s="503"/>
      <c r="BF121" s="503"/>
      <c r="BG121" s="503"/>
      <c r="BH121" s="503"/>
      <c r="BI121" s="503"/>
      <c r="BJ121" s="503"/>
      <c r="BK121" s="503"/>
      <c r="BL121" s="503"/>
      <c r="BM121" s="503"/>
      <c r="BN121" s="503"/>
      <c r="BO121" s="503"/>
      <c r="BP121" s="503"/>
      <c r="BQ121" s="503"/>
      <c r="BR121" s="503"/>
      <c r="BS121" s="503"/>
      <c r="BT121" s="503"/>
      <c r="BU121" s="503"/>
      <c r="BV121" s="503"/>
      <c r="BW121" s="503"/>
      <c r="BX121" s="503"/>
      <c r="BY121" s="503"/>
      <c r="BZ121" s="503"/>
      <c r="CA121" s="503"/>
      <c r="CB121" s="503"/>
      <c r="CC121" s="503"/>
      <c r="CD121" s="503"/>
      <c r="CE121" s="503"/>
      <c r="CF121" s="503"/>
    </row>
    <row r="122" spans="1:84">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c r="AO122" s="503"/>
      <c r="AP122" s="503"/>
      <c r="AQ122" s="503"/>
      <c r="AR122" s="503"/>
      <c r="AS122" s="503"/>
      <c r="AT122" s="503"/>
      <c r="AU122" s="503"/>
      <c r="AV122" s="503"/>
      <c r="AW122" s="503"/>
      <c r="AX122" s="503"/>
      <c r="AY122" s="503"/>
      <c r="AZ122" s="503"/>
      <c r="BA122" s="503"/>
      <c r="BB122" s="503"/>
      <c r="BC122" s="503"/>
      <c r="BD122" s="503"/>
      <c r="BE122" s="503"/>
      <c r="BF122" s="503"/>
      <c r="BG122" s="503"/>
      <c r="BH122" s="503"/>
      <c r="BI122" s="503"/>
      <c r="BJ122" s="503"/>
      <c r="BK122" s="503"/>
      <c r="BL122" s="503"/>
      <c r="BM122" s="503"/>
      <c r="BN122" s="503"/>
      <c r="BO122" s="503"/>
      <c r="BP122" s="503"/>
      <c r="BQ122" s="503"/>
      <c r="BR122" s="503"/>
      <c r="BS122" s="503"/>
      <c r="BT122" s="503"/>
      <c r="BU122" s="503"/>
      <c r="BV122" s="503"/>
      <c r="BW122" s="503"/>
      <c r="BX122" s="503"/>
      <c r="BY122" s="503"/>
      <c r="BZ122" s="503"/>
      <c r="CA122" s="503"/>
      <c r="CB122" s="503"/>
      <c r="CC122" s="503"/>
      <c r="CD122" s="503"/>
      <c r="CE122" s="503"/>
      <c r="CF122" s="503"/>
    </row>
    <row r="123" spans="1:84">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c r="AO123" s="503"/>
      <c r="AP123" s="503"/>
      <c r="AQ123" s="503"/>
      <c r="AR123" s="503"/>
      <c r="AS123" s="503"/>
      <c r="AT123" s="503"/>
      <c r="AU123" s="503"/>
      <c r="AV123" s="503"/>
      <c r="AW123" s="503"/>
      <c r="AX123" s="503"/>
      <c r="AY123" s="503"/>
      <c r="AZ123" s="503"/>
      <c r="BA123" s="503"/>
      <c r="BB123" s="503"/>
      <c r="BC123" s="503"/>
      <c r="BD123" s="503"/>
      <c r="BE123" s="503"/>
      <c r="BF123" s="503"/>
      <c r="BG123" s="503"/>
      <c r="BH123" s="503"/>
      <c r="BI123" s="503"/>
      <c r="BJ123" s="503"/>
      <c r="BK123" s="503"/>
      <c r="BL123" s="503"/>
      <c r="BM123" s="503"/>
      <c r="BN123" s="503"/>
      <c r="BO123" s="503"/>
      <c r="BP123" s="503"/>
      <c r="BQ123" s="503"/>
      <c r="BR123" s="503"/>
      <c r="BS123" s="503"/>
      <c r="BT123" s="503"/>
      <c r="BU123" s="503"/>
      <c r="BV123" s="503"/>
      <c r="BW123" s="503"/>
      <c r="BX123" s="503"/>
      <c r="BY123" s="503"/>
      <c r="BZ123" s="503"/>
      <c r="CA123" s="503"/>
      <c r="CB123" s="503"/>
      <c r="CC123" s="503"/>
      <c r="CD123" s="503"/>
      <c r="CE123" s="503"/>
      <c r="CF123" s="503"/>
    </row>
    <row r="124" spans="1:84">
      <c r="A124" s="503"/>
      <c r="B124" s="503"/>
      <c r="C124" s="503"/>
      <c r="D124" s="503"/>
      <c r="E124" s="503"/>
      <c r="F124" s="503"/>
      <c r="G124" s="503"/>
      <c r="H124" s="503"/>
      <c r="I124" s="503"/>
      <c r="J124" s="503"/>
      <c r="K124" s="503"/>
      <c r="L124" s="503"/>
      <c r="M124" s="503"/>
      <c r="N124" s="503"/>
      <c r="O124" s="503"/>
      <c r="P124" s="503"/>
      <c r="Q124" s="503"/>
      <c r="R124" s="503"/>
      <c r="S124" s="503"/>
      <c r="T124" s="503"/>
      <c r="U124" s="503"/>
      <c r="V124" s="503"/>
      <c r="W124" s="503"/>
      <c r="X124" s="503"/>
      <c r="Y124" s="503"/>
      <c r="Z124" s="503"/>
      <c r="AA124" s="503"/>
      <c r="AB124" s="503"/>
      <c r="AC124" s="503"/>
      <c r="AD124" s="503"/>
      <c r="AE124" s="503"/>
      <c r="AF124" s="503"/>
      <c r="AG124" s="503"/>
      <c r="AH124" s="503"/>
      <c r="AI124" s="503"/>
      <c r="AJ124" s="503"/>
      <c r="AK124" s="503"/>
      <c r="AL124" s="503"/>
      <c r="AM124" s="503"/>
      <c r="AN124" s="503"/>
      <c r="AO124" s="503"/>
      <c r="AP124" s="503"/>
      <c r="AQ124" s="503"/>
      <c r="AR124" s="503"/>
      <c r="AS124" s="503"/>
      <c r="AT124" s="503"/>
      <c r="AU124" s="503"/>
      <c r="AV124" s="503"/>
      <c r="AW124" s="503"/>
      <c r="AX124" s="503"/>
      <c r="AY124" s="503"/>
      <c r="AZ124" s="503"/>
      <c r="BA124" s="503"/>
      <c r="BB124" s="503"/>
      <c r="BC124" s="503"/>
      <c r="BD124" s="503"/>
      <c r="BE124" s="503"/>
      <c r="BF124" s="503"/>
      <c r="BG124" s="503"/>
      <c r="BH124" s="503"/>
      <c r="BI124" s="503"/>
      <c r="BJ124" s="503"/>
      <c r="BK124" s="503"/>
      <c r="BL124" s="503"/>
      <c r="BM124" s="503"/>
      <c r="BN124" s="503"/>
      <c r="BO124" s="503"/>
      <c r="BP124" s="503"/>
      <c r="BQ124" s="503"/>
      <c r="BR124" s="503"/>
      <c r="BS124" s="503"/>
      <c r="BT124" s="503"/>
      <c r="BU124" s="503"/>
      <c r="BV124" s="503"/>
      <c r="BW124" s="503"/>
      <c r="BX124" s="503"/>
      <c r="BY124" s="503"/>
      <c r="BZ124" s="503"/>
      <c r="CA124" s="503"/>
      <c r="CB124" s="503"/>
      <c r="CC124" s="503"/>
      <c r="CD124" s="503"/>
      <c r="CE124" s="503"/>
      <c r="CF124" s="503"/>
    </row>
    <row r="125" spans="1:84">
      <c r="A125" s="503"/>
      <c r="B125" s="503"/>
      <c r="C125" s="503"/>
      <c r="D125" s="503"/>
      <c r="E125" s="503"/>
      <c r="F125" s="503"/>
      <c r="G125" s="503"/>
      <c r="H125" s="503"/>
      <c r="I125" s="503"/>
      <c r="J125" s="503"/>
      <c r="K125" s="503"/>
      <c r="L125" s="503"/>
      <c r="M125" s="503"/>
      <c r="N125" s="503"/>
      <c r="O125" s="503"/>
      <c r="P125" s="503"/>
      <c r="Q125" s="503"/>
      <c r="R125" s="503"/>
      <c r="S125" s="503"/>
      <c r="T125" s="503"/>
      <c r="U125" s="503"/>
      <c r="V125" s="503"/>
      <c r="W125" s="503"/>
      <c r="X125" s="503"/>
      <c r="Y125" s="503"/>
      <c r="Z125" s="503"/>
      <c r="AA125" s="503"/>
      <c r="AB125" s="503"/>
      <c r="AC125" s="503"/>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3"/>
      <c r="AY125" s="503"/>
      <c r="AZ125" s="503"/>
      <c r="BA125" s="503"/>
      <c r="BB125" s="503"/>
      <c r="BC125" s="503"/>
      <c r="BD125" s="503"/>
      <c r="BE125" s="503"/>
      <c r="BF125" s="503"/>
      <c r="BG125" s="503"/>
      <c r="BH125" s="503"/>
      <c r="BI125" s="503"/>
      <c r="BJ125" s="503"/>
      <c r="BK125" s="503"/>
      <c r="BL125" s="503"/>
      <c r="BM125" s="503"/>
      <c r="BN125" s="503"/>
      <c r="BO125" s="503"/>
      <c r="BP125" s="503"/>
      <c r="BQ125" s="503"/>
      <c r="BR125" s="503"/>
      <c r="BS125" s="503"/>
      <c r="BT125" s="503"/>
      <c r="BU125" s="503"/>
      <c r="BV125" s="503"/>
      <c r="BW125" s="503"/>
      <c r="BX125" s="503"/>
      <c r="BY125" s="503"/>
      <c r="BZ125" s="503"/>
      <c r="CA125" s="503"/>
      <c r="CB125" s="503"/>
      <c r="CC125" s="503"/>
      <c r="CD125" s="503"/>
      <c r="CE125" s="503"/>
      <c r="CF125" s="503"/>
    </row>
    <row r="126" spans="1:84">
      <c r="A126" s="503"/>
      <c r="B126" s="503"/>
      <c r="C126" s="503"/>
      <c r="D126" s="503"/>
      <c r="E126" s="503"/>
      <c r="F126" s="503"/>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503"/>
      <c r="AD126" s="503"/>
      <c r="AE126" s="503"/>
      <c r="AF126" s="503"/>
      <c r="AG126" s="503"/>
      <c r="AH126" s="503"/>
      <c r="AI126" s="503"/>
      <c r="AJ126" s="503"/>
      <c r="AK126" s="503"/>
      <c r="AL126" s="503"/>
      <c r="AM126" s="503"/>
      <c r="AN126" s="503"/>
      <c r="AO126" s="503"/>
      <c r="AP126" s="503"/>
      <c r="AQ126" s="503"/>
      <c r="AR126" s="503"/>
      <c r="AS126" s="503"/>
      <c r="AT126" s="503"/>
      <c r="AU126" s="503"/>
      <c r="AV126" s="503"/>
      <c r="AW126" s="503"/>
      <c r="AX126" s="503"/>
      <c r="AY126" s="503"/>
      <c r="AZ126" s="503"/>
      <c r="BA126" s="503"/>
      <c r="BB126" s="503"/>
      <c r="BC126" s="503"/>
      <c r="BD126" s="503"/>
      <c r="BE126" s="503"/>
      <c r="BF126" s="503"/>
      <c r="BG126" s="503"/>
      <c r="BH126" s="503"/>
      <c r="BI126" s="503"/>
      <c r="BJ126" s="503"/>
      <c r="BK126" s="503"/>
      <c r="BL126" s="503"/>
      <c r="BM126" s="503"/>
      <c r="BN126" s="503"/>
      <c r="BO126" s="503"/>
      <c r="BP126" s="503"/>
      <c r="BQ126" s="503"/>
      <c r="BR126" s="503"/>
      <c r="BS126" s="503"/>
      <c r="BT126" s="503"/>
      <c r="BU126" s="503"/>
      <c r="BV126" s="503"/>
      <c r="BW126" s="503"/>
      <c r="BX126" s="503"/>
      <c r="BY126" s="503"/>
      <c r="BZ126" s="503"/>
      <c r="CA126" s="503"/>
      <c r="CB126" s="503"/>
      <c r="CC126" s="503"/>
      <c r="CD126" s="503"/>
      <c r="CE126" s="503"/>
      <c r="CF126" s="503"/>
    </row>
    <row r="127" spans="1:84">
      <c r="A127" s="503"/>
      <c r="B127" s="503"/>
      <c r="C127" s="503"/>
      <c r="D127" s="503"/>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3"/>
      <c r="AY127" s="503"/>
      <c r="AZ127" s="503"/>
      <c r="BA127" s="503"/>
      <c r="BB127" s="503"/>
      <c r="BC127" s="503"/>
      <c r="BD127" s="503"/>
      <c r="BE127" s="503"/>
      <c r="BF127" s="503"/>
      <c r="BG127" s="503"/>
      <c r="BH127" s="503"/>
      <c r="BI127" s="503"/>
      <c r="BJ127" s="503"/>
      <c r="BK127" s="503"/>
      <c r="BL127" s="503"/>
      <c r="BM127" s="503"/>
      <c r="BN127" s="503"/>
      <c r="BO127" s="503"/>
      <c r="BP127" s="503"/>
      <c r="BQ127" s="503"/>
      <c r="BR127" s="503"/>
      <c r="BS127" s="503"/>
      <c r="BT127" s="503"/>
      <c r="BU127" s="503"/>
      <c r="BV127" s="503"/>
      <c r="BW127" s="503"/>
      <c r="BX127" s="503"/>
      <c r="BY127" s="503"/>
      <c r="BZ127" s="503"/>
      <c r="CA127" s="503"/>
      <c r="CB127" s="503"/>
      <c r="CC127" s="503"/>
      <c r="CD127" s="503"/>
      <c r="CE127" s="503"/>
      <c r="CF127" s="503"/>
    </row>
    <row r="128" spans="1:84">
      <c r="A128" s="503"/>
      <c r="B128" s="503"/>
      <c r="C128" s="503"/>
      <c r="D128" s="503"/>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3"/>
      <c r="AB128" s="503"/>
      <c r="AC128" s="503"/>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3"/>
      <c r="AY128" s="503"/>
      <c r="AZ128" s="503"/>
      <c r="BA128" s="503"/>
      <c r="BB128" s="503"/>
      <c r="BC128" s="503"/>
      <c r="BD128" s="503"/>
      <c r="BE128" s="503"/>
      <c r="BF128" s="503"/>
      <c r="BG128" s="503"/>
      <c r="BH128" s="503"/>
      <c r="BI128" s="503"/>
      <c r="BJ128" s="503"/>
      <c r="BK128" s="503"/>
      <c r="BL128" s="503"/>
      <c r="BM128" s="503"/>
      <c r="BN128" s="503"/>
      <c r="BO128" s="503"/>
      <c r="BP128" s="503"/>
      <c r="BQ128" s="503"/>
      <c r="BR128" s="503"/>
      <c r="BS128" s="503"/>
      <c r="BT128" s="503"/>
      <c r="BU128" s="503"/>
      <c r="BV128" s="503"/>
      <c r="BW128" s="503"/>
      <c r="BX128" s="503"/>
      <c r="BY128" s="503"/>
      <c r="BZ128" s="503"/>
      <c r="CA128" s="503"/>
      <c r="CB128" s="503"/>
      <c r="CC128" s="503"/>
      <c r="CD128" s="503"/>
      <c r="CE128" s="503"/>
      <c r="CF128" s="503"/>
    </row>
    <row r="129" spans="1:84">
      <c r="A129" s="503"/>
      <c r="B129" s="503"/>
      <c r="C129" s="503"/>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03"/>
      <c r="Z129" s="503"/>
      <c r="AA129" s="503"/>
      <c r="AB129" s="503"/>
      <c r="AC129" s="503"/>
      <c r="AD129" s="503"/>
      <c r="AE129" s="503"/>
      <c r="AF129" s="503"/>
      <c r="AG129" s="503"/>
      <c r="AH129" s="503"/>
      <c r="AI129" s="503"/>
      <c r="AJ129" s="503"/>
      <c r="AK129" s="503"/>
      <c r="AL129" s="503"/>
      <c r="AM129" s="503"/>
      <c r="AN129" s="503"/>
      <c r="AO129" s="503"/>
      <c r="AP129" s="503"/>
      <c r="AQ129" s="503"/>
      <c r="AR129" s="503"/>
      <c r="AS129" s="503"/>
      <c r="AT129" s="503"/>
      <c r="AU129" s="503"/>
      <c r="AV129" s="503"/>
      <c r="AW129" s="503"/>
      <c r="AX129" s="503"/>
      <c r="AY129" s="503"/>
      <c r="AZ129" s="503"/>
      <c r="BA129" s="503"/>
      <c r="BB129" s="503"/>
      <c r="BC129" s="503"/>
      <c r="BD129" s="503"/>
      <c r="BE129" s="503"/>
      <c r="BF129" s="503"/>
      <c r="BG129" s="503"/>
      <c r="BH129" s="503"/>
      <c r="BI129" s="503"/>
      <c r="BJ129" s="503"/>
      <c r="BK129" s="503"/>
      <c r="BL129" s="503"/>
      <c r="BM129" s="503"/>
      <c r="BN129" s="503"/>
      <c r="BO129" s="503"/>
      <c r="BP129" s="503"/>
      <c r="BQ129" s="503"/>
      <c r="BR129" s="503"/>
      <c r="BS129" s="503"/>
      <c r="BT129" s="503"/>
      <c r="BU129" s="503"/>
      <c r="BV129" s="503"/>
      <c r="BW129" s="503"/>
      <c r="BX129" s="503"/>
      <c r="BY129" s="503"/>
      <c r="BZ129" s="503"/>
      <c r="CA129" s="503"/>
      <c r="CB129" s="503"/>
      <c r="CC129" s="503"/>
      <c r="CD129" s="503"/>
      <c r="CE129" s="503"/>
      <c r="CF129" s="503"/>
    </row>
    <row r="130" spans="1:84">
      <c r="A130" s="503"/>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3"/>
      <c r="AI130" s="503"/>
      <c r="AJ130" s="503"/>
      <c r="AK130" s="503"/>
      <c r="AL130" s="503"/>
      <c r="AM130" s="503"/>
      <c r="AN130" s="503"/>
      <c r="AO130" s="503"/>
      <c r="AP130" s="503"/>
      <c r="AQ130" s="503"/>
      <c r="AR130" s="503"/>
      <c r="AS130" s="503"/>
      <c r="AT130" s="503"/>
      <c r="AU130" s="503"/>
      <c r="AV130" s="503"/>
      <c r="AW130" s="503"/>
      <c r="AX130" s="503"/>
      <c r="AY130" s="503"/>
      <c r="AZ130" s="503"/>
      <c r="BA130" s="503"/>
      <c r="BB130" s="503"/>
      <c r="BC130" s="503"/>
      <c r="BD130" s="503"/>
      <c r="BE130" s="503"/>
      <c r="BF130" s="503"/>
      <c r="BG130" s="503"/>
      <c r="BH130" s="503"/>
      <c r="BI130" s="503"/>
      <c r="BJ130" s="503"/>
      <c r="BK130" s="503"/>
      <c r="BL130" s="503"/>
      <c r="BM130" s="503"/>
      <c r="BN130" s="503"/>
      <c r="BO130" s="503"/>
      <c r="BP130" s="503"/>
      <c r="BQ130" s="503"/>
      <c r="BR130" s="503"/>
      <c r="BS130" s="503"/>
      <c r="BT130" s="503"/>
      <c r="BU130" s="503"/>
      <c r="BV130" s="503"/>
      <c r="BW130" s="503"/>
      <c r="BX130" s="503"/>
      <c r="BY130" s="503"/>
      <c r="BZ130" s="503"/>
      <c r="CA130" s="503"/>
      <c r="CB130" s="503"/>
      <c r="CC130" s="503"/>
      <c r="CD130" s="503"/>
      <c r="CE130" s="503"/>
      <c r="CF130" s="503"/>
    </row>
    <row r="131" spans="1:84">
      <c r="A131" s="503"/>
      <c r="B131" s="503"/>
      <c r="C131" s="503"/>
      <c r="D131" s="503"/>
      <c r="E131" s="503"/>
      <c r="F131" s="503"/>
      <c r="G131" s="503"/>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503"/>
      <c r="AR131" s="503"/>
      <c r="AS131" s="503"/>
      <c r="AT131" s="503"/>
      <c r="AU131" s="503"/>
      <c r="AV131" s="503"/>
      <c r="AW131" s="503"/>
      <c r="AX131" s="503"/>
      <c r="AY131" s="503"/>
      <c r="AZ131" s="503"/>
      <c r="BA131" s="503"/>
      <c r="BB131" s="503"/>
      <c r="BC131" s="503"/>
      <c r="BD131" s="503"/>
      <c r="BE131" s="503"/>
      <c r="BF131" s="503"/>
      <c r="BG131" s="503"/>
      <c r="BH131" s="503"/>
      <c r="BI131" s="503"/>
      <c r="BJ131" s="503"/>
      <c r="BK131" s="503"/>
      <c r="BL131" s="503"/>
      <c r="BM131" s="503"/>
      <c r="BN131" s="503"/>
      <c r="BO131" s="503"/>
      <c r="BP131" s="503"/>
      <c r="BQ131" s="503"/>
      <c r="BR131" s="503"/>
      <c r="BS131" s="503"/>
      <c r="BT131" s="503"/>
      <c r="BU131" s="503"/>
      <c r="BV131" s="503"/>
      <c r="BW131" s="503"/>
      <c r="BX131" s="503"/>
      <c r="BY131" s="503"/>
      <c r="BZ131" s="503"/>
      <c r="CA131" s="503"/>
      <c r="CB131" s="503"/>
      <c r="CC131" s="503"/>
      <c r="CD131" s="503"/>
      <c r="CE131" s="503"/>
      <c r="CF131" s="503"/>
    </row>
    <row r="132" spans="1:84">
      <c r="A132" s="503"/>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3"/>
      <c r="AI132" s="503"/>
      <c r="AJ132" s="503"/>
      <c r="AK132" s="503"/>
      <c r="AL132" s="503"/>
      <c r="AM132" s="503"/>
      <c r="AN132" s="503"/>
      <c r="AO132" s="503"/>
      <c r="AP132" s="503"/>
      <c r="AQ132" s="503"/>
      <c r="AR132" s="503"/>
      <c r="AS132" s="503"/>
      <c r="AT132" s="503"/>
      <c r="AU132" s="503"/>
      <c r="AV132" s="503"/>
      <c r="AW132" s="503"/>
      <c r="AX132" s="503"/>
      <c r="AY132" s="503"/>
      <c r="AZ132" s="503"/>
      <c r="BA132" s="503"/>
      <c r="BB132" s="503"/>
      <c r="BC132" s="503"/>
      <c r="BD132" s="503"/>
      <c r="BE132" s="503"/>
      <c r="BF132" s="503"/>
      <c r="BG132" s="503"/>
      <c r="BH132" s="503"/>
      <c r="BI132" s="503"/>
      <c r="BJ132" s="503"/>
      <c r="BK132" s="503"/>
      <c r="BL132" s="503"/>
      <c r="BM132" s="503"/>
      <c r="BN132" s="503"/>
      <c r="BO132" s="503"/>
      <c r="BP132" s="503"/>
      <c r="BQ132" s="503"/>
      <c r="BR132" s="503"/>
      <c r="BS132" s="503"/>
      <c r="BT132" s="503"/>
      <c r="BU132" s="503"/>
      <c r="BV132" s="503"/>
      <c r="BW132" s="503"/>
      <c r="BX132" s="503"/>
      <c r="BY132" s="503"/>
      <c r="BZ132" s="503"/>
      <c r="CA132" s="503"/>
      <c r="CB132" s="503"/>
      <c r="CC132" s="503"/>
      <c r="CD132" s="503"/>
      <c r="CE132" s="503"/>
      <c r="CF132" s="503"/>
    </row>
    <row r="133" spans="1:84">
      <c r="A133" s="503"/>
      <c r="B133" s="503"/>
      <c r="C133" s="503"/>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3"/>
      <c r="AB133" s="503"/>
      <c r="AC133" s="503"/>
      <c r="AD133" s="503"/>
      <c r="AE133" s="503"/>
      <c r="AF133" s="503"/>
      <c r="AG133" s="503"/>
      <c r="AH133" s="503"/>
      <c r="AI133" s="503"/>
      <c r="AJ133" s="503"/>
      <c r="AK133" s="503"/>
      <c r="AL133" s="503"/>
      <c r="AM133" s="503"/>
      <c r="AN133" s="503"/>
      <c r="AO133" s="503"/>
      <c r="AP133" s="503"/>
      <c r="AQ133" s="503"/>
      <c r="AR133" s="503"/>
      <c r="AS133" s="503"/>
      <c r="AT133" s="503"/>
      <c r="AU133" s="503"/>
      <c r="AV133" s="503"/>
      <c r="AW133" s="503"/>
      <c r="AX133" s="503"/>
      <c r="AY133" s="503"/>
      <c r="AZ133" s="503"/>
      <c r="BA133" s="503"/>
      <c r="BB133" s="503"/>
      <c r="BC133" s="503"/>
      <c r="BD133" s="503"/>
      <c r="BE133" s="503"/>
      <c r="BF133" s="503"/>
      <c r="BG133" s="503"/>
      <c r="BH133" s="503"/>
      <c r="BI133" s="503"/>
      <c r="BJ133" s="503"/>
      <c r="BK133" s="503"/>
      <c r="BL133" s="503"/>
      <c r="BM133" s="503"/>
      <c r="BN133" s="503"/>
      <c r="BO133" s="503"/>
      <c r="BP133" s="503"/>
      <c r="BQ133" s="503"/>
      <c r="BR133" s="503"/>
      <c r="BS133" s="503"/>
      <c r="BT133" s="503"/>
      <c r="BU133" s="503"/>
      <c r="BV133" s="503"/>
      <c r="BW133" s="503"/>
      <c r="BX133" s="503"/>
      <c r="BY133" s="503"/>
      <c r="BZ133" s="503"/>
      <c r="CA133" s="503"/>
      <c r="CB133" s="503"/>
      <c r="CC133" s="503"/>
      <c r="CD133" s="503"/>
      <c r="CE133" s="503"/>
      <c r="CF133" s="503"/>
    </row>
    <row r="134" spans="1:84">
      <c r="A134" s="503"/>
      <c r="B134" s="503"/>
      <c r="C134" s="503"/>
      <c r="D134" s="503"/>
      <c r="E134" s="503"/>
      <c r="F134" s="503"/>
      <c r="G134" s="503"/>
      <c r="H134" s="503"/>
      <c r="I134" s="503"/>
      <c r="J134" s="503"/>
      <c r="K134" s="503"/>
      <c r="L134" s="503"/>
      <c r="M134" s="503"/>
      <c r="N134" s="503"/>
      <c r="O134" s="503"/>
      <c r="P134" s="503"/>
      <c r="Q134" s="503"/>
      <c r="R134" s="503"/>
      <c r="S134" s="503"/>
      <c r="T134" s="503"/>
      <c r="U134" s="503"/>
      <c r="V134" s="503"/>
      <c r="W134" s="503"/>
      <c r="X134" s="503"/>
      <c r="Y134" s="503"/>
      <c r="Z134" s="503"/>
      <c r="AA134" s="503"/>
      <c r="AB134" s="503"/>
      <c r="AC134" s="503"/>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503"/>
      <c r="AY134" s="503"/>
      <c r="AZ134" s="503"/>
      <c r="BA134" s="503"/>
      <c r="BB134" s="503"/>
      <c r="BC134" s="503"/>
      <c r="BD134" s="503"/>
      <c r="BE134" s="503"/>
      <c r="BF134" s="503"/>
      <c r="BG134" s="503"/>
      <c r="BH134" s="503"/>
      <c r="BI134" s="503"/>
      <c r="BJ134" s="503"/>
      <c r="BK134" s="503"/>
      <c r="BL134" s="503"/>
      <c r="BM134" s="503"/>
      <c r="BN134" s="503"/>
      <c r="BO134" s="503"/>
      <c r="BP134" s="503"/>
      <c r="BQ134" s="503"/>
      <c r="BR134" s="503"/>
      <c r="BS134" s="503"/>
      <c r="BT134" s="503"/>
      <c r="BU134" s="503"/>
      <c r="BV134" s="503"/>
      <c r="BW134" s="503"/>
      <c r="BX134" s="503"/>
      <c r="BY134" s="503"/>
      <c r="BZ134" s="503"/>
      <c r="CA134" s="503"/>
      <c r="CB134" s="503"/>
      <c r="CC134" s="503"/>
      <c r="CD134" s="503"/>
      <c r="CE134" s="503"/>
      <c r="CF134" s="503"/>
    </row>
    <row r="135" spans="1:84">
      <c r="A135" s="503"/>
      <c r="B135" s="503"/>
      <c r="C135" s="503"/>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3"/>
      <c r="AE135" s="503"/>
      <c r="AF135" s="503"/>
      <c r="AG135" s="503"/>
      <c r="AH135" s="503"/>
      <c r="AI135" s="503"/>
      <c r="AJ135" s="503"/>
      <c r="AK135" s="503"/>
      <c r="AL135" s="503"/>
      <c r="AM135" s="503"/>
      <c r="AN135" s="503"/>
      <c r="AO135" s="503"/>
      <c r="AP135" s="503"/>
      <c r="AQ135" s="503"/>
      <c r="AR135" s="503"/>
      <c r="AS135" s="503"/>
      <c r="AT135" s="503"/>
      <c r="AU135" s="503"/>
      <c r="AV135" s="503"/>
      <c r="AW135" s="503"/>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c r="BV135" s="503"/>
      <c r="BW135" s="503"/>
      <c r="BX135" s="503"/>
      <c r="BY135" s="503"/>
      <c r="BZ135" s="503"/>
      <c r="CA135" s="503"/>
      <c r="CB135" s="503"/>
      <c r="CC135" s="503"/>
      <c r="CD135" s="503"/>
      <c r="CE135" s="503"/>
      <c r="CF135" s="503"/>
    </row>
    <row r="136" spans="1:84">
      <c r="A136" s="503"/>
      <c r="B136" s="503"/>
      <c r="C136" s="503"/>
      <c r="D136" s="503"/>
      <c r="E136" s="503"/>
      <c r="F136" s="503"/>
      <c r="G136" s="503"/>
      <c r="H136" s="503"/>
      <c r="I136" s="503"/>
      <c r="J136" s="503"/>
      <c r="K136" s="503"/>
      <c r="L136" s="503"/>
      <c r="M136" s="503"/>
      <c r="N136" s="503"/>
      <c r="O136" s="503"/>
      <c r="P136" s="503"/>
      <c r="Q136" s="503"/>
      <c r="R136" s="503"/>
      <c r="S136" s="503"/>
      <c r="T136" s="503"/>
      <c r="U136" s="503"/>
      <c r="V136" s="503"/>
      <c r="W136" s="503"/>
      <c r="X136" s="503"/>
      <c r="Y136" s="503"/>
      <c r="Z136" s="503"/>
      <c r="AA136" s="503"/>
      <c r="AB136" s="503"/>
      <c r="AC136" s="503"/>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c r="BV136" s="503"/>
      <c r="BW136" s="503"/>
      <c r="BX136" s="503"/>
      <c r="BY136" s="503"/>
      <c r="BZ136" s="503"/>
      <c r="CA136" s="503"/>
      <c r="CB136" s="503"/>
      <c r="CC136" s="503"/>
      <c r="CD136" s="503"/>
      <c r="CE136" s="503"/>
      <c r="CF136" s="503"/>
    </row>
    <row r="137" spans="1:84">
      <c r="A137" s="503"/>
      <c r="B137" s="503"/>
      <c r="C137" s="503"/>
      <c r="D137" s="503"/>
      <c r="E137" s="503"/>
      <c r="F137" s="503"/>
      <c r="G137" s="503"/>
      <c r="H137" s="503"/>
      <c r="I137" s="503"/>
      <c r="J137" s="503"/>
      <c r="K137" s="503"/>
      <c r="L137" s="503"/>
      <c r="M137" s="503"/>
      <c r="N137" s="503"/>
      <c r="O137" s="503"/>
      <c r="P137" s="503"/>
      <c r="Q137" s="503"/>
      <c r="R137" s="503"/>
      <c r="S137" s="503"/>
      <c r="T137" s="503"/>
      <c r="U137" s="503"/>
      <c r="V137" s="503"/>
      <c r="W137" s="503"/>
      <c r="X137" s="503"/>
      <c r="Y137" s="503"/>
      <c r="Z137" s="503"/>
      <c r="AA137" s="503"/>
      <c r="AB137" s="503"/>
      <c r="AC137" s="503"/>
      <c r="AD137" s="503"/>
      <c r="AE137" s="503"/>
      <c r="AF137" s="503"/>
      <c r="AG137" s="503"/>
      <c r="AH137" s="503"/>
      <c r="AI137" s="503"/>
      <c r="AJ137" s="503"/>
      <c r="AK137" s="503"/>
      <c r="AL137" s="503"/>
      <c r="AM137" s="503"/>
      <c r="AN137" s="503"/>
      <c r="AO137" s="503"/>
      <c r="AP137" s="503"/>
      <c r="AQ137" s="503"/>
      <c r="AR137" s="503"/>
      <c r="AS137" s="503"/>
      <c r="AT137" s="503"/>
      <c r="AU137" s="503"/>
      <c r="AV137" s="503"/>
      <c r="AW137" s="503"/>
      <c r="AX137" s="503"/>
      <c r="AY137" s="503"/>
      <c r="AZ137" s="503"/>
      <c r="BA137" s="503"/>
      <c r="BB137" s="503"/>
      <c r="BC137" s="503"/>
      <c r="BD137" s="503"/>
      <c r="BE137" s="503"/>
      <c r="BF137" s="503"/>
      <c r="BG137" s="503"/>
      <c r="BH137" s="503"/>
      <c r="BI137" s="503"/>
      <c r="BJ137" s="503"/>
      <c r="BK137" s="503"/>
      <c r="BL137" s="503"/>
      <c r="BM137" s="503"/>
      <c r="BN137" s="503"/>
      <c r="BO137" s="503"/>
      <c r="BP137" s="503"/>
      <c r="BQ137" s="503"/>
      <c r="BR137" s="503"/>
      <c r="BS137" s="503"/>
      <c r="BT137" s="503"/>
      <c r="BU137" s="503"/>
      <c r="BV137" s="503"/>
      <c r="BW137" s="503"/>
      <c r="BX137" s="503"/>
      <c r="BY137" s="503"/>
      <c r="BZ137" s="503"/>
      <c r="CA137" s="503"/>
      <c r="CB137" s="503"/>
      <c r="CC137" s="503"/>
      <c r="CD137" s="503"/>
      <c r="CE137" s="503"/>
      <c r="CF137" s="503"/>
    </row>
    <row r="138" spans="1:84">
      <c r="A138" s="503"/>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c r="AX138" s="503"/>
      <c r="AY138" s="503"/>
      <c r="AZ138" s="503"/>
      <c r="BA138" s="503"/>
      <c r="BB138" s="503"/>
      <c r="BC138" s="503"/>
      <c r="BD138" s="503"/>
      <c r="BE138" s="503"/>
      <c r="BF138" s="503"/>
      <c r="BG138" s="503"/>
      <c r="BH138" s="503"/>
      <c r="BI138" s="503"/>
      <c r="BJ138" s="503"/>
      <c r="BK138" s="503"/>
      <c r="BL138" s="503"/>
      <c r="BM138" s="503"/>
      <c r="BN138" s="503"/>
      <c r="BO138" s="503"/>
      <c r="BP138" s="503"/>
      <c r="BQ138" s="503"/>
      <c r="BR138" s="503"/>
      <c r="BS138" s="503"/>
      <c r="BT138" s="503"/>
      <c r="BU138" s="503"/>
      <c r="BV138" s="503"/>
      <c r="BW138" s="503"/>
      <c r="BX138" s="503"/>
      <c r="BY138" s="503"/>
      <c r="BZ138" s="503"/>
      <c r="CA138" s="503"/>
      <c r="CB138" s="503"/>
      <c r="CC138" s="503"/>
      <c r="CD138" s="503"/>
      <c r="CE138" s="503"/>
      <c r="CF138" s="503"/>
    </row>
    <row r="139" spans="1:84">
      <c r="A139" s="503"/>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3"/>
      <c r="AY139" s="503"/>
      <c r="AZ139" s="503"/>
      <c r="BA139" s="503"/>
      <c r="BB139" s="503"/>
      <c r="BC139" s="503"/>
      <c r="BD139" s="503"/>
      <c r="BE139" s="503"/>
      <c r="BF139" s="503"/>
      <c r="BG139" s="503"/>
      <c r="BH139" s="503"/>
      <c r="BI139" s="503"/>
      <c r="BJ139" s="503"/>
      <c r="BK139" s="503"/>
      <c r="BL139" s="503"/>
      <c r="BM139" s="503"/>
      <c r="BN139" s="503"/>
      <c r="BO139" s="503"/>
      <c r="BP139" s="503"/>
      <c r="BQ139" s="503"/>
      <c r="BR139" s="503"/>
      <c r="BS139" s="503"/>
      <c r="BT139" s="503"/>
      <c r="BU139" s="503"/>
      <c r="BV139" s="503"/>
      <c r="BW139" s="503"/>
      <c r="BX139" s="503"/>
      <c r="BY139" s="503"/>
      <c r="BZ139" s="503"/>
      <c r="CA139" s="503"/>
      <c r="CB139" s="503"/>
      <c r="CC139" s="503"/>
      <c r="CD139" s="503"/>
      <c r="CE139" s="503"/>
      <c r="CF139" s="503"/>
    </row>
    <row r="140" spans="1:84">
      <c r="A140" s="503"/>
      <c r="B140" s="503"/>
      <c r="C140" s="503"/>
      <c r="D140" s="503"/>
      <c r="E140" s="503"/>
      <c r="F140" s="503"/>
      <c r="G140" s="503"/>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3"/>
      <c r="AE140" s="503"/>
      <c r="AF140" s="503"/>
      <c r="AG140" s="503"/>
      <c r="AH140" s="503"/>
      <c r="AI140" s="503"/>
      <c r="AJ140" s="503"/>
      <c r="AK140" s="503"/>
      <c r="AL140" s="503"/>
      <c r="AM140" s="503"/>
      <c r="AN140" s="503"/>
      <c r="AO140" s="503"/>
      <c r="AP140" s="503"/>
      <c r="AQ140" s="503"/>
      <c r="AR140" s="503"/>
      <c r="AS140" s="503"/>
      <c r="AT140" s="503"/>
      <c r="AU140" s="503"/>
      <c r="AV140" s="503"/>
      <c r="AW140" s="503"/>
      <c r="AX140" s="503"/>
      <c r="AY140" s="503"/>
      <c r="AZ140" s="503"/>
      <c r="BA140" s="503"/>
      <c r="BB140" s="503"/>
      <c r="BC140" s="503"/>
      <c r="BD140" s="503"/>
      <c r="BE140" s="503"/>
      <c r="BF140" s="503"/>
      <c r="BG140" s="503"/>
      <c r="BH140" s="503"/>
      <c r="BI140" s="503"/>
      <c r="BJ140" s="503"/>
      <c r="BK140" s="503"/>
      <c r="BL140" s="503"/>
      <c r="BM140" s="503"/>
      <c r="BN140" s="503"/>
      <c r="BO140" s="503"/>
      <c r="BP140" s="503"/>
      <c r="BQ140" s="503"/>
      <c r="BR140" s="503"/>
      <c r="BS140" s="503"/>
      <c r="BT140" s="503"/>
      <c r="BU140" s="503"/>
      <c r="BV140" s="503"/>
      <c r="BW140" s="503"/>
      <c r="BX140" s="503"/>
      <c r="BY140" s="503"/>
      <c r="BZ140" s="503"/>
      <c r="CA140" s="503"/>
      <c r="CB140" s="503"/>
      <c r="CC140" s="503"/>
      <c r="CD140" s="503"/>
      <c r="CE140" s="503"/>
      <c r="CF140" s="503"/>
    </row>
    <row r="141" spans="1:84">
      <c r="A141" s="503"/>
      <c r="B141" s="503"/>
      <c r="C141" s="503"/>
      <c r="D141" s="503"/>
      <c r="E141" s="503"/>
      <c r="F141" s="503"/>
      <c r="G141" s="503"/>
      <c r="H141" s="503"/>
      <c r="I141" s="503"/>
      <c r="J141" s="503"/>
      <c r="K141" s="503"/>
      <c r="L141" s="503"/>
      <c r="M141" s="503"/>
      <c r="N141" s="503"/>
      <c r="O141" s="503"/>
      <c r="P141" s="503"/>
      <c r="Q141" s="503"/>
      <c r="R141" s="503"/>
      <c r="S141" s="503"/>
      <c r="T141" s="503"/>
      <c r="U141" s="503"/>
      <c r="V141" s="503"/>
      <c r="W141" s="503"/>
      <c r="X141" s="503"/>
      <c r="Y141" s="503"/>
      <c r="Z141" s="503"/>
      <c r="AA141" s="503"/>
      <c r="AB141" s="503"/>
      <c r="AC141" s="503"/>
      <c r="AD141" s="503"/>
      <c r="AE141" s="503"/>
      <c r="AF141" s="503"/>
      <c r="AG141" s="503"/>
      <c r="AH141" s="503"/>
      <c r="AI141" s="503"/>
      <c r="AJ141" s="503"/>
      <c r="AK141" s="503"/>
      <c r="AL141" s="503"/>
      <c r="AM141" s="503"/>
      <c r="AN141" s="503"/>
      <c r="AO141" s="503"/>
      <c r="AP141" s="503"/>
      <c r="AQ141" s="503"/>
      <c r="AR141" s="503"/>
      <c r="AS141" s="503"/>
      <c r="AT141" s="503"/>
      <c r="AU141" s="503"/>
      <c r="AV141" s="503"/>
      <c r="AW141" s="503"/>
      <c r="AX141" s="503"/>
      <c r="AY141" s="503"/>
      <c r="AZ141" s="503"/>
      <c r="BA141" s="503"/>
      <c r="BB141" s="503"/>
      <c r="BC141" s="503"/>
      <c r="BD141" s="503"/>
      <c r="BE141" s="503"/>
      <c r="BF141" s="503"/>
      <c r="BG141" s="503"/>
      <c r="BH141" s="503"/>
      <c r="BI141" s="503"/>
      <c r="BJ141" s="503"/>
      <c r="BK141" s="503"/>
      <c r="BL141" s="503"/>
      <c r="BM141" s="503"/>
      <c r="BN141" s="503"/>
      <c r="BO141" s="503"/>
      <c r="BP141" s="503"/>
      <c r="BQ141" s="503"/>
      <c r="BR141" s="503"/>
      <c r="BS141" s="503"/>
      <c r="BT141" s="503"/>
      <c r="BU141" s="503"/>
      <c r="BV141" s="503"/>
      <c r="BW141" s="503"/>
      <c r="BX141" s="503"/>
      <c r="BY141" s="503"/>
      <c r="BZ141" s="503"/>
      <c r="CA141" s="503"/>
      <c r="CB141" s="503"/>
      <c r="CC141" s="503"/>
      <c r="CD141" s="503"/>
      <c r="CE141" s="503"/>
      <c r="CF141" s="503"/>
    </row>
    <row r="142" spans="1:84">
      <c r="A142" s="503"/>
      <c r="B142" s="503"/>
      <c r="C142" s="503"/>
      <c r="D142" s="503"/>
      <c r="E142" s="503"/>
      <c r="F142" s="503"/>
      <c r="G142" s="503"/>
      <c r="H142" s="503"/>
      <c r="I142" s="503"/>
      <c r="J142" s="503"/>
      <c r="K142" s="503"/>
      <c r="L142" s="503"/>
      <c r="M142" s="503"/>
      <c r="N142" s="503"/>
      <c r="O142" s="503"/>
      <c r="P142" s="503"/>
      <c r="Q142" s="503"/>
      <c r="R142" s="503"/>
      <c r="S142" s="503"/>
      <c r="T142" s="503"/>
      <c r="U142" s="503"/>
      <c r="V142" s="503"/>
      <c r="W142" s="503"/>
      <c r="X142" s="503"/>
      <c r="Y142" s="503"/>
      <c r="Z142" s="503"/>
      <c r="AA142" s="503"/>
      <c r="AB142" s="503"/>
      <c r="AC142" s="503"/>
      <c r="AD142" s="503"/>
      <c r="AE142" s="503"/>
      <c r="AF142" s="503"/>
      <c r="AG142" s="503"/>
      <c r="AH142" s="503"/>
      <c r="AI142" s="503"/>
      <c r="AJ142" s="503"/>
      <c r="AK142" s="503"/>
      <c r="AL142" s="503"/>
      <c r="AM142" s="503"/>
      <c r="AN142" s="503"/>
      <c r="AO142" s="503"/>
      <c r="AP142" s="503"/>
      <c r="AQ142" s="503"/>
      <c r="AR142" s="503"/>
      <c r="AS142" s="503"/>
      <c r="AT142" s="503"/>
      <c r="AU142" s="503"/>
      <c r="AV142" s="503"/>
      <c r="AW142" s="503"/>
      <c r="AX142" s="503"/>
      <c r="AY142" s="503"/>
      <c r="AZ142" s="503"/>
      <c r="BA142" s="503"/>
      <c r="BB142" s="503"/>
      <c r="BC142" s="503"/>
      <c r="BD142" s="503"/>
      <c r="BE142" s="503"/>
      <c r="BF142" s="503"/>
      <c r="BG142" s="503"/>
      <c r="BH142" s="503"/>
      <c r="BI142" s="503"/>
      <c r="BJ142" s="503"/>
      <c r="BK142" s="503"/>
      <c r="BL142" s="503"/>
      <c r="BM142" s="503"/>
      <c r="BN142" s="503"/>
      <c r="BO142" s="503"/>
      <c r="BP142" s="503"/>
      <c r="BQ142" s="503"/>
      <c r="BR142" s="503"/>
      <c r="BS142" s="503"/>
      <c r="BT142" s="503"/>
      <c r="BU142" s="503"/>
      <c r="BV142" s="503"/>
      <c r="BW142" s="503"/>
      <c r="BX142" s="503"/>
      <c r="BY142" s="503"/>
      <c r="BZ142" s="503"/>
      <c r="CA142" s="503"/>
      <c r="CB142" s="503"/>
      <c r="CC142" s="503"/>
      <c r="CD142" s="503"/>
      <c r="CE142" s="503"/>
      <c r="CF142" s="503"/>
    </row>
    <row r="143" spans="1:84">
      <c r="A143" s="503"/>
      <c r="B143" s="503"/>
      <c r="C143" s="503"/>
      <c r="D143" s="503"/>
      <c r="E143" s="503"/>
      <c r="F143" s="503"/>
      <c r="G143" s="503"/>
      <c r="H143" s="503"/>
      <c r="I143" s="503"/>
      <c r="J143" s="503"/>
      <c r="K143" s="503"/>
      <c r="L143" s="503"/>
      <c r="M143" s="503"/>
      <c r="N143" s="503"/>
      <c r="O143" s="503"/>
      <c r="P143" s="503"/>
      <c r="Q143" s="503"/>
      <c r="R143" s="503"/>
      <c r="S143" s="503"/>
      <c r="T143" s="503"/>
      <c r="U143" s="503"/>
      <c r="V143" s="503"/>
      <c r="W143" s="503"/>
      <c r="X143" s="503"/>
      <c r="Y143" s="503"/>
      <c r="Z143" s="503"/>
      <c r="AA143" s="503"/>
      <c r="AB143" s="503"/>
      <c r="AC143" s="503"/>
      <c r="AD143" s="503"/>
      <c r="AE143" s="503"/>
      <c r="AF143" s="503"/>
      <c r="AG143" s="503"/>
      <c r="AH143" s="503"/>
      <c r="AI143" s="503"/>
      <c r="AJ143" s="503"/>
      <c r="AK143" s="503"/>
      <c r="AL143" s="503"/>
      <c r="AM143" s="503"/>
      <c r="AN143" s="503"/>
      <c r="AO143" s="503"/>
      <c r="AP143" s="503"/>
      <c r="AQ143" s="503"/>
      <c r="AR143" s="503"/>
      <c r="AS143" s="503"/>
      <c r="AT143" s="503"/>
      <c r="AU143" s="503"/>
      <c r="AV143" s="503"/>
      <c r="AW143" s="503"/>
      <c r="AX143" s="503"/>
      <c r="AY143" s="503"/>
      <c r="AZ143" s="503"/>
      <c r="BA143" s="503"/>
      <c r="BB143" s="503"/>
      <c r="BC143" s="503"/>
      <c r="BD143" s="503"/>
      <c r="BE143" s="503"/>
      <c r="BF143" s="503"/>
      <c r="BG143" s="503"/>
      <c r="BH143" s="503"/>
      <c r="BI143" s="503"/>
      <c r="BJ143" s="503"/>
      <c r="BK143" s="503"/>
      <c r="BL143" s="503"/>
      <c r="BM143" s="503"/>
      <c r="BN143" s="503"/>
      <c r="BO143" s="503"/>
      <c r="BP143" s="503"/>
      <c r="BQ143" s="503"/>
      <c r="BR143" s="503"/>
      <c r="BS143" s="503"/>
      <c r="BT143" s="503"/>
      <c r="BU143" s="503"/>
      <c r="BV143" s="503"/>
      <c r="BW143" s="503"/>
      <c r="BX143" s="503"/>
      <c r="BY143" s="503"/>
      <c r="BZ143" s="503"/>
      <c r="CA143" s="503"/>
      <c r="CB143" s="503"/>
      <c r="CC143" s="503"/>
      <c r="CD143" s="503"/>
      <c r="CE143" s="503"/>
      <c r="CF143" s="503"/>
    </row>
    <row r="144" spans="1:84">
      <c r="A144" s="503"/>
      <c r="B144" s="503"/>
      <c r="C144" s="503"/>
      <c r="D144" s="503"/>
      <c r="E144" s="503"/>
      <c r="F144" s="503"/>
      <c r="G144" s="503"/>
      <c r="H144" s="503"/>
      <c r="I144" s="503"/>
      <c r="J144" s="503"/>
      <c r="K144" s="503"/>
      <c r="L144" s="503"/>
      <c r="M144" s="503"/>
      <c r="N144" s="503"/>
      <c r="O144" s="503"/>
      <c r="P144" s="503"/>
      <c r="Q144" s="503"/>
      <c r="R144" s="503"/>
      <c r="S144" s="503"/>
      <c r="T144" s="503"/>
      <c r="U144" s="503"/>
      <c r="V144" s="503"/>
      <c r="W144" s="503"/>
      <c r="X144" s="503"/>
      <c r="Y144" s="503"/>
      <c r="Z144" s="503"/>
      <c r="AA144" s="503"/>
      <c r="AB144" s="503"/>
      <c r="AC144" s="503"/>
      <c r="AD144" s="503"/>
      <c r="AE144" s="503"/>
      <c r="AF144" s="503"/>
      <c r="AG144" s="503"/>
      <c r="AH144" s="503"/>
      <c r="AI144" s="503"/>
      <c r="AJ144" s="503"/>
      <c r="AK144" s="503"/>
      <c r="AL144" s="503"/>
      <c r="AM144" s="503"/>
      <c r="AN144" s="503"/>
      <c r="AO144" s="503"/>
      <c r="AP144" s="503"/>
      <c r="AQ144" s="503"/>
      <c r="AR144" s="503"/>
      <c r="AS144" s="503"/>
      <c r="AT144" s="503"/>
      <c r="AU144" s="503"/>
      <c r="AV144" s="503"/>
      <c r="AW144" s="503"/>
      <c r="AX144" s="503"/>
      <c r="AY144" s="503"/>
      <c r="AZ144" s="503"/>
      <c r="BA144" s="503"/>
      <c r="BB144" s="503"/>
      <c r="BC144" s="503"/>
      <c r="BD144" s="503"/>
      <c r="BE144" s="503"/>
      <c r="BF144" s="503"/>
      <c r="BG144" s="503"/>
      <c r="BH144" s="503"/>
      <c r="BI144" s="503"/>
      <c r="BJ144" s="503"/>
      <c r="BK144" s="503"/>
      <c r="BL144" s="503"/>
      <c r="BM144" s="503"/>
      <c r="BN144" s="503"/>
      <c r="BO144" s="503"/>
      <c r="BP144" s="503"/>
      <c r="BQ144" s="503"/>
      <c r="BR144" s="503"/>
      <c r="BS144" s="503"/>
      <c r="BT144" s="503"/>
      <c r="BU144" s="503"/>
      <c r="BV144" s="503"/>
      <c r="BW144" s="503"/>
      <c r="BX144" s="503"/>
      <c r="BY144" s="503"/>
      <c r="BZ144" s="503"/>
      <c r="CA144" s="503"/>
      <c r="CB144" s="503"/>
      <c r="CC144" s="503"/>
      <c r="CD144" s="503"/>
      <c r="CE144" s="503"/>
      <c r="CF144" s="503"/>
    </row>
    <row r="145" spans="1:84">
      <c r="A145" s="503"/>
      <c r="B145" s="503"/>
      <c r="C145" s="503"/>
      <c r="D145" s="503"/>
      <c r="E145" s="503"/>
      <c r="F145" s="503"/>
      <c r="G145" s="503"/>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3"/>
      <c r="AY145" s="503"/>
      <c r="AZ145" s="503"/>
      <c r="BA145" s="503"/>
      <c r="BB145" s="503"/>
      <c r="BC145" s="503"/>
      <c r="BD145" s="503"/>
      <c r="BE145" s="503"/>
      <c r="BF145" s="503"/>
      <c r="BG145" s="503"/>
      <c r="BH145" s="503"/>
      <c r="BI145" s="503"/>
      <c r="BJ145" s="503"/>
      <c r="BK145" s="503"/>
      <c r="BL145" s="503"/>
      <c r="BM145" s="503"/>
      <c r="BN145" s="503"/>
      <c r="BO145" s="503"/>
      <c r="BP145" s="503"/>
      <c r="BQ145" s="503"/>
      <c r="BR145" s="503"/>
      <c r="BS145" s="503"/>
      <c r="BT145" s="503"/>
      <c r="BU145" s="503"/>
      <c r="BV145" s="503"/>
      <c r="BW145" s="503"/>
      <c r="BX145" s="503"/>
      <c r="BY145" s="503"/>
      <c r="BZ145" s="503"/>
      <c r="CA145" s="503"/>
      <c r="CB145" s="503"/>
      <c r="CC145" s="503"/>
      <c r="CD145" s="503"/>
      <c r="CE145" s="503"/>
      <c r="CF145" s="503"/>
    </row>
    <row r="146" spans="1:84">
      <c r="A146" s="503"/>
      <c r="B146" s="503"/>
      <c r="C146" s="503"/>
      <c r="D146" s="503"/>
      <c r="E146" s="503"/>
      <c r="F146" s="503"/>
      <c r="G146" s="503"/>
      <c r="H146" s="503"/>
      <c r="I146" s="503"/>
      <c r="J146" s="503"/>
      <c r="K146" s="503"/>
      <c r="L146" s="503"/>
      <c r="M146" s="503"/>
      <c r="N146" s="503"/>
      <c r="O146" s="503"/>
      <c r="P146" s="503"/>
      <c r="Q146" s="503"/>
      <c r="R146" s="503"/>
      <c r="S146" s="503"/>
      <c r="T146" s="503"/>
      <c r="U146" s="503"/>
      <c r="V146" s="503"/>
      <c r="W146" s="503"/>
      <c r="X146" s="503"/>
      <c r="Y146" s="503"/>
      <c r="Z146" s="503"/>
      <c r="AA146" s="503"/>
      <c r="AB146" s="503"/>
      <c r="AC146" s="503"/>
      <c r="AD146" s="503"/>
      <c r="AE146" s="503"/>
      <c r="AF146" s="503"/>
      <c r="AG146" s="503"/>
      <c r="AH146" s="503"/>
      <c r="AI146" s="503"/>
      <c r="AJ146" s="503"/>
      <c r="AK146" s="503"/>
      <c r="AL146" s="503"/>
      <c r="AM146" s="503"/>
      <c r="AN146" s="503"/>
      <c r="AO146" s="503"/>
      <c r="AP146" s="503"/>
      <c r="AQ146" s="503"/>
      <c r="AR146" s="503"/>
      <c r="AS146" s="503"/>
      <c r="AT146" s="503"/>
      <c r="AU146" s="503"/>
      <c r="AV146" s="503"/>
      <c r="AW146" s="503"/>
      <c r="AX146" s="503"/>
      <c r="AY146" s="503"/>
      <c r="AZ146" s="503"/>
      <c r="BA146" s="503"/>
      <c r="BB146" s="503"/>
      <c r="BC146" s="503"/>
      <c r="BD146" s="503"/>
      <c r="BE146" s="503"/>
      <c r="BF146" s="503"/>
      <c r="BG146" s="503"/>
      <c r="BH146" s="503"/>
      <c r="BI146" s="503"/>
      <c r="BJ146" s="503"/>
      <c r="BK146" s="503"/>
      <c r="BL146" s="503"/>
      <c r="BM146" s="503"/>
      <c r="BN146" s="503"/>
      <c r="BO146" s="503"/>
      <c r="BP146" s="503"/>
      <c r="BQ146" s="503"/>
      <c r="BR146" s="503"/>
      <c r="BS146" s="503"/>
      <c r="BT146" s="503"/>
      <c r="BU146" s="503"/>
      <c r="BV146" s="503"/>
      <c r="BW146" s="503"/>
      <c r="BX146" s="503"/>
      <c r="BY146" s="503"/>
      <c r="BZ146" s="503"/>
      <c r="CA146" s="503"/>
      <c r="CB146" s="503"/>
      <c r="CC146" s="503"/>
      <c r="CD146" s="503"/>
      <c r="CE146" s="503"/>
      <c r="CF146" s="503"/>
    </row>
    <row r="147" spans="1:84">
      <c r="A147" s="503"/>
      <c r="B147" s="503"/>
      <c r="C147" s="503"/>
      <c r="D147" s="503"/>
      <c r="E147" s="503"/>
      <c r="F147" s="503"/>
      <c r="G147" s="503"/>
      <c r="H147" s="503"/>
      <c r="I147" s="503"/>
      <c r="J147" s="503"/>
      <c r="K147" s="503"/>
      <c r="L147" s="503"/>
      <c r="M147" s="503"/>
      <c r="N147" s="503"/>
      <c r="O147" s="503"/>
      <c r="P147" s="503"/>
      <c r="Q147" s="503"/>
      <c r="R147" s="503"/>
      <c r="S147" s="503"/>
      <c r="T147" s="503"/>
      <c r="U147" s="503"/>
      <c r="V147" s="503"/>
      <c r="W147" s="503"/>
      <c r="X147" s="503"/>
      <c r="Y147" s="503"/>
      <c r="Z147" s="503"/>
      <c r="AA147" s="503"/>
      <c r="AB147" s="503"/>
      <c r="AC147" s="503"/>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3"/>
      <c r="AY147" s="503"/>
      <c r="AZ147" s="503"/>
      <c r="BA147" s="503"/>
      <c r="BB147" s="503"/>
      <c r="BC147" s="503"/>
      <c r="BD147" s="503"/>
      <c r="BE147" s="503"/>
      <c r="BF147" s="503"/>
      <c r="BG147" s="503"/>
      <c r="BH147" s="503"/>
      <c r="BI147" s="503"/>
      <c r="BJ147" s="503"/>
      <c r="BK147" s="503"/>
      <c r="BL147" s="503"/>
      <c r="BM147" s="503"/>
      <c r="BN147" s="503"/>
      <c r="BO147" s="503"/>
      <c r="BP147" s="503"/>
      <c r="BQ147" s="503"/>
      <c r="BR147" s="503"/>
      <c r="BS147" s="503"/>
      <c r="BT147" s="503"/>
      <c r="BU147" s="503"/>
      <c r="BV147" s="503"/>
      <c r="BW147" s="503"/>
      <c r="BX147" s="503"/>
      <c r="BY147" s="503"/>
      <c r="BZ147" s="503"/>
      <c r="CA147" s="503"/>
      <c r="CB147" s="503"/>
      <c r="CC147" s="503"/>
      <c r="CD147" s="503"/>
      <c r="CE147" s="503"/>
      <c r="CF147" s="503"/>
    </row>
    <row r="148" spans="1:84">
      <c r="A148" s="503"/>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c r="AM148" s="503"/>
      <c r="AN148" s="503"/>
      <c r="AO148" s="503"/>
      <c r="AP148" s="503"/>
      <c r="AQ148" s="503"/>
      <c r="AR148" s="503"/>
      <c r="AS148" s="503"/>
      <c r="AT148" s="503"/>
      <c r="AU148" s="503"/>
      <c r="AV148" s="503"/>
      <c r="AW148" s="503"/>
      <c r="AX148" s="503"/>
      <c r="AY148" s="503"/>
      <c r="AZ148" s="503"/>
      <c r="BA148" s="503"/>
      <c r="BB148" s="503"/>
      <c r="BC148" s="503"/>
      <c r="BD148" s="503"/>
      <c r="BE148" s="503"/>
      <c r="BF148" s="503"/>
      <c r="BG148" s="503"/>
      <c r="BH148" s="503"/>
      <c r="BI148" s="503"/>
      <c r="BJ148" s="503"/>
      <c r="BK148" s="503"/>
      <c r="BL148" s="503"/>
      <c r="BM148" s="503"/>
      <c r="BN148" s="503"/>
      <c r="BO148" s="503"/>
      <c r="BP148" s="503"/>
      <c r="BQ148" s="503"/>
      <c r="BR148" s="503"/>
      <c r="BS148" s="503"/>
      <c r="BT148" s="503"/>
      <c r="BU148" s="503"/>
      <c r="BV148" s="503"/>
      <c r="BW148" s="503"/>
      <c r="BX148" s="503"/>
      <c r="BY148" s="503"/>
      <c r="BZ148" s="503"/>
      <c r="CA148" s="503"/>
      <c r="CB148" s="503"/>
      <c r="CC148" s="503"/>
      <c r="CD148" s="503"/>
      <c r="CE148" s="503"/>
      <c r="CF148" s="503"/>
    </row>
    <row r="149" spans="1:84">
      <c r="A149" s="503"/>
      <c r="B149" s="503"/>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3"/>
      <c r="AH149" s="503"/>
      <c r="AI149" s="503"/>
      <c r="AJ149" s="503"/>
      <c r="AK149" s="503"/>
      <c r="AL149" s="503"/>
      <c r="AM149" s="503"/>
      <c r="AN149" s="503"/>
      <c r="AO149" s="503"/>
      <c r="AP149" s="503"/>
      <c r="AQ149" s="503"/>
      <c r="AR149" s="503"/>
      <c r="AS149" s="503"/>
      <c r="AT149" s="503"/>
      <c r="AU149" s="503"/>
      <c r="AV149" s="503"/>
      <c r="AW149" s="503"/>
      <c r="AX149" s="503"/>
      <c r="AY149" s="503"/>
      <c r="AZ149" s="503"/>
      <c r="BA149" s="503"/>
      <c r="BB149" s="503"/>
      <c r="BC149" s="503"/>
      <c r="BD149" s="503"/>
      <c r="BE149" s="503"/>
      <c r="BF149" s="503"/>
      <c r="BG149" s="503"/>
      <c r="BH149" s="503"/>
      <c r="BI149" s="503"/>
      <c r="BJ149" s="503"/>
      <c r="BK149" s="503"/>
      <c r="BL149" s="503"/>
      <c r="BM149" s="503"/>
      <c r="BN149" s="503"/>
      <c r="BO149" s="503"/>
      <c r="BP149" s="503"/>
      <c r="BQ149" s="503"/>
      <c r="BR149" s="503"/>
      <c r="BS149" s="503"/>
      <c r="BT149" s="503"/>
      <c r="BU149" s="503"/>
      <c r="BV149" s="503"/>
      <c r="BW149" s="503"/>
      <c r="BX149" s="503"/>
      <c r="BY149" s="503"/>
      <c r="BZ149" s="503"/>
      <c r="CA149" s="503"/>
      <c r="CB149" s="503"/>
      <c r="CC149" s="503"/>
      <c r="CD149" s="503"/>
      <c r="CE149" s="503"/>
      <c r="CF149" s="503"/>
    </row>
    <row r="150" spans="1:84">
      <c r="A150" s="503"/>
      <c r="B150" s="503"/>
      <c r="C150" s="503"/>
      <c r="D150" s="503"/>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c r="AY150" s="503"/>
      <c r="AZ150" s="503"/>
      <c r="BA150" s="503"/>
      <c r="BB150" s="503"/>
      <c r="BC150" s="503"/>
      <c r="BD150" s="503"/>
      <c r="BE150" s="503"/>
      <c r="BF150" s="503"/>
      <c r="BG150" s="503"/>
      <c r="BH150" s="503"/>
      <c r="BI150" s="503"/>
      <c r="BJ150" s="503"/>
      <c r="BK150" s="503"/>
      <c r="BL150" s="503"/>
      <c r="BM150" s="503"/>
      <c r="BN150" s="503"/>
      <c r="BO150" s="503"/>
      <c r="BP150" s="503"/>
      <c r="BQ150" s="503"/>
      <c r="BR150" s="503"/>
      <c r="BS150" s="503"/>
      <c r="BT150" s="503"/>
      <c r="BU150" s="503"/>
      <c r="BV150" s="503"/>
      <c r="BW150" s="503"/>
      <c r="BX150" s="503"/>
      <c r="BY150" s="503"/>
      <c r="BZ150" s="503"/>
      <c r="CA150" s="503"/>
      <c r="CB150" s="503"/>
      <c r="CC150" s="503"/>
      <c r="CD150" s="503"/>
      <c r="CE150" s="503"/>
      <c r="CF150" s="503"/>
    </row>
    <row r="151" spans="1:84">
      <c r="A151" s="503"/>
      <c r="B151" s="503"/>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503"/>
      <c r="AA151" s="503"/>
      <c r="AB151" s="503"/>
      <c r="AC151" s="503"/>
      <c r="AD151" s="503"/>
      <c r="AE151" s="503"/>
      <c r="AF151" s="503"/>
      <c r="AG151" s="503"/>
      <c r="AH151" s="503"/>
      <c r="AI151" s="503"/>
      <c r="AJ151" s="503"/>
      <c r="AK151" s="503"/>
      <c r="AL151" s="503"/>
      <c r="AM151" s="503"/>
      <c r="AN151" s="503"/>
      <c r="AO151" s="503"/>
      <c r="AP151" s="503"/>
      <c r="AQ151" s="503"/>
      <c r="AR151" s="503"/>
      <c r="AS151" s="503"/>
      <c r="AT151" s="503"/>
      <c r="AU151" s="503"/>
      <c r="AV151" s="503"/>
      <c r="AW151" s="503"/>
      <c r="AX151" s="503"/>
      <c r="AY151" s="503"/>
      <c r="AZ151" s="503"/>
      <c r="BA151" s="503"/>
      <c r="BB151" s="503"/>
      <c r="BC151" s="503"/>
      <c r="BD151" s="503"/>
      <c r="BE151" s="503"/>
      <c r="BF151" s="503"/>
      <c r="BG151" s="503"/>
      <c r="BH151" s="503"/>
      <c r="BI151" s="503"/>
      <c r="BJ151" s="503"/>
      <c r="BK151" s="503"/>
      <c r="BL151" s="503"/>
      <c r="BM151" s="503"/>
      <c r="BN151" s="503"/>
      <c r="BO151" s="503"/>
      <c r="BP151" s="503"/>
      <c r="BQ151" s="503"/>
      <c r="BR151" s="503"/>
      <c r="BS151" s="503"/>
      <c r="BT151" s="503"/>
      <c r="BU151" s="503"/>
      <c r="BV151" s="503"/>
      <c r="BW151" s="503"/>
      <c r="BX151" s="503"/>
      <c r="BY151" s="503"/>
      <c r="BZ151" s="503"/>
      <c r="CA151" s="503"/>
      <c r="CB151" s="503"/>
      <c r="CC151" s="503"/>
      <c r="CD151" s="503"/>
      <c r="CE151" s="503"/>
      <c r="CF151" s="503"/>
    </row>
    <row r="152" spans="1:84">
      <c r="A152" s="503"/>
      <c r="B152" s="503"/>
      <c r="C152" s="503"/>
      <c r="D152" s="503"/>
      <c r="E152" s="503"/>
      <c r="F152" s="503"/>
      <c r="G152" s="503"/>
      <c r="H152" s="503"/>
      <c r="I152" s="503"/>
      <c r="J152" s="503"/>
      <c r="K152" s="503"/>
      <c r="L152" s="503"/>
      <c r="M152" s="503"/>
      <c r="N152" s="503"/>
      <c r="O152" s="503"/>
      <c r="P152" s="503"/>
      <c r="Q152" s="503"/>
      <c r="R152" s="503"/>
      <c r="S152" s="503"/>
      <c r="T152" s="503"/>
      <c r="U152" s="503"/>
      <c r="V152" s="503"/>
      <c r="W152" s="503"/>
      <c r="X152" s="503"/>
      <c r="Y152" s="503"/>
      <c r="Z152" s="503"/>
      <c r="AA152" s="503"/>
      <c r="AB152" s="503"/>
      <c r="AC152" s="503"/>
      <c r="AD152" s="503"/>
      <c r="AE152" s="503"/>
      <c r="AF152" s="503"/>
      <c r="AG152" s="503"/>
      <c r="AH152" s="503"/>
      <c r="AI152" s="503"/>
      <c r="AJ152" s="503"/>
      <c r="AK152" s="503"/>
      <c r="AL152" s="503"/>
      <c r="AM152" s="503"/>
      <c r="AN152" s="503"/>
      <c r="AO152" s="503"/>
      <c r="AP152" s="503"/>
      <c r="AQ152" s="503"/>
      <c r="AR152" s="503"/>
      <c r="AS152" s="503"/>
      <c r="AT152" s="503"/>
      <c r="AU152" s="503"/>
      <c r="AV152" s="503"/>
      <c r="AW152" s="503"/>
      <c r="AX152" s="503"/>
      <c r="AY152" s="503"/>
      <c r="AZ152" s="503"/>
      <c r="BA152" s="503"/>
      <c r="BB152" s="503"/>
      <c r="BC152" s="503"/>
      <c r="BD152" s="503"/>
      <c r="BE152" s="503"/>
      <c r="BF152" s="503"/>
      <c r="BG152" s="503"/>
      <c r="BH152" s="503"/>
      <c r="BI152" s="503"/>
      <c r="BJ152" s="503"/>
      <c r="BK152" s="503"/>
      <c r="BL152" s="503"/>
      <c r="BM152" s="503"/>
      <c r="BN152" s="503"/>
      <c r="BO152" s="503"/>
      <c r="BP152" s="503"/>
      <c r="BQ152" s="503"/>
      <c r="BR152" s="503"/>
      <c r="BS152" s="503"/>
      <c r="BT152" s="503"/>
      <c r="BU152" s="503"/>
      <c r="BV152" s="503"/>
      <c r="BW152" s="503"/>
      <c r="BX152" s="503"/>
      <c r="BY152" s="503"/>
      <c r="BZ152" s="503"/>
      <c r="CA152" s="503"/>
      <c r="CB152" s="503"/>
      <c r="CC152" s="503"/>
      <c r="CD152" s="503"/>
      <c r="CE152" s="503"/>
      <c r="CF152" s="503"/>
    </row>
    <row r="153" spans="1:84">
      <c r="A153" s="503"/>
      <c r="B153" s="503"/>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3"/>
      <c r="AL153" s="503"/>
      <c r="AM153" s="503"/>
      <c r="AN153" s="503"/>
      <c r="AO153" s="503"/>
      <c r="AP153" s="503"/>
      <c r="AQ153" s="503"/>
      <c r="AR153" s="503"/>
      <c r="AS153" s="503"/>
      <c r="AT153" s="503"/>
      <c r="AU153" s="503"/>
      <c r="AV153" s="503"/>
      <c r="AW153" s="503"/>
      <c r="AX153" s="503"/>
      <c r="AY153" s="503"/>
      <c r="AZ153" s="503"/>
      <c r="BA153" s="503"/>
      <c r="BB153" s="503"/>
      <c r="BC153" s="503"/>
      <c r="BD153" s="503"/>
      <c r="BE153" s="503"/>
      <c r="BF153" s="503"/>
      <c r="BG153" s="503"/>
      <c r="BH153" s="503"/>
      <c r="BI153" s="503"/>
      <c r="BJ153" s="503"/>
      <c r="BK153" s="503"/>
      <c r="BL153" s="503"/>
      <c r="BM153" s="503"/>
      <c r="BN153" s="503"/>
      <c r="BO153" s="503"/>
      <c r="BP153" s="503"/>
      <c r="BQ153" s="503"/>
      <c r="BR153" s="503"/>
      <c r="BS153" s="503"/>
      <c r="BT153" s="503"/>
      <c r="BU153" s="503"/>
      <c r="BV153" s="503"/>
      <c r="BW153" s="503"/>
      <c r="BX153" s="503"/>
      <c r="BY153" s="503"/>
      <c r="BZ153" s="503"/>
      <c r="CA153" s="503"/>
      <c r="CB153" s="503"/>
      <c r="CC153" s="503"/>
      <c r="CD153" s="503"/>
      <c r="CE153" s="503"/>
      <c r="CF153" s="503"/>
    </row>
    <row r="154" spans="1:84">
      <c r="A154" s="503"/>
      <c r="B154" s="503"/>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503"/>
      <c r="AL154" s="503"/>
      <c r="AM154" s="503"/>
      <c r="AN154" s="503"/>
      <c r="AO154" s="503"/>
      <c r="AP154" s="503"/>
      <c r="AQ154" s="503"/>
      <c r="AR154" s="503"/>
      <c r="AS154" s="503"/>
      <c r="AT154" s="503"/>
      <c r="AU154" s="503"/>
      <c r="AV154" s="503"/>
      <c r="AW154" s="503"/>
      <c r="AX154" s="503"/>
      <c r="AY154" s="503"/>
      <c r="AZ154" s="503"/>
      <c r="BA154" s="503"/>
      <c r="BB154" s="503"/>
      <c r="BC154" s="503"/>
      <c r="BD154" s="503"/>
      <c r="BE154" s="503"/>
      <c r="BF154" s="503"/>
      <c r="BG154" s="503"/>
      <c r="BH154" s="503"/>
      <c r="BI154" s="503"/>
      <c r="BJ154" s="503"/>
      <c r="BK154" s="503"/>
      <c r="BL154" s="503"/>
      <c r="BM154" s="503"/>
      <c r="BN154" s="503"/>
      <c r="BO154" s="503"/>
      <c r="BP154" s="503"/>
      <c r="BQ154" s="503"/>
      <c r="BR154" s="503"/>
      <c r="BS154" s="503"/>
      <c r="BT154" s="503"/>
      <c r="BU154" s="503"/>
      <c r="BV154" s="503"/>
      <c r="BW154" s="503"/>
      <c r="BX154" s="503"/>
      <c r="BY154" s="503"/>
      <c r="BZ154" s="503"/>
      <c r="CA154" s="503"/>
      <c r="CB154" s="503"/>
      <c r="CC154" s="503"/>
      <c r="CD154" s="503"/>
      <c r="CE154" s="503"/>
      <c r="CF154" s="503"/>
    </row>
    <row r="155" spans="1:84">
      <c r="A155" s="503"/>
      <c r="B155" s="503"/>
      <c r="E155" s="503"/>
      <c r="F155" s="503"/>
      <c r="G155" s="503"/>
      <c r="H155" s="503"/>
      <c r="I155" s="503"/>
      <c r="J155" s="503"/>
      <c r="K155" s="503"/>
      <c r="L155" s="503"/>
      <c r="M155" s="503"/>
      <c r="N155" s="503"/>
      <c r="O155" s="503"/>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503"/>
      <c r="AL155" s="503"/>
      <c r="AM155" s="503"/>
      <c r="AN155" s="503"/>
      <c r="AO155" s="503"/>
      <c r="AP155" s="503"/>
      <c r="AQ155" s="503"/>
      <c r="AR155" s="503"/>
      <c r="AS155" s="503"/>
      <c r="AT155" s="503"/>
      <c r="AU155" s="503"/>
      <c r="AV155" s="503"/>
      <c r="AW155" s="503"/>
      <c r="AX155" s="503"/>
      <c r="AY155" s="503"/>
      <c r="AZ155" s="503"/>
      <c r="BA155" s="503"/>
      <c r="BB155" s="503"/>
      <c r="BC155" s="503"/>
      <c r="BD155" s="503"/>
      <c r="BE155" s="503"/>
      <c r="BF155" s="503"/>
      <c r="BG155" s="503"/>
      <c r="BH155" s="503"/>
      <c r="BI155" s="503"/>
      <c r="BJ155" s="503"/>
      <c r="BK155" s="503"/>
      <c r="BL155" s="503"/>
      <c r="BM155" s="503"/>
      <c r="BN155" s="503"/>
      <c r="BO155" s="503"/>
      <c r="BP155" s="503"/>
      <c r="BQ155" s="503"/>
      <c r="BR155" s="503"/>
      <c r="BS155" s="503"/>
      <c r="BT155" s="503"/>
      <c r="BU155" s="503"/>
      <c r="BV155" s="503"/>
      <c r="BW155" s="503"/>
      <c r="BX155" s="503"/>
      <c r="BY155" s="503"/>
      <c r="BZ155" s="503"/>
      <c r="CA155" s="503"/>
      <c r="CB155" s="503"/>
      <c r="CC155" s="503"/>
      <c r="CD155" s="503"/>
      <c r="CE155" s="503"/>
      <c r="CF155" s="503"/>
    </row>
    <row r="156" spans="1:84">
      <c r="A156" s="503"/>
      <c r="B156" s="503"/>
      <c r="E156" s="503"/>
      <c r="F156" s="503"/>
      <c r="G156" s="503"/>
      <c r="H156" s="503"/>
      <c r="I156" s="503"/>
      <c r="J156" s="503"/>
      <c r="K156" s="503"/>
      <c r="L156" s="503"/>
      <c r="M156" s="503"/>
      <c r="N156" s="503"/>
      <c r="O156" s="503"/>
      <c r="P156" s="503"/>
      <c r="Q156" s="503"/>
      <c r="R156" s="503"/>
      <c r="S156" s="503"/>
      <c r="T156" s="503"/>
      <c r="U156" s="503"/>
      <c r="V156" s="503"/>
      <c r="W156" s="503"/>
      <c r="X156" s="503"/>
      <c r="Y156" s="503"/>
      <c r="Z156" s="503"/>
      <c r="AA156" s="503"/>
      <c r="AB156" s="503"/>
      <c r="AC156" s="503"/>
      <c r="AD156" s="503"/>
      <c r="AE156" s="503"/>
      <c r="AF156" s="503"/>
      <c r="AG156" s="503"/>
      <c r="AH156" s="503"/>
      <c r="AI156" s="503"/>
      <c r="AJ156" s="503"/>
      <c r="AK156" s="503"/>
      <c r="AL156" s="503"/>
      <c r="AM156" s="503"/>
      <c r="AN156" s="503"/>
      <c r="AO156" s="503"/>
      <c r="AP156" s="503"/>
      <c r="AQ156" s="503"/>
      <c r="AR156" s="503"/>
      <c r="AS156" s="503"/>
      <c r="AT156" s="503"/>
      <c r="AU156" s="503"/>
      <c r="AV156" s="503"/>
      <c r="AW156" s="503"/>
      <c r="AX156" s="503"/>
      <c r="AY156" s="503"/>
      <c r="AZ156" s="503"/>
      <c r="BA156" s="503"/>
      <c r="BB156" s="503"/>
      <c r="BC156" s="503"/>
      <c r="BD156" s="503"/>
      <c r="BE156" s="503"/>
      <c r="BF156" s="503"/>
      <c r="BG156" s="503"/>
      <c r="BH156" s="503"/>
      <c r="BI156" s="503"/>
      <c r="BJ156" s="503"/>
      <c r="BK156" s="503"/>
      <c r="BL156" s="503"/>
      <c r="BM156" s="503"/>
      <c r="BN156" s="503"/>
      <c r="BO156" s="503"/>
      <c r="BP156" s="503"/>
      <c r="BQ156" s="503"/>
      <c r="BR156" s="503"/>
      <c r="BS156" s="503"/>
      <c r="BT156" s="503"/>
      <c r="BU156" s="503"/>
      <c r="BV156" s="503"/>
      <c r="BW156" s="503"/>
      <c r="BX156" s="503"/>
      <c r="BY156" s="503"/>
      <c r="BZ156" s="503"/>
      <c r="CA156" s="503"/>
      <c r="CB156" s="503"/>
      <c r="CC156" s="503"/>
      <c r="CD156" s="503"/>
      <c r="CE156" s="503"/>
      <c r="CF156" s="503"/>
    </row>
    <row r="157" spans="1:84">
      <c r="A157" s="503"/>
      <c r="B157" s="503"/>
      <c r="E157" s="503"/>
      <c r="F157" s="503"/>
      <c r="G157" s="503"/>
      <c r="H157" s="503"/>
      <c r="I157" s="503"/>
      <c r="J157" s="503"/>
      <c r="K157" s="503"/>
      <c r="L157" s="503"/>
      <c r="M157" s="503"/>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3"/>
      <c r="AK157" s="503"/>
      <c r="AL157" s="503"/>
      <c r="AM157" s="503"/>
      <c r="AN157" s="503"/>
      <c r="AO157" s="503"/>
      <c r="AP157" s="503"/>
      <c r="AQ157" s="503"/>
      <c r="AR157" s="503"/>
      <c r="AS157" s="503"/>
      <c r="AT157" s="503"/>
      <c r="AU157" s="503"/>
      <c r="AV157" s="503"/>
      <c r="AW157" s="503"/>
      <c r="AX157" s="503"/>
      <c r="AY157" s="503"/>
      <c r="AZ157" s="503"/>
      <c r="BA157" s="503"/>
      <c r="BB157" s="503"/>
      <c r="BC157" s="503"/>
      <c r="BD157" s="503"/>
      <c r="BE157" s="503"/>
      <c r="BF157" s="503"/>
      <c r="BG157" s="503"/>
      <c r="BH157" s="503"/>
      <c r="BI157" s="503"/>
      <c r="BJ157" s="503"/>
      <c r="BK157" s="503"/>
      <c r="BL157" s="503"/>
      <c r="BM157" s="503"/>
      <c r="BN157" s="503"/>
      <c r="BO157" s="503"/>
      <c r="BP157" s="503"/>
      <c r="BQ157" s="503"/>
      <c r="BR157" s="503"/>
      <c r="BS157" s="503"/>
      <c r="BT157" s="503"/>
      <c r="BU157" s="503"/>
      <c r="BV157" s="503"/>
      <c r="BW157" s="503"/>
      <c r="BX157" s="503"/>
      <c r="BY157" s="503"/>
      <c r="BZ157" s="503"/>
      <c r="CA157" s="503"/>
      <c r="CB157" s="503"/>
      <c r="CC157" s="503"/>
      <c r="CD157" s="503"/>
      <c r="CE157" s="503"/>
      <c r="CF157" s="503"/>
    </row>
    <row r="158" spans="1:84">
      <c r="A158" s="503"/>
      <c r="B158" s="503"/>
      <c r="E158" s="503"/>
      <c r="F158" s="503"/>
      <c r="G158" s="503"/>
      <c r="H158" s="503"/>
      <c r="I158" s="503"/>
      <c r="J158" s="503"/>
      <c r="K158" s="503"/>
      <c r="L158" s="503"/>
      <c r="M158" s="503"/>
      <c r="N158" s="503"/>
      <c r="O158" s="503"/>
      <c r="P158" s="503"/>
      <c r="Q158" s="503"/>
      <c r="R158" s="503"/>
      <c r="S158" s="503"/>
      <c r="T158" s="503"/>
      <c r="U158" s="503"/>
      <c r="V158" s="503"/>
      <c r="W158" s="503"/>
      <c r="X158" s="503"/>
      <c r="Y158" s="503"/>
      <c r="Z158" s="503"/>
      <c r="AA158" s="503"/>
      <c r="AB158" s="503"/>
      <c r="AC158" s="503"/>
      <c r="AD158" s="503"/>
      <c r="AE158" s="503"/>
      <c r="AF158" s="503"/>
      <c r="AG158" s="503"/>
      <c r="AH158" s="503"/>
      <c r="AI158" s="503"/>
      <c r="AJ158" s="503"/>
      <c r="AK158" s="503"/>
      <c r="AL158" s="503"/>
      <c r="AM158" s="503"/>
      <c r="AN158" s="503"/>
      <c r="AO158" s="503"/>
      <c r="AP158" s="503"/>
      <c r="AQ158" s="503"/>
      <c r="AR158" s="503"/>
      <c r="AS158" s="503"/>
      <c r="AT158" s="503"/>
      <c r="AU158" s="503"/>
      <c r="AV158" s="503"/>
      <c r="AW158" s="503"/>
      <c r="AX158" s="503"/>
      <c r="AY158" s="503"/>
      <c r="AZ158" s="503"/>
      <c r="BA158" s="503"/>
      <c r="BB158" s="503"/>
      <c r="BC158" s="503"/>
      <c r="BD158" s="503"/>
      <c r="BE158" s="503"/>
      <c r="BF158" s="503"/>
      <c r="BG158" s="503"/>
      <c r="BH158" s="503"/>
      <c r="BI158" s="503"/>
      <c r="BJ158" s="503"/>
      <c r="BK158" s="503"/>
      <c r="BL158" s="503"/>
      <c r="BM158" s="503"/>
      <c r="BN158" s="503"/>
      <c r="BO158" s="503"/>
      <c r="BP158" s="503"/>
      <c r="BQ158" s="503"/>
      <c r="BR158" s="503"/>
      <c r="BS158" s="503"/>
      <c r="BT158" s="503"/>
      <c r="BU158" s="503"/>
      <c r="BV158" s="503"/>
      <c r="BW158" s="503"/>
      <c r="BX158" s="503"/>
      <c r="BY158" s="503"/>
      <c r="BZ158" s="503"/>
      <c r="CA158" s="503"/>
      <c r="CB158" s="503"/>
      <c r="CC158" s="503"/>
      <c r="CD158" s="503"/>
      <c r="CE158" s="503"/>
      <c r="CF158" s="503"/>
    </row>
    <row r="159" spans="1:84">
      <c r="A159" s="503"/>
      <c r="B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3"/>
      <c r="AA159" s="503"/>
      <c r="AB159" s="503"/>
      <c r="AC159" s="503"/>
      <c r="AD159" s="503"/>
      <c r="AE159" s="503"/>
      <c r="AF159" s="503"/>
      <c r="AG159" s="503"/>
      <c r="AH159" s="503"/>
      <c r="AI159" s="503"/>
      <c r="AJ159" s="503"/>
      <c r="AK159" s="503"/>
      <c r="AL159" s="503"/>
      <c r="AM159" s="503"/>
      <c r="AN159" s="503"/>
      <c r="AO159" s="503"/>
      <c r="AP159" s="503"/>
      <c r="AQ159" s="503"/>
      <c r="AR159" s="503"/>
      <c r="AS159" s="503"/>
      <c r="AT159" s="503"/>
      <c r="AU159" s="503"/>
      <c r="AV159" s="503"/>
      <c r="AW159" s="503"/>
      <c r="AX159" s="503"/>
      <c r="AY159" s="503"/>
      <c r="AZ159" s="503"/>
      <c r="BA159" s="503"/>
      <c r="BB159" s="503"/>
      <c r="BC159" s="503"/>
      <c r="BD159" s="503"/>
      <c r="BE159" s="503"/>
      <c r="BF159" s="503"/>
      <c r="BG159" s="503"/>
      <c r="BH159" s="503"/>
      <c r="BI159" s="503"/>
      <c r="BJ159" s="503"/>
      <c r="BK159" s="503"/>
      <c r="BL159" s="503"/>
      <c r="BM159" s="503"/>
      <c r="BN159" s="503"/>
      <c r="BO159" s="503"/>
      <c r="BP159" s="503"/>
      <c r="BQ159" s="503"/>
      <c r="BR159" s="503"/>
      <c r="BS159" s="503"/>
      <c r="BT159" s="503"/>
      <c r="BU159" s="503"/>
      <c r="BV159" s="503"/>
      <c r="BW159" s="503"/>
      <c r="BX159" s="503"/>
      <c r="BY159" s="503"/>
      <c r="BZ159" s="503"/>
      <c r="CA159" s="503"/>
      <c r="CB159" s="503"/>
      <c r="CC159" s="503"/>
      <c r="CD159" s="503"/>
      <c r="CE159" s="503"/>
      <c r="CF159" s="503"/>
    </row>
    <row r="160" spans="1:84">
      <c r="A160" s="503"/>
      <c r="B160" s="503"/>
      <c r="E160" s="503"/>
      <c r="F160" s="503"/>
      <c r="G160" s="503"/>
      <c r="H160" s="503"/>
      <c r="I160" s="503"/>
      <c r="J160" s="503"/>
      <c r="K160" s="503"/>
      <c r="L160" s="503"/>
      <c r="M160" s="503"/>
      <c r="N160" s="503"/>
      <c r="O160" s="503"/>
      <c r="P160" s="503"/>
      <c r="Q160" s="503"/>
      <c r="R160" s="503"/>
      <c r="S160" s="503"/>
      <c r="T160" s="503"/>
      <c r="U160" s="503"/>
      <c r="V160" s="503"/>
      <c r="W160" s="503"/>
      <c r="X160" s="503"/>
      <c r="Y160" s="503"/>
      <c r="Z160" s="503"/>
      <c r="AA160" s="503"/>
      <c r="AB160" s="503"/>
      <c r="AC160" s="503"/>
      <c r="AD160" s="503"/>
      <c r="AE160" s="503"/>
      <c r="AF160" s="503"/>
      <c r="AG160" s="503"/>
      <c r="AH160" s="503"/>
      <c r="AI160" s="503"/>
      <c r="AJ160" s="503"/>
      <c r="AK160" s="503"/>
      <c r="AL160" s="503"/>
      <c r="AM160" s="503"/>
      <c r="AN160" s="503"/>
      <c r="AO160" s="503"/>
      <c r="AP160" s="503"/>
      <c r="AQ160" s="503"/>
      <c r="AR160" s="503"/>
      <c r="AS160" s="503"/>
      <c r="AT160" s="503"/>
      <c r="AU160" s="503"/>
      <c r="AV160" s="503"/>
      <c r="AW160" s="503"/>
      <c r="AX160" s="503"/>
      <c r="AY160" s="503"/>
      <c r="AZ160" s="503"/>
      <c r="BA160" s="503"/>
      <c r="BB160" s="503"/>
      <c r="BC160" s="503"/>
      <c r="BD160" s="503"/>
      <c r="BE160" s="503"/>
      <c r="BF160" s="503"/>
      <c r="BG160" s="503"/>
      <c r="BH160" s="503"/>
      <c r="BI160" s="503"/>
      <c r="BJ160" s="503"/>
      <c r="BK160" s="503"/>
      <c r="BL160" s="503"/>
      <c r="BM160" s="503"/>
      <c r="BN160" s="503"/>
      <c r="BO160" s="503"/>
      <c r="BP160" s="503"/>
      <c r="BQ160" s="503"/>
      <c r="BR160" s="503"/>
      <c r="BS160" s="503"/>
      <c r="BT160" s="503"/>
      <c r="BU160" s="503"/>
      <c r="BV160" s="503"/>
      <c r="BW160" s="503"/>
      <c r="BX160" s="503"/>
      <c r="BY160" s="503"/>
      <c r="BZ160" s="503"/>
      <c r="CA160" s="503"/>
      <c r="CB160" s="503"/>
      <c r="CC160" s="503"/>
      <c r="CD160" s="503"/>
      <c r="CE160" s="503"/>
      <c r="CF160" s="503"/>
    </row>
    <row r="161" spans="1:84">
      <c r="A161" s="503"/>
      <c r="B161" s="503"/>
      <c r="E161" s="503"/>
      <c r="F161" s="503"/>
      <c r="G161" s="503"/>
      <c r="H161" s="503"/>
      <c r="I161" s="503"/>
      <c r="J161" s="503"/>
      <c r="K161" s="503"/>
      <c r="L161" s="503"/>
      <c r="M161" s="503"/>
      <c r="N161" s="503"/>
      <c r="O161" s="503"/>
      <c r="P161" s="503"/>
      <c r="Q161" s="503"/>
      <c r="R161" s="503"/>
      <c r="S161" s="503"/>
      <c r="T161" s="503"/>
      <c r="U161" s="503"/>
      <c r="V161" s="503"/>
      <c r="W161" s="503"/>
      <c r="X161" s="503"/>
      <c r="Y161" s="503"/>
      <c r="Z161" s="503"/>
      <c r="AA161" s="503"/>
      <c r="AB161" s="503"/>
      <c r="AC161" s="503"/>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503"/>
      <c r="AY161" s="503"/>
      <c r="AZ161" s="503"/>
      <c r="BA161" s="503"/>
      <c r="BB161" s="503"/>
      <c r="BC161" s="503"/>
      <c r="BD161" s="503"/>
      <c r="BE161" s="503"/>
      <c r="BF161" s="503"/>
      <c r="BG161" s="503"/>
      <c r="BH161" s="503"/>
      <c r="BI161" s="503"/>
      <c r="BJ161" s="503"/>
      <c r="BK161" s="503"/>
      <c r="BL161" s="503"/>
      <c r="BM161" s="503"/>
      <c r="BN161" s="503"/>
      <c r="BO161" s="503"/>
      <c r="BP161" s="503"/>
      <c r="BQ161" s="503"/>
      <c r="BR161" s="503"/>
      <c r="BS161" s="503"/>
      <c r="BT161" s="503"/>
      <c r="BU161" s="503"/>
      <c r="BV161" s="503"/>
      <c r="BW161" s="503"/>
      <c r="BX161" s="503"/>
      <c r="BY161" s="503"/>
      <c r="BZ161" s="503"/>
      <c r="CA161" s="503"/>
      <c r="CB161" s="503"/>
      <c r="CC161" s="503"/>
      <c r="CD161" s="503"/>
      <c r="CE161" s="503"/>
      <c r="CF161" s="503"/>
    </row>
    <row r="162" spans="1:84">
      <c r="A162" s="503"/>
      <c r="B162" s="503"/>
      <c r="E162" s="503"/>
      <c r="F162" s="503"/>
      <c r="G162" s="503"/>
      <c r="H162" s="503"/>
      <c r="I162" s="503"/>
      <c r="J162" s="503"/>
      <c r="K162" s="503"/>
      <c r="L162" s="503"/>
      <c r="M162" s="503"/>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3"/>
      <c r="AK162" s="503"/>
      <c r="AL162" s="503"/>
      <c r="AM162" s="503"/>
      <c r="AN162" s="503"/>
      <c r="AO162" s="503"/>
      <c r="AP162" s="503"/>
      <c r="AQ162" s="503"/>
      <c r="AR162" s="503"/>
      <c r="AS162" s="503"/>
      <c r="AT162" s="503"/>
      <c r="AU162" s="503"/>
      <c r="AV162" s="503"/>
      <c r="AW162" s="503"/>
      <c r="AX162" s="503"/>
      <c r="AY162" s="503"/>
      <c r="AZ162" s="503"/>
      <c r="BA162" s="503"/>
      <c r="BB162" s="503"/>
      <c r="BC162" s="503"/>
      <c r="BD162" s="503"/>
      <c r="BE162" s="503"/>
      <c r="BF162" s="503"/>
      <c r="BG162" s="503"/>
      <c r="BH162" s="503"/>
      <c r="BI162" s="503"/>
      <c r="BJ162" s="503"/>
      <c r="BK162" s="503"/>
      <c r="BL162" s="503"/>
      <c r="BM162" s="503"/>
      <c r="BN162" s="503"/>
      <c r="BO162" s="503"/>
      <c r="BP162" s="503"/>
      <c r="BQ162" s="503"/>
      <c r="BR162" s="503"/>
      <c r="BS162" s="503"/>
      <c r="BT162" s="503"/>
      <c r="BU162" s="503"/>
      <c r="BV162" s="503"/>
      <c r="BW162" s="503"/>
      <c r="BX162" s="503"/>
      <c r="BY162" s="503"/>
      <c r="BZ162" s="503"/>
      <c r="CA162" s="503"/>
      <c r="CB162" s="503"/>
      <c r="CC162" s="503"/>
      <c r="CD162" s="503"/>
      <c r="CE162" s="503"/>
      <c r="CF162" s="503"/>
    </row>
    <row r="163" spans="1:84">
      <c r="A163" s="503"/>
      <c r="B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3"/>
      <c r="AK163" s="503"/>
      <c r="AL163" s="503"/>
      <c r="AM163" s="503"/>
      <c r="AN163" s="503"/>
      <c r="AO163" s="503"/>
      <c r="AP163" s="503"/>
      <c r="AQ163" s="503"/>
      <c r="AR163" s="503"/>
      <c r="AS163" s="503"/>
      <c r="AT163" s="503"/>
      <c r="AU163" s="503"/>
      <c r="AV163" s="503"/>
      <c r="AW163" s="503"/>
      <c r="AX163" s="503"/>
      <c r="AY163" s="503"/>
      <c r="AZ163" s="503"/>
      <c r="BA163" s="503"/>
      <c r="BB163" s="503"/>
      <c r="BC163" s="503"/>
      <c r="BD163" s="503"/>
      <c r="BE163" s="503"/>
      <c r="BF163" s="503"/>
      <c r="BG163" s="503"/>
      <c r="BH163" s="503"/>
      <c r="BI163" s="503"/>
      <c r="BJ163" s="503"/>
      <c r="BK163" s="503"/>
      <c r="BL163" s="503"/>
      <c r="BM163" s="503"/>
      <c r="BN163" s="503"/>
      <c r="BO163" s="503"/>
      <c r="BP163" s="503"/>
      <c r="BQ163" s="503"/>
      <c r="BR163" s="503"/>
      <c r="BS163" s="503"/>
      <c r="BT163" s="503"/>
      <c r="BU163" s="503"/>
      <c r="BV163" s="503"/>
      <c r="BW163" s="503"/>
      <c r="BX163" s="503"/>
      <c r="BY163" s="503"/>
      <c r="BZ163" s="503"/>
      <c r="CA163" s="503"/>
      <c r="CB163" s="503"/>
      <c r="CC163" s="503"/>
      <c r="CD163" s="503"/>
      <c r="CE163" s="503"/>
      <c r="CF163" s="503"/>
    </row>
    <row r="164" spans="1:84">
      <c r="A164" s="503"/>
      <c r="B164" s="503"/>
      <c r="E164" s="503"/>
      <c r="F164" s="503"/>
      <c r="G164" s="503"/>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3"/>
      <c r="AI164" s="503"/>
      <c r="AJ164" s="503"/>
      <c r="AK164" s="503"/>
      <c r="AL164" s="503"/>
      <c r="AM164" s="503"/>
      <c r="AN164" s="503"/>
      <c r="AO164" s="503"/>
      <c r="AP164" s="503"/>
      <c r="AQ164" s="503"/>
      <c r="AR164" s="503"/>
      <c r="AS164" s="503"/>
      <c r="AT164" s="503"/>
      <c r="AU164" s="503"/>
      <c r="AV164" s="503"/>
      <c r="AW164" s="503"/>
      <c r="AX164" s="503"/>
      <c r="AY164" s="503"/>
      <c r="AZ164" s="503"/>
      <c r="BA164" s="503"/>
      <c r="BB164" s="503"/>
      <c r="BC164" s="503"/>
      <c r="BD164" s="503"/>
      <c r="BE164" s="503"/>
      <c r="BF164" s="503"/>
      <c r="BG164" s="503"/>
      <c r="BH164" s="503"/>
      <c r="BI164" s="503"/>
      <c r="BJ164" s="503"/>
      <c r="BK164" s="503"/>
      <c r="BL164" s="503"/>
      <c r="BM164" s="503"/>
      <c r="BN164" s="503"/>
      <c r="BO164" s="503"/>
      <c r="BP164" s="503"/>
      <c r="BQ164" s="503"/>
      <c r="BR164" s="503"/>
      <c r="BS164" s="503"/>
      <c r="BT164" s="503"/>
      <c r="BU164" s="503"/>
      <c r="BV164" s="503"/>
      <c r="BW164" s="503"/>
      <c r="BX164" s="503"/>
      <c r="BY164" s="503"/>
      <c r="BZ164" s="503"/>
      <c r="CA164" s="503"/>
      <c r="CB164" s="503"/>
      <c r="CC164" s="503"/>
      <c r="CD164" s="503"/>
      <c r="CE164" s="503"/>
      <c r="CF164" s="503"/>
    </row>
    <row r="165" spans="1:84">
      <c r="A165" s="503"/>
      <c r="B165" s="503"/>
      <c r="E165" s="503"/>
      <c r="F165" s="503"/>
      <c r="G165" s="503"/>
      <c r="H165" s="503"/>
      <c r="I165" s="503"/>
      <c r="J165" s="503"/>
      <c r="K165" s="503"/>
      <c r="L165" s="503"/>
      <c r="M165" s="503"/>
      <c r="N165" s="503"/>
      <c r="O165" s="503"/>
      <c r="P165" s="503"/>
      <c r="Q165" s="503"/>
      <c r="R165" s="503"/>
      <c r="S165" s="503"/>
      <c r="T165" s="503"/>
      <c r="U165" s="503"/>
      <c r="V165" s="503"/>
      <c r="W165" s="503"/>
      <c r="X165" s="503"/>
      <c r="Y165" s="503"/>
      <c r="Z165" s="503"/>
      <c r="AA165" s="503"/>
      <c r="AB165" s="503"/>
      <c r="AC165" s="503"/>
      <c r="AD165" s="503"/>
      <c r="AE165" s="503"/>
      <c r="AF165" s="503"/>
      <c r="AG165" s="503"/>
      <c r="AH165" s="503"/>
      <c r="AI165" s="503"/>
      <c r="AJ165" s="503"/>
      <c r="AK165" s="503"/>
      <c r="AL165" s="503"/>
      <c r="AM165" s="503"/>
      <c r="AN165" s="503"/>
      <c r="AO165" s="503"/>
      <c r="AP165" s="503"/>
      <c r="AQ165" s="503"/>
      <c r="AR165" s="503"/>
      <c r="AS165" s="503"/>
      <c r="AT165" s="503"/>
      <c r="AU165" s="503"/>
      <c r="AV165" s="503"/>
      <c r="AW165" s="503"/>
      <c r="AX165" s="503"/>
      <c r="AY165" s="503"/>
      <c r="AZ165" s="503"/>
      <c r="BA165" s="503"/>
      <c r="BB165" s="503"/>
      <c r="BC165" s="503"/>
      <c r="BD165" s="503"/>
      <c r="BE165" s="503"/>
      <c r="BF165" s="503"/>
      <c r="BG165" s="503"/>
      <c r="BH165" s="503"/>
      <c r="BI165" s="503"/>
      <c r="BJ165" s="503"/>
      <c r="BK165" s="503"/>
      <c r="BL165" s="503"/>
      <c r="BM165" s="503"/>
      <c r="BN165" s="503"/>
      <c r="BO165" s="503"/>
      <c r="BP165" s="503"/>
      <c r="BQ165" s="503"/>
      <c r="BR165" s="503"/>
      <c r="BS165" s="503"/>
      <c r="BT165" s="503"/>
      <c r="BU165" s="503"/>
      <c r="BV165" s="503"/>
      <c r="BW165" s="503"/>
      <c r="BX165" s="503"/>
      <c r="BY165" s="503"/>
      <c r="BZ165" s="503"/>
      <c r="CA165" s="503"/>
      <c r="CB165" s="503"/>
      <c r="CC165" s="503"/>
      <c r="CD165" s="503"/>
      <c r="CE165" s="503"/>
      <c r="CF165" s="503"/>
    </row>
    <row r="166" spans="1:84">
      <c r="A166" s="503"/>
      <c r="B166" s="503"/>
      <c r="E166" s="503"/>
      <c r="F166" s="503"/>
      <c r="G166" s="503"/>
      <c r="H166" s="503"/>
      <c r="I166" s="503"/>
      <c r="J166" s="503"/>
      <c r="K166" s="503"/>
      <c r="L166" s="503"/>
      <c r="M166" s="503"/>
      <c r="N166" s="503"/>
      <c r="O166" s="503"/>
      <c r="P166" s="503"/>
      <c r="Q166" s="503"/>
      <c r="R166" s="503"/>
      <c r="S166" s="503"/>
      <c r="T166" s="503"/>
      <c r="U166" s="503"/>
      <c r="V166" s="503"/>
      <c r="W166" s="503"/>
      <c r="X166" s="503"/>
      <c r="Y166" s="503"/>
      <c r="Z166" s="503"/>
      <c r="AA166" s="503"/>
      <c r="AB166" s="503"/>
      <c r="AC166" s="503"/>
      <c r="AD166" s="503"/>
      <c r="AE166" s="503"/>
      <c r="AF166" s="503"/>
      <c r="AG166" s="503"/>
      <c r="AH166" s="503"/>
      <c r="AI166" s="503"/>
      <c r="AJ166" s="503"/>
      <c r="AK166" s="503"/>
      <c r="AL166" s="503"/>
      <c r="AM166" s="503"/>
      <c r="AN166" s="503"/>
      <c r="AO166" s="503"/>
      <c r="AP166" s="503"/>
      <c r="AQ166" s="503"/>
      <c r="AR166" s="503"/>
      <c r="AS166" s="503"/>
      <c r="AT166" s="503"/>
      <c r="AU166" s="503"/>
      <c r="AV166" s="503"/>
      <c r="AW166" s="503"/>
      <c r="AX166" s="503"/>
      <c r="AY166" s="503"/>
      <c r="AZ166" s="503"/>
      <c r="BA166" s="503"/>
      <c r="BB166" s="503"/>
      <c r="BC166" s="503"/>
      <c r="BD166" s="503"/>
      <c r="BE166" s="503"/>
      <c r="BF166" s="503"/>
      <c r="BG166" s="503"/>
      <c r="BH166" s="503"/>
      <c r="BI166" s="503"/>
      <c r="BJ166" s="503"/>
      <c r="BK166" s="503"/>
      <c r="BL166" s="503"/>
      <c r="BM166" s="503"/>
      <c r="BN166" s="503"/>
      <c r="BO166" s="503"/>
      <c r="BP166" s="503"/>
      <c r="BQ166" s="503"/>
      <c r="BR166" s="503"/>
      <c r="BS166" s="503"/>
      <c r="BT166" s="503"/>
      <c r="BU166" s="503"/>
      <c r="BV166" s="503"/>
      <c r="BW166" s="503"/>
      <c r="BX166" s="503"/>
      <c r="BY166" s="503"/>
      <c r="BZ166" s="503"/>
      <c r="CA166" s="503"/>
      <c r="CB166" s="503"/>
      <c r="CC166" s="503"/>
      <c r="CD166" s="503"/>
      <c r="CE166" s="503"/>
      <c r="CF166" s="503"/>
    </row>
    <row r="167" spans="1:84">
      <c r="A167" s="503"/>
      <c r="B167" s="503"/>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3"/>
      <c r="AC167" s="503"/>
      <c r="AD167" s="503"/>
      <c r="AE167" s="503"/>
      <c r="AF167" s="503"/>
      <c r="AG167" s="503"/>
      <c r="AH167" s="503"/>
      <c r="AI167" s="503"/>
      <c r="AJ167" s="503"/>
      <c r="AK167" s="503"/>
      <c r="AL167" s="503"/>
      <c r="AM167" s="503"/>
      <c r="AN167" s="503"/>
      <c r="AO167" s="503"/>
      <c r="AP167" s="503"/>
      <c r="AQ167" s="503"/>
      <c r="AR167" s="503"/>
      <c r="AS167" s="503"/>
      <c r="AT167" s="503"/>
      <c r="AU167" s="503"/>
      <c r="AV167" s="503"/>
      <c r="AW167" s="503"/>
      <c r="AX167" s="503"/>
      <c r="AY167" s="503"/>
      <c r="AZ167" s="503"/>
      <c r="BA167" s="503"/>
      <c r="BB167" s="503"/>
      <c r="BC167" s="503"/>
      <c r="BD167" s="503"/>
      <c r="BE167" s="503"/>
      <c r="BF167" s="503"/>
      <c r="BG167" s="503"/>
      <c r="BH167" s="503"/>
      <c r="BI167" s="503"/>
      <c r="BJ167" s="503"/>
      <c r="BK167" s="503"/>
      <c r="BL167" s="503"/>
      <c r="BM167" s="503"/>
      <c r="BN167" s="503"/>
      <c r="BO167" s="503"/>
      <c r="BP167" s="503"/>
      <c r="BQ167" s="503"/>
      <c r="BR167" s="503"/>
      <c r="BS167" s="503"/>
      <c r="BT167" s="503"/>
      <c r="BU167" s="503"/>
      <c r="BV167" s="503"/>
      <c r="BW167" s="503"/>
      <c r="BX167" s="503"/>
      <c r="BY167" s="503"/>
      <c r="BZ167" s="503"/>
      <c r="CA167" s="503"/>
      <c r="CB167" s="503"/>
      <c r="CC167" s="503"/>
      <c r="CD167" s="503"/>
      <c r="CE167" s="503"/>
      <c r="CF167" s="503"/>
    </row>
    <row r="168" spans="1:84">
      <c r="A168" s="503"/>
      <c r="B168" s="503"/>
      <c r="E168" s="503"/>
      <c r="F168" s="503"/>
      <c r="G168" s="503"/>
      <c r="H168" s="503"/>
      <c r="I168" s="503"/>
      <c r="J168" s="503"/>
      <c r="K168" s="503"/>
      <c r="L168" s="503"/>
      <c r="M168" s="503"/>
      <c r="N168" s="503"/>
      <c r="O168" s="503"/>
      <c r="P168" s="503"/>
      <c r="Q168" s="503"/>
      <c r="R168" s="503"/>
      <c r="S168" s="503"/>
      <c r="T168" s="503"/>
      <c r="U168" s="503"/>
      <c r="V168" s="503"/>
      <c r="W168" s="503"/>
      <c r="X168" s="503"/>
      <c r="Y168" s="503"/>
      <c r="Z168" s="503"/>
      <c r="AA168" s="503"/>
      <c r="AB168" s="503"/>
      <c r="AC168" s="503"/>
      <c r="AD168" s="503"/>
      <c r="AE168" s="503"/>
      <c r="AF168" s="503"/>
      <c r="AG168" s="503"/>
      <c r="AH168" s="503"/>
      <c r="AI168" s="503"/>
      <c r="AJ168" s="503"/>
      <c r="AK168" s="503"/>
      <c r="AL168" s="503"/>
      <c r="AM168" s="503"/>
      <c r="AN168" s="503"/>
      <c r="AO168" s="503"/>
      <c r="AP168" s="503"/>
      <c r="AQ168" s="503"/>
      <c r="AR168" s="503"/>
      <c r="AS168" s="503"/>
      <c r="AT168" s="503"/>
      <c r="AU168" s="503"/>
      <c r="AV168" s="503"/>
      <c r="AW168" s="503"/>
      <c r="AX168" s="503"/>
      <c r="AY168" s="503"/>
      <c r="AZ168" s="503"/>
      <c r="BA168" s="503"/>
      <c r="BB168" s="503"/>
      <c r="BC168" s="503"/>
      <c r="BD168" s="503"/>
      <c r="BE168" s="503"/>
      <c r="BF168" s="503"/>
      <c r="BG168" s="503"/>
      <c r="BH168" s="503"/>
      <c r="BI168" s="503"/>
      <c r="BJ168" s="503"/>
      <c r="BK168" s="503"/>
      <c r="BL168" s="503"/>
      <c r="BM168" s="503"/>
      <c r="BN168" s="503"/>
      <c r="BO168" s="503"/>
      <c r="BP168" s="503"/>
      <c r="BQ168" s="503"/>
      <c r="BR168" s="503"/>
      <c r="BS168" s="503"/>
      <c r="BT168" s="503"/>
      <c r="BU168" s="503"/>
      <c r="BV168" s="503"/>
      <c r="BW168" s="503"/>
      <c r="BX168" s="503"/>
      <c r="BY168" s="503"/>
      <c r="BZ168" s="503"/>
      <c r="CA168" s="503"/>
      <c r="CB168" s="503"/>
      <c r="CC168" s="503"/>
      <c r="CD168" s="503"/>
      <c r="CE168" s="503"/>
      <c r="CF168" s="503"/>
    </row>
    <row r="169" spans="1:84">
      <c r="A169" s="503"/>
      <c r="B169" s="503"/>
      <c r="E169" s="503"/>
      <c r="F169" s="503"/>
      <c r="G169" s="503"/>
      <c r="H169" s="503"/>
      <c r="I169" s="503"/>
      <c r="J169" s="503"/>
      <c r="K169" s="503"/>
      <c r="L169" s="503"/>
      <c r="M169" s="503"/>
      <c r="N169" s="503"/>
      <c r="O169" s="503"/>
      <c r="P169" s="503"/>
      <c r="Q169" s="503"/>
      <c r="R169" s="503"/>
      <c r="S169" s="503"/>
      <c r="T169" s="503"/>
      <c r="U169" s="503"/>
      <c r="V169" s="503"/>
      <c r="W169" s="503"/>
      <c r="X169" s="503"/>
      <c r="Y169" s="503"/>
      <c r="Z169" s="503"/>
      <c r="AA169" s="503"/>
      <c r="AB169" s="503"/>
      <c r="AC169" s="503"/>
      <c r="AD169" s="503"/>
      <c r="AE169" s="503"/>
      <c r="AF169" s="503"/>
      <c r="AG169" s="503"/>
      <c r="AH169" s="503"/>
      <c r="AI169" s="503"/>
      <c r="AJ169" s="503"/>
      <c r="AK169" s="503"/>
      <c r="AL169" s="503"/>
      <c r="AM169" s="503"/>
      <c r="AN169" s="503"/>
      <c r="AO169" s="503"/>
      <c r="AP169" s="503"/>
      <c r="AQ169" s="503"/>
      <c r="AR169" s="503"/>
      <c r="AS169" s="503"/>
      <c r="AT169" s="503"/>
      <c r="AU169" s="503"/>
      <c r="AV169" s="503"/>
      <c r="AW169" s="503"/>
      <c r="AX169" s="503"/>
      <c r="AY169" s="503"/>
      <c r="AZ169" s="503"/>
      <c r="BA169" s="503"/>
      <c r="BB169" s="503"/>
      <c r="BC169" s="503"/>
      <c r="BD169" s="503"/>
      <c r="BE169" s="503"/>
      <c r="BF169" s="503"/>
      <c r="BG169" s="503"/>
      <c r="BH169" s="503"/>
      <c r="BI169" s="503"/>
      <c r="BJ169" s="503"/>
      <c r="BK169" s="503"/>
      <c r="BL169" s="503"/>
      <c r="BM169" s="503"/>
      <c r="BN169" s="503"/>
      <c r="BO169" s="503"/>
      <c r="BP169" s="503"/>
      <c r="BQ169" s="503"/>
      <c r="BR169" s="503"/>
      <c r="BS169" s="503"/>
      <c r="BT169" s="503"/>
      <c r="BU169" s="503"/>
      <c r="BV169" s="503"/>
      <c r="BW169" s="503"/>
      <c r="BX169" s="503"/>
      <c r="BY169" s="503"/>
      <c r="BZ169" s="503"/>
      <c r="CA169" s="503"/>
      <c r="CB169" s="503"/>
      <c r="CC169" s="503"/>
      <c r="CD169" s="503"/>
      <c r="CE169" s="503"/>
      <c r="CF169" s="503"/>
    </row>
    <row r="170" spans="1:84">
      <c r="A170" s="503"/>
      <c r="B170" s="503"/>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503"/>
      <c r="AN170" s="503"/>
      <c r="AO170" s="503"/>
      <c r="AP170" s="503"/>
      <c r="AQ170" s="503"/>
      <c r="AR170" s="503"/>
      <c r="AS170" s="503"/>
      <c r="AT170" s="503"/>
      <c r="AU170" s="503"/>
      <c r="AV170" s="503"/>
      <c r="AW170" s="503"/>
      <c r="AX170" s="503"/>
      <c r="AY170" s="503"/>
      <c r="AZ170" s="503"/>
      <c r="BA170" s="503"/>
      <c r="BB170" s="503"/>
      <c r="BC170" s="503"/>
      <c r="BD170" s="503"/>
      <c r="BE170" s="503"/>
      <c r="BF170" s="503"/>
      <c r="BG170" s="503"/>
      <c r="BH170" s="503"/>
      <c r="BI170" s="503"/>
      <c r="BJ170" s="503"/>
      <c r="BK170" s="503"/>
      <c r="BL170" s="503"/>
      <c r="BM170" s="503"/>
      <c r="BN170" s="503"/>
      <c r="BO170" s="503"/>
      <c r="BP170" s="503"/>
      <c r="BQ170" s="503"/>
      <c r="BR170" s="503"/>
      <c r="BS170" s="503"/>
      <c r="BT170" s="503"/>
      <c r="BU170" s="503"/>
      <c r="BV170" s="503"/>
      <c r="BW170" s="503"/>
      <c r="BX170" s="503"/>
      <c r="BY170" s="503"/>
      <c r="BZ170" s="503"/>
      <c r="CA170" s="503"/>
      <c r="CB170" s="503"/>
      <c r="CC170" s="503"/>
      <c r="CD170" s="503"/>
      <c r="CE170" s="503"/>
      <c r="CF170" s="503"/>
    </row>
    <row r="171" spans="1:84">
      <c r="A171" s="503"/>
      <c r="B171" s="503"/>
      <c r="C171" s="503"/>
      <c r="D171" s="503"/>
      <c r="E171" s="503"/>
      <c r="F171" s="503"/>
      <c r="G171" s="503"/>
      <c r="H171" s="503"/>
      <c r="I171" s="503"/>
      <c r="J171" s="503"/>
      <c r="K171" s="503"/>
      <c r="L171" s="503"/>
      <c r="M171" s="503"/>
      <c r="N171" s="503"/>
      <c r="O171" s="503"/>
      <c r="P171" s="503"/>
      <c r="Q171" s="503"/>
      <c r="R171" s="503"/>
      <c r="S171" s="503"/>
      <c r="T171" s="503"/>
      <c r="U171" s="503"/>
      <c r="V171" s="503"/>
      <c r="W171" s="503"/>
      <c r="X171" s="503"/>
      <c r="Y171" s="503"/>
      <c r="Z171" s="503"/>
      <c r="AA171" s="503"/>
      <c r="AB171" s="503"/>
      <c r="AC171" s="503"/>
      <c r="AD171" s="503"/>
      <c r="AE171" s="503"/>
      <c r="AF171" s="503"/>
      <c r="AG171" s="503"/>
      <c r="AH171" s="503"/>
      <c r="AI171" s="503"/>
      <c r="AJ171" s="503"/>
      <c r="AK171" s="503"/>
      <c r="AL171" s="503"/>
      <c r="AM171" s="503"/>
      <c r="AN171" s="503"/>
      <c r="AO171" s="503"/>
      <c r="AP171" s="503"/>
      <c r="AQ171" s="503"/>
      <c r="AR171" s="503"/>
      <c r="AS171" s="503"/>
      <c r="AT171" s="503"/>
      <c r="AU171" s="503"/>
      <c r="AV171" s="503"/>
      <c r="AW171" s="503"/>
      <c r="AX171" s="503"/>
      <c r="AY171" s="503"/>
      <c r="AZ171" s="503"/>
      <c r="BA171" s="503"/>
      <c r="BB171" s="503"/>
      <c r="BC171" s="503"/>
      <c r="BD171" s="503"/>
      <c r="BE171" s="503"/>
      <c r="BF171" s="503"/>
      <c r="BG171" s="503"/>
      <c r="BH171" s="503"/>
      <c r="BI171" s="503"/>
      <c r="BJ171" s="503"/>
      <c r="BK171" s="503"/>
      <c r="BL171" s="503"/>
      <c r="BM171" s="503"/>
      <c r="BN171" s="503"/>
      <c r="BO171" s="503"/>
      <c r="BP171" s="503"/>
      <c r="BQ171" s="503"/>
      <c r="BR171" s="503"/>
      <c r="BS171" s="503"/>
      <c r="BT171" s="503"/>
      <c r="BU171" s="503"/>
      <c r="BV171" s="503"/>
      <c r="BW171" s="503"/>
      <c r="BX171" s="503"/>
      <c r="BY171" s="503"/>
      <c r="BZ171" s="503"/>
      <c r="CA171" s="503"/>
      <c r="CB171" s="503"/>
      <c r="CC171" s="503"/>
      <c r="CD171" s="503"/>
      <c r="CE171" s="503"/>
      <c r="CF171" s="503"/>
    </row>
    <row r="172" spans="1:84" ht="15.4" customHeight="1">
      <c r="A172" s="503"/>
      <c r="B172" s="503"/>
      <c r="C172" s="503"/>
      <c r="D172" s="503"/>
      <c r="E172" s="503"/>
      <c r="F172" s="503"/>
      <c r="G172" s="503"/>
      <c r="H172" s="503"/>
      <c r="I172" s="503"/>
      <c r="J172" s="503"/>
      <c r="K172" s="503"/>
      <c r="L172" s="503"/>
      <c r="M172" s="503"/>
      <c r="N172" s="503"/>
      <c r="O172" s="503"/>
      <c r="P172" s="503"/>
      <c r="Q172" s="503"/>
      <c r="R172" s="503"/>
      <c r="S172" s="503"/>
      <c r="T172" s="503"/>
      <c r="U172" s="503"/>
      <c r="V172" s="503"/>
      <c r="W172" s="503"/>
      <c r="X172" s="503"/>
      <c r="Y172" s="503"/>
      <c r="Z172" s="503"/>
      <c r="AA172" s="503"/>
      <c r="AB172" s="503"/>
      <c r="AC172" s="503"/>
      <c r="AD172" s="503"/>
      <c r="AE172" s="503"/>
      <c r="AF172" s="503"/>
      <c r="AG172" s="503"/>
      <c r="AH172" s="503"/>
      <c r="AI172" s="503"/>
      <c r="AJ172" s="503"/>
      <c r="AK172" s="503"/>
      <c r="AL172" s="503"/>
      <c r="AM172" s="503"/>
      <c r="AN172" s="503"/>
      <c r="AO172" s="503"/>
      <c r="AP172" s="503"/>
      <c r="AQ172" s="503"/>
      <c r="AR172" s="503"/>
      <c r="AS172" s="503"/>
      <c r="AT172" s="503"/>
      <c r="AU172" s="503"/>
      <c r="AV172" s="503"/>
      <c r="AW172" s="503"/>
      <c r="AX172" s="503"/>
      <c r="AY172" s="503"/>
      <c r="AZ172" s="503"/>
      <c r="BA172" s="503"/>
      <c r="BB172" s="503"/>
      <c r="BC172" s="503"/>
      <c r="BD172" s="503"/>
      <c r="BE172" s="503"/>
      <c r="BF172" s="503"/>
      <c r="BG172" s="503"/>
      <c r="BH172" s="503"/>
      <c r="BI172" s="503"/>
      <c r="BJ172" s="503"/>
      <c r="BK172" s="503"/>
      <c r="BL172" s="503"/>
      <c r="BM172" s="503"/>
      <c r="BN172" s="503"/>
      <c r="BO172" s="503"/>
      <c r="BP172" s="503"/>
      <c r="BQ172" s="503"/>
      <c r="BR172" s="503"/>
      <c r="BS172" s="503"/>
      <c r="BT172" s="503"/>
      <c r="BU172" s="503"/>
      <c r="BV172" s="503"/>
      <c r="BW172" s="503"/>
      <c r="BX172" s="503"/>
      <c r="BY172" s="503"/>
      <c r="BZ172" s="503"/>
      <c r="CA172" s="503"/>
      <c r="CB172" s="503"/>
      <c r="CC172" s="503"/>
      <c r="CD172" s="503"/>
      <c r="CE172" s="503"/>
      <c r="CF172" s="503"/>
    </row>
    <row r="173" spans="1:84">
      <c r="A173" s="503"/>
      <c r="B173" s="503"/>
      <c r="C173" s="503"/>
      <c r="D173" s="503"/>
      <c r="E173" s="503"/>
      <c r="F173" s="503"/>
      <c r="G173" s="503"/>
      <c r="H173" s="503"/>
      <c r="I173" s="503"/>
      <c r="J173" s="503"/>
      <c r="K173" s="503"/>
      <c r="L173" s="503"/>
      <c r="M173" s="503"/>
      <c r="N173" s="503"/>
      <c r="O173" s="503"/>
      <c r="P173" s="503"/>
      <c r="Q173" s="503"/>
      <c r="R173" s="503"/>
      <c r="S173" s="503"/>
      <c r="T173" s="503"/>
      <c r="U173" s="503"/>
      <c r="V173" s="503"/>
      <c r="W173" s="503"/>
      <c r="X173" s="503"/>
      <c r="Y173" s="503"/>
      <c r="Z173" s="503"/>
      <c r="AA173" s="503"/>
      <c r="AB173" s="503"/>
      <c r="AC173" s="503"/>
      <c r="AD173" s="503"/>
      <c r="AE173" s="503"/>
      <c r="AF173" s="503"/>
      <c r="AG173" s="503"/>
      <c r="AH173" s="503"/>
      <c r="AI173" s="503"/>
      <c r="AJ173" s="503"/>
      <c r="AK173" s="503"/>
      <c r="AL173" s="503"/>
      <c r="AM173" s="503"/>
      <c r="AN173" s="503"/>
      <c r="AO173" s="503"/>
      <c r="AP173" s="503"/>
      <c r="AQ173" s="503"/>
      <c r="AR173" s="503"/>
      <c r="AS173" s="503"/>
      <c r="AT173" s="503"/>
      <c r="AU173" s="503"/>
      <c r="AV173" s="503"/>
      <c r="AW173" s="503"/>
      <c r="AX173" s="503"/>
      <c r="AY173" s="503"/>
      <c r="AZ173" s="503"/>
      <c r="BA173" s="503"/>
      <c r="BB173" s="503"/>
      <c r="BC173" s="503"/>
      <c r="BD173" s="503"/>
      <c r="BE173" s="503"/>
      <c r="BF173" s="503"/>
      <c r="BG173" s="503"/>
      <c r="BH173" s="503"/>
      <c r="BI173" s="503"/>
      <c r="BJ173" s="503"/>
      <c r="BK173" s="503"/>
      <c r="BL173" s="503"/>
      <c r="BM173" s="503"/>
      <c r="BN173" s="503"/>
      <c r="BO173" s="503"/>
      <c r="BP173" s="503"/>
      <c r="BQ173" s="503"/>
      <c r="BR173" s="503"/>
      <c r="BS173" s="503"/>
      <c r="BT173" s="503"/>
      <c r="BU173" s="503"/>
      <c r="BV173" s="503"/>
      <c r="BW173" s="503"/>
      <c r="BX173" s="503"/>
      <c r="BY173" s="503"/>
      <c r="BZ173" s="503"/>
      <c r="CA173" s="503"/>
      <c r="CB173" s="503"/>
      <c r="CC173" s="503"/>
      <c r="CD173" s="503"/>
      <c r="CE173" s="503"/>
      <c r="CF173" s="503"/>
    </row>
    <row r="174" spans="1:84">
      <c r="A174" s="503"/>
      <c r="B174" s="503"/>
      <c r="C174" s="503"/>
      <c r="D174" s="503"/>
      <c r="E174" s="503"/>
      <c r="F174" s="503"/>
      <c r="G174" s="503"/>
      <c r="H174" s="503"/>
      <c r="I174" s="503"/>
      <c r="J174" s="503"/>
      <c r="K174" s="503"/>
      <c r="L174" s="503"/>
      <c r="M174" s="503"/>
      <c r="N174" s="503"/>
      <c r="O174" s="503"/>
      <c r="P174" s="503"/>
      <c r="Q174" s="503"/>
      <c r="R174" s="503"/>
      <c r="S174" s="503"/>
      <c r="T174" s="503"/>
      <c r="U174" s="503"/>
      <c r="V174" s="503"/>
      <c r="W174" s="503"/>
      <c r="X174" s="503"/>
      <c r="Y174" s="503"/>
      <c r="Z174" s="503"/>
      <c r="AA174" s="503"/>
      <c r="AB174" s="503"/>
      <c r="AC174" s="503"/>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503"/>
      <c r="AY174" s="503"/>
      <c r="AZ174" s="503"/>
      <c r="BA174" s="503"/>
      <c r="BB174" s="503"/>
      <c r="BC174" s="503"/>
      <c r="BD174" s="503"/>
      <c r="BE174" s="503"/>
      <c r="BF174" s="503"/>
      <c r="BG174" s="503"/>
      <c r="BH174" s="503"/>
      <c r="BI174" s="503"/>
      <c r="BJ174" s="503"/>
      <c r="BK174" s="503"/>
      <c r="BL174" s="503"/>
      <c r="BM174" s="503"/>
      <c r="BN174" s="503"/>
      <c r="BO174" s="503"/>
      <c r="BP174" s="503"/>
      <c r="BQ174" s="503"/>
      <c r="BR174" s="503"/>
      <c r="BS174" s="503"/>
      <c r="BT174" s="503"/>
      <c r="BU174" s="503"/>
      <c r="BV174" s="503"/>
      <c r="BW174" s="503"/>
      <c r="BX174" s="503"/>
      <c r="BY174" s="503"/>
      <c r="BZ174" s="503"/>
      <c r="CA174" s="503"/>
      <c r="CB174" s="503"/>
      <c r="CC174" s="503"/>
      <c r="CD174" s="503"/>
      <c r="CE174" s="503"/>
      <c r="CF174" s="503"/>
    </row>
    <row r="175" spans="1:84">
      <c r="A175" s="503"/>
      <c r="B175" s="503"/>
      <c r="C175" s="503"/>
      <c r="D175" s="503"/>
      <c r="E175" s="503"/>
      <c r="F175" s="503"/>
      <c r="G175" s="503"/>
      <c r="H175" s="503"/>
      <c r="I175" s="503"/>
      <c r="J175" s="503"/>
      <c r="K175" s="503"/>
      <c r="L175" s="503"/>
      <c r="M175" s="503"/>
      <c r="N175" s="503"/>
      <c r="O175" s="503"/>
      <c r="P175" s="503"/>
      <c r="Q175" s="503"/>
      <c r="R175" s="503"/>
      <c r="S175" s="503"/>
      <c r="T175" s="503"/>
      <c r="U175" s="503"/>
      <c r="V175" s="503"/>
      <c r="W175" s="503"/>
      <c r="X175" s="503"/>
      <c r="Y175" s="503"/>
      <c r="Z175" s="503"/>
      <c r="AA175" s="503"/>
      <c r="AB175" s="503"/>
      <c r="AC175" s="503"/>
      <c r="AD175" s="503"/>
      <c r="AE175" s="503"/>
      <c r="AF175" s="503"/>
      <c r="AG175" s="503"/>
      <c r="AH175" s="503"/>
      <c r="AI175" s="503"/>
      <c r="AJ175" s="503"/>
      <c r="AK175" s="503"/>
      <c r="AL175" s="503"/>
      <c r="AM175" s="503"/>
      <c r="AN175" s="503"/>
      <c r="AO175" s="503"/>
      <c r="AP175" s="503"/>
      <c r="AQ175" s="503"/>
      <c r="AR175" s="503"/>
      <c r="AS175" s="503"/>
      <c r="AT175" s="503"/>
      <c r="AU175" s="503"/>
      <c r="AV175" s="503"/>
      <c r="AW175" s="503"/>
      <c r="AX175" s="503"/>
      <c r="AY175" s="503"/>
      <c r="AZ175" s="503"/>
      <c r="BA175" s="503"/>
      <c r="BB175" s="503"/>
      <c r="BC175" s="503"/>
      <c r="BD175" s="503"/>
      <c r="BE175" s="503"/>
      <c r="BF175" s="503"/>
      <c r="BG175" s="503"/>
      <c r="BH175" s="503"/>
      <c r="BI175" s="503"/>
      <c r="BJ175" s="503"/>
      <c r="BK175" s="503"/>
      <c r="BL175" s="503"/>
      <c r="BM175" s="503"/>
      <c r="BN175" s="503"/>
      <c r="BO175" s="503"/>
      <c r="BP175" s="503"/>
      <c r="BQ175" s="503"/>
      <c r="BR175" s="503"/>
      <c r="BS175" s="503"/>
      <c r="BT175" s="503"/>
      <c r="BU175" s="503"/>
      <c r="BV175" s="503"/>
      <c r="BW175" s="503"/>
      <c r="BX175" s="503"/>
      <c r="BY175" s="503"/>
      <c r="BZ175" s="503"/>
      <c r="CA175" s="503"/>
      <c r="CB175" s="503"/>
      <c r="CC175" s="503"/>
      <c r="CD175" s="503"/>
      <c r="CE175" s="503"/>
      <c r="CF175" s="503"/>
    </row>
    <row r="176" spans="1:84">
      <c r="A176" s="503"/>
      <c r="B176" s="503"/>
      <c r="C176" s="503"/>
      <c r="D176" s="503"/>
      <c r="E176" s="503"/>
      <c r="F176" s="503"/>
      <c r="G176" s="503"/>
      <c r="H176" s="503"/>
      <c r="I176" s="503"/>
      <c r="J176" s="503"/>
      <c r="K176" s="503"/>
      <c r="L176" s="503"/>
      <c r="M176" s="503"/>
      <c r="N176" s="503"/>
      <c r="O176" s="503"/>
      <c r="P176" s="503"/>
      <c r="Q176" s="503"/>
      <c r="R176" s="503"/>
      <c r="S176" s="503"/>
      <c r="T176" s="503"/>
      <c r="U176" s="503"/>
      <c r="V176" s="503"/>
      <c r="W176" s="503"/>
      <c r="X176" s="503"/>
      <c r="Y176" s="503"/>
      <c r="Z176" s="503"/>
      <c r="AA176" s="503"/>
      <c r="AB176" s="503"/>
      <c r="AC176" s="503"/>
      <c r="AD176" s="503"/>
      <c r="AE176" s="503"/>
      <c r="AF176" s="503"/>
      <c r="AG176" s="503"/>
      <c r="AH176" s="503"/>
      <c r="AI176" s="503"/>
      <c r="AJ176" s="503"/>
      <c r="AK176" s="503"/>
      <c r="AL176" s="503"/>
      <c r="AM176" s="503"/>
      <c r="AN176" s="503"/>
      <c r="AO176" s="503"/>
      <c r="AP176" s="503"/>
      <c r="AQ176" s="503"/>
      <c r="AR176" s="503"/>
      <c r="AS176" s="503"/>
      <c r="AT176" s="503"/>
      <c r="AU176" s="503"/>
      <c r="AV176" s="503"/>
      <c r="AW176" s="503"/>
      <c r="AX176" s="503"/>
      <c r="AY176" s="503"/>
      <c r="AZ176" s="503"/>
      <c r="BA176" s="503"/>
      <c r="BB176" s="503"/>
      <c r="BC176" s="503"/>
      <c r="BD176" s="503"/>
      <c r="BE176" s="503"/>
      <c r="BF176" s="503"/>
      <c r="BG176" s="503"/>
      <c r="BH176" s="503"/>
      <c r="BI176" s="503"/>
      <c r="BJ176" s="503"/>
      <c r="BK176" s="503"/>
      <c r="BL176" s="503"/>
      <c r="BM176" s="503"/>
      <c r="BN176" s="503"/>
      <c r="BO176" s="503"/>
      <c r="BP176" s="503"/>
      <c r="BQ176" s="503"/>
      <c r="BR176" s="503"/>
      <c r="BS176" s="503"/>
      <c r="BT176" s="503"/>
      <c r="BU176" s="503"/>
      <c r="BV176" s="503"/>
      <c r="BW176" s="503"/>
      <c r="BX176" s="503"/>
      <c r="BY176" s="503"/>
      <c r="BZ176" s="503"/>
      <c r="CA176" s="503"/>
      <c r="CB176" s="503"/>
      <c r="CC176" s="503"/>
      <c r="CD176" s="503"/>
      <c r="CE176" s="503"/>
      <c r="CF176" s="503"/>
    </row>
    <row r="177" spans="1:84">
      <c r="A177" s="503"/>
      <c r="B177" s="503"/>
      <c r="C177" s="503"/>
      <c r="D177" s="503"/>
      <c r="E177" s="503"/>
      <c r="F177" s="503"/>
      <c r="G177" s="503"/>
      <c r="H177" s="503"/>
      <c r="I177" s="503"/>
      <c r="J177" s="503"/>
      <c r="K177" s="503"/>
      <c r="L177" s="503"/>
      <c r="M177" s="503"/>
      <c r="N177" s="503"/>
      <c r="O177" s="503"/>
      <c r="P177" s="503"/>
      <c r="Q177" s="503"/>
      <c r="R177" s="503"/>
      <c r="S177" s="503"/>
      <c r="T177" s="503"/>
      <c r="U177" s="503"/>
      <c r="V177" s="503"/>
      <c r="W177" s="503"/>
      <c r="X177" s="503"/>
      <c r="Y177" s="503"/>
      <c r="Z177" s="503"/>
      <c r="AA177" s="503"/>
      <c r="AB177" s="503"/>
      <c r="AC177" s="503"/>
      <c r="AD177" s="503"/>
      <c r="AE177" s="503"/>
      <c r="AF177" s="503"/>
      <c r="AG177" s="503"/>
      <c r="AH177" s="503"/>
      <c r="AI177" s="503"/>
      <c r="AJ177" s="503"/>
      <c r="AK177" s="503"/>
      <c r="AL177" s="503"/>
      <c r="AM177" s="503"/>
      <c r="AN177" s="503"/>
      <c r="AO177" s="503"/>
      <c r="AP177" s="503"/>
      <c r="AQ177" s="503"/>
      <c r="AR177" s="503"/>
      <c r="AS177" s="503"/>
      <c r="AT177" s="503"/>
      <c r="AU177" s="503"/>
      <c r="AV177" s="503"/>
      <c r="AW177" s="503"/>
      <c r="AX177" s="503"/>
      <c r="AY177" s="503"/>
      <c r="AZ177" s="503"/>
      <c r="BA177" s="503"/>
      <c r="BB177" s="503"/>
      <c r="BC177" s="503"/>
      <c r="BD177" s="503"/>
      <c r="BE177" s="503"/>
      <c r="BF177" s="503"/>
      <c r="BG177" s="503"/>
      <c r="BH177" s="503"/>
      <c r="BI177" s="503"/>
      <c r="BJ177" s="503"/>
      <c r="BK177" s="503"/>
      <c r="BL177" s="503"/>
      <c r="BM177" s="503"/>
      <c r="BN177" s="503"/>
      <c r="BO177" s="503"/>
      <c r="BP177" s="503"/>
      <c r="BQ177" s="503"/>
      <c r="BR177" s="503"/>
      <c r="BS177" s="503"/>
      <c r="BT177" s="503"/>
      <c r="BU177" s="503"/>
      <c r="BV177" s="503"/>
      <c r="BW177" s="503"/>
      <c r="BX177" s="503"/>
      <c r="BY177" s="503"/>
      <c r="BZ177" s="503"/>
      <c r="CA177" s="503"/>
      <c r="CB177" s="503"/>
      <c r="CC177" s="503"/>
      <c r="CD177" s="503"/>
      <c r="CE177" s="503"/>
      <c r="CF177" s="503"/>
    </row>
    <row r="178" spans="1:84">
      <c r="A178" s="503"/>
      <c r="B178" s="503"/>
      <c r="C178" s="503"/>
      <c r="D178" s="503"/>
      <c r="E178" s="503"/>
      <c r="F178" s="503"/>
      <c r="G178" s="503"/>
      <c r="H178" s="503"/>
      <c r="I178" s="503"/>
      <c r="J178" s="503"/>
      <c r="K178" s="503"/>
      <c r="L178" s="503"/>
      <c r="M178" s="503"/>
      <c r="N178" s="503"/>
      <c r="O178" s="503"/>
      <c r="P178" s="503"/>
      <c r="Q178" s="503"/>
      <c r="R178" s="503"/>
      <c r="S178" s="503"/>
      <c r="T178" s="503"/>
      <c r="U178" s="503"/>
      <c r="V178" s="503"/>
      <c r="W178" s="503"/>
      <c r="X178" s="503"/>
      <c r="Y178" s="503"/>
      <c r="Z178" s="503"/>
      <c r="AA178" s="503"/>
      <c r="AB178" s="503"/>
      <c r="AC178" s="503"/>
      <c r="AD178" s="503"/>
      <c r="AE178" s="503"/>
      <c r="AF178" s="503"/>
      <c r="AG178" s="503"/>
      <c r="AH178" s="503"/>
      <c r="AI178" s="503"/>
      <c r="AJ178" s="503"/>
      <c r="AK178" s="503"/>
      <c r="AL178" s="503"/>
      <c r="AM178" s="503"/>
      <c r="AN178" s="503"/>
      <c r="AO178" s="503"/>
      <c r="AP178" s="503"/>
      <c r="AQ178" s="503"/>
      <c r="AR178" s="503"/>
      <c r="AS178" s="503"/>
      <c r="AT178" s="503"/>
      <c r="AU178" s="503"/>
      <c r="AV178" s="503"/>
      <c r="AW178" s="503"/>
      <c r="AX178" s="503"/>
      <c r="AY178" s="503"/>
      <c r="AZ178" s="503"/>
      <c r="BA178" s="503"/>
      <c r="BB178" s="503"/>
      <c r="BC178" s="503"/>
      <c r="BD178" s="503"/>
      <c r="BE178" s="503"/>
      <c r="BF178" s="503"/>
      <c r="BG178" s="503"/>
      <c r="BH178" s="503"/>
      <c r="BI178" s="503"/>
      <c r="BJ178" s="503"/>
      <c r="BK178" s="503"/>
      <c r="BL178" s="503"/>
      <c r="BM178" s="503"/>
      <c r="BN178" s="503"/>
      <c r="BO178" s="503"/>
      <c r="BP178" s="503"/>
      <c r="BQ178" s="503"/>
      <c r="BR178" s="503"/>
      <c r="BS178" s="503"/>
      <c r="BT178" s="503"/>
      <c r="BU178" s="503"/>
      <c r="BV178" s="503"/>
      <c r="BW178" s="503"/>
      <c r="BX178" s="503"/>
      <c r="BY178" s="503"/>
      <c r="BZ178" s="503"/>
      <c r="CA178" s="503"/>
      <c r="CB178" s="503"/>
      <c r="CC178" s="503"/>
      <c r="CD178" s="503"/>
      <c r="CE178" s="503"/>
      <c r="CF178" s="503"/>
    </row>
    <row r="179" spans="1:84">
      <c r="A179" s="503"/>
      <c r="B179" s="503"/>
      <c r="C179" s="503"/>
      <c r="D179" s="503"/>
      <c r="E179" s="503"/>
      <c r="F179" s="503"/>
      <c r="G179" s="503"/>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3"/>
      <c r="AY179" s="503"/>
      <c r="AZ179" s="503"/>
      <c r="BA179" s="503"/>
      <c r="BB179" s="503"/>
      <c r="BC179" s="503"/>
      <c r="BD179" s="503"/>
      <c r="BE179" s="503"/>
      <c r="BF179" s="503"/>
      <c r="BG179" s="503"/>
      <c r="BH179" s="503"/>
      <c r="BI179" s="503"/>
      <c r="BJ179" s="503"/>
      <c r="BK179" s="503"/>
      <c r="BL179" s="503"/>
      <c r="BM179" s="503"/>
      <c r="BN179" s="503"/>
      <c r="BO179" s="503"/>
      <c r="BP179" s="503"/>
      <c r="BQ179" s="503"/>
      <c r="BR179" s="503"/>
      <c r="BS179" s="503"/>
      <c r="BT179" s="503"/>
      <c r="BU179" s="503"/>
      <c r="BV179" s="503"/>
      <c r="BW179" s="503"/>
      <c r="BX179" s="503"/>
      <c r="BY179" s="503"/>
      <c r="BZ179" s="503"/>
      <c r="CA179" s="503"/>
      <c r="CB179" s="503"/>
      <c r="CC179" s="503"/>
      <c r="CD179" s="503"/>
      <c r="CE179" s="503"/>
      <c r="CF179" s="503"/>
    </row>
    <row r="180" spans="1:84">
      <c r="A180" s="503"/>
      <c r="B180" s="503"/>
      <c r="C180" s="503"/>
      <c r="D180" s="503"/>
      <c r="E180" s="503"/>
      <c r="F180" s="503"/>
      <c r="G180" s="503"/>
      <c r="H180" s="503"/>
      <c r="I180" s="503"/>
      <c r="J180" s="503"/>
      <c r="K180" s="503"/>
      <c r="L180" s="503"/>
      <c r="M180" s="503"/>
      <c r="N180" s="503"/>
      <c r="O180" s="503"/>
      <c r="P180" s="503"/>
      <c r="Q180" s="503"/>
      <c r="R180" s="503"/>
      <c r="S180" s="503"/>
      <c r="T180" s="503"/>
      <c r="U180" s="503"/>
      <c r="V180" s="503"/>
      <c r="W180" s="503"/>
      <c r="X180" s="503"/>
      <c r="Y180" s="503"/>
      <c r="Z180" s="503"/>
      <c r="AA180" s="503"/>
      <c r="AB180" s="503"/>
      <c r="AC180" s="503"/>
      <c r="AD180" s="503"/>
      <c r="AE180" s="503"/>
      <c r="AF180" s="503"/>
      <c r="AG180" s="503"/>
      <c r="AH180" s="503"/>
      <c r="AI180" s="503"/>
      <c r="AJ180" s="503"/>
      <c r="AK180" s="503"/>
      <c r="AL180" s="503"/>
      <c r="AM180" s="503"/>
      <c r="AN180" s="503"/>
      <c r="AO180" s="503"/>
      <c r="AP180" s="503"/>
      <c r="AQ180" s="503"/>
      <c r="AR180" s="503"/>
      <c r="AS180" s="503"/>
      <c r="AT180" s="503"/>
      <c r="AU180" s="503"/>
      <c r="AV180" s="503"/>
      <c r="AW180" s="503"/>
      <c r="AX180" s="503"/>
      <c r="AY180" s="503"/>
      <c r="AZ180" s="503"/>
      <c r="BA180" s="503"/>
      <c r="BB180" s="503"/>
      <c r="BC180" s="503"/>
      <c r="BD180" s="503"/>
      <c r="BE180" s="503"/>
      <c r="BF180" s="503"/>
      <c r="BG180" s="503"/>
      <c r="BH180" s="503"/>
      <c r="BI180" s="503"/>
      <c r="BJ180" s="503"/>
      <c r="BK180" s="503"/>
      <c r="BL180" s="503"/>
      <c r="BM180" s="503"/>
      <c r="BN180" s="503"/>
      <c r="BO180" s="503"/>
      <c r="BP180" s="503"/>
      <c r="BQ180" s="503"/>
      <c r="BR180" s="503"/>
      <c r="BS180" s="503"/>
      <c r="BT180" s="503"/>
      <c r="BU180" s="503"/>
      <c r="BV180" s="503"/>
      <c r="BW180" s="503"/>
      <c r="BX180" s="503"/>
      <c r="BY180" s="503"/>
      <c r="BZ180" s="503"/>
      <c r="CA180" s="503"/>
      <c r="CB180" s="503"/>
      <c r="CC180" s="503"/>
      <c r="CD180" s="503"/>
      <c r="CE180" s="503"/>
      <c r="CF180" s="503"/>
    </row>
    <row r="181" spans="1:84">
      <c r="A181" s="503"/>
      <c r="B181" s="503"/>
      <c r="C181" s="503"/>
      <c r="D181" s="503"/>
      <c r="E181" s="503"/>
      <c r="F181" s="503"/>
      <c r="G181" s="503"/>
      <c r="H181" s="503"/>
      <c r="I181" s="503"/>
      <c r="J181" s="503"/>
      <c r="K181" s="503"/>
      <c r="L181" s="503"/>
      <c r="M181" s="503"/>
      <c r="N181" s="503"/>
      <c r="O181" s="503"/>
      <c r="P181" s="503"/>
      <c r="Q181" s="503"/>
      <c r="R181" s="503"/>
      <c r="S181" s="503"/>
      <c r="T181" s="503"/>
      <c r="U181" s="503"/>
      <c r="V181" s="503"/>
      <c r="W181" s="503"/>
      <c r="X181" s="503"/>
      <c r="Y181" s="503"/>
      <c r="Z181" s="503"/>
      <c r="AA181" s="503"/>
      <c r="AB181" s="503"/>
      <c r="AC181" s="503"/>
      <c r="AD181" s="503"/>
      <c r="AE181" s="503"/>
      <c r="AF181" s="503"/>
      <c r="AG181" s="503"/>
      <c r="AH181" s="503"/>
      <c r="AI181" s="503"/>
      <c r="AJ181" s="503"/>
      <c r="AK181" s="503"/>
      <c r="AL181" s="503"/>
      <c r="AM181" s="503"/>
      <c r="AN181" s="503"/>
      <c r="AO181" s="503"/>
      <c r="AP181" s="503"/>
      <c r="AQ181" s="503"/>
      <c r="AR181" s="503"/>
      <c r="AS181" s="503"/>
      <c r="AT181" s="503"/>
      <c r="AU181" s="503"/>
      <c r="AV181" s="503"/>
      <c r="AW181" s="503"/>
      <c r="AX181" s="503"/>
      <c r="AY181" s="503"/>
      <c r="AZ181" s="503"/>
      <c r="BA181" s="503"/>
      <c r="BB181" s="503"/>
      <c r="BC181" s="503"/>
      <c r="BD181" s="503"/>
      <c r="BE181" s="503"/>
      <c r="BF181" s="503"/>
      <c r="BG181" s="503"/>
      <c r="BH181" s="503"/>
      <c r="BI181" s="503"/>
      <c r="BJ181" s="503"/>
      <c r="BK181" s="503"/>
      <c r="BL181" s="503"/>
      <c r="BM181" s="503"/>
      <c r="BN181" s="503"/>
      <c r="BO181" s="503"/>
      <c r="BP181" s="503"/>
      <c r="BQ181" s="503"/>
      <c r="BR181" s="503"/>
      <c r="BS181" s="503"/>
      <c r="BT181" s="503"/>
      <c r="BU181" s="503"/>
      <c r="BV181" s="503"/>
      <c r="BW181" s="503"/>
      <c r="BX181" s="503"/>
      <c r="BY181" s="503"/>
      <c r="BZ181" s="503"/>
      <c r="CA181" s="503"/>
      <c r="CB181" s="503"/>
      <c r="CC181" s="503"/>
      <c r="CD181" s="503"/>
      <c r="CE181" s="503"/>
      <c r="CF181" s="503"/>
    </row>
    <row r="182" spans="1:84">
      <c r="A182" s="503"/>
      <c r="B182" s="503"/>
      <c r="C182" s="503"/>
      <c r="D182" s="503"/>
      <c r="E182" s="503"/>
      <c r="F182" s="503"/>
      <c r="G182" s="503"/>
      <c r="H182" s="503"/>
      <c r="I182" s="503"/>
      <c r="J182" s="503"/>
      <c r="K182" s="503"/>
      <c r="L182" s="503"/>
      <c r="M182" s="503"/>
      <c r="N182" s="503"/>
      <c r="O182" s="503"/>
      <c r="P182" s="503"/>
      <c r="Q182" s="503"/>
      <c r="R182" s="503"/>
      <c r="S182" s="503"/>
      <c r="T182" s="503"/>
      <c r="U182" s="503"/>
      <c r="V182" s="503"/>
      <c r="W182" s="503"/>
      <c r="X182" s="503"/>
      <c r="Y182" s="503"/>
      <c r="Z182" s="503"/>
      <c r="AA182" s="503"/>
      <c r="AB182" s="503"/>
      <c r="AC182" s="503"/>
      <c r="AD182" s="503"/>
      <c r="AE182" s="503"/>
      <c r="AF182" s="503"/>
      <c r="AG182" s="503"/>
      <c r="AH182" s="503"/>
      <c r="AI182" s="503"/>
      <c r="AJ182" s="503"/>
      <c r="AK182" s="503"/>
      <c r="AL182" s="503"/>
      <c r="AM182" s="503"/>
      <c r="AN182" s="503"/>
      <c r="AO182" s="503"/>
      <c r="AP182" s="503"/>
      <c r="AQ182" s="503"/>
      <c r="AR182" s="503"/>
      <c r="AS182" s="503"/>
      <c r="AT182" s="503"/>
      <c r="AU182" s="503"/>
      <c r="AV182" s="503"/>
      <c r="AW182" s="503"/>
      <c r="AX182" s="503"/>
      <c r="AY182" s="503"/>
      <c r="AZ182" s="503"/>
      <c r="BA182" s="503"/>
      <c r="BB182" s="503"/>
      <c r="BC182" s="503"/>
      <c r="BD182" s="503"/>
      <c r="BE182" s="503"/>
      <c r="BF182" s="503"/>
      <c r="BG182" s="503"/>
      <c r="BH182" s="503"/>
      <c r="BI182" s="503"/>
      <c r="BJ182" s="503"/>
      <c r="BK182" s="503"/>
      <c r="BL182" s="503"/>
      <c r="BM182" s="503"/>
      <c r="BN182" s="503"/>
      <c r="BO182" s="503"/>
      <c r="BP182" s="503"/>
      <c r="BQ182" s="503"/>
      <c r="BR182" s="503"/>
      <c r="BS182" s="503"/>
      <c r="BT182" s="503"/>
      <c r="BU182" s="503"/>
      <c r="BV182" s="503"/>
      <c r="BW182" s="503"/>
      <c r="BX182" s="503"/>
      <c r="BY182" s="503"/>
      <c r="BZ182" s="503"/>
      <c r="CA182" s="503"/>
      <c r="CB182" s="503"/>
      <c r="CC182" s="503"/>
      <c r="CD182" s="503"/>
      <c r="CE182" s="503"/>
      <c r="CF182" s="503"/>
    </row>
    <row r="183" spans="1:84">
      <c r="A183" s="503"/>
      <c r="B183" s="503"/>
      <c r="C183" s="503"/>
      <c r="D183" s="503"/>
      <c r="E183" s="503"/>
      <c r="F183" s="503"/>
      <c r="G183" s="503"/>
      <c r="H183" s="503"/>
      <c r="I183" s="503"/>
      <c r="J183" s="503"/>
      <c r="K183" s="503"/>
      <c r="L183" s="503"/>
      <c r="M183" s="503"/>
      <c r="N183" s="503"/>
      <c r="O183" s="503"/>
      <c r="P183" s="503"/>
      <c r="Q183" s="503"/>
      <c r="R183" s="503"/>
      <c r="S183" s="503"/>
      <c r="T183" s="503"/>
      <c r="U183" s="503"/>
      <c r="V183" s="503"/>
      <c r="W183" s="503"/>
      <c r="X183" s="503"/>
      <c r="Y183" s="503"/>
      <c r="Z183" s="503"/>
      <c r="AA183" s="503"/>
      <c r="AB183" s="503"/>
      <c r="AC183" s="503"/>
      <c r="AD183" s="503"/>
      <c r="AE183" s="503"/>
      <c r="AF183" s="503"/>
      <c r="AG183" s="503"/>
      <c r="AH183" s="503"/>
      <c r="AI183" s="503"/>
      <c r="AJ183" s="503"/>
      <c r="AK183" s="503"/>
      <c r="AL183" s="503"/>
      <c r="AM183" s="503"/>
      <c r="AN183" s="503"/>
      <c r="AO183" s="503"/>
      <c r="AP183" s="503"/>
      <c r="AQ183" s="503"/>
      <c r="AR183" s="503"/>
      <c r="AS183" s="503"/>
      <c r="AT183" s="503"/>
      <c r="AU183" s="503"/>
      <c r="AV183" s="503"/>
      <c r="AW183" s="503"/>
      <c r="AX183" s="503"/>
      <c r="AY183" s="503"/>
      <c r="AZ183" s="503"/>
      <c r="BA183" s="503"/>
      <c r="BB183" s="503"/>
      <c r="BC183" s="503"/>
      <c r="BD183" s="503"/>
      <c r="BE183" s="503"/>
      <c r="BF183" s="503"/>
      <c r="BG183" s="503"/>
      <c r="BH183" s="503"/>
      <c r="BI183" s="503"/>
      <c r="BJ183" s="503"/>
      <c r="BK183" s="503"/>
      <c r="BL183" s="503"/>
      <c r="BM183" s="503"/>
      <c r="BN183" s="503"/>
      <c r="BO183" s="503"/>
      <c r="BP183" s="503"/>
      <c r="BQ183" s="503"/>
      <c r="BR183" s="503"/>
      <c r="BS183" s="503"/>
      <c r="BT183" s="503"/>
      <c r="BU183" s="503"/>
      <c r="BV183" s="503"/>
      <c r="BW183" s="503"/>
      <c r="BX183" s="503"/>
      <c r="BY183" s="503"/>
      <c r="BZ183" s="503"/>
      <c r="CA183" s="503"/>
      <c r="CB183" s="503"/>
      <c r="CC183" s="503"/>
      <c r="CD183" s="503"/>
      <c r="CE183" s="503"/>
      <c r="CF183" s="503"/>
    </row>
    <row r="184" spans="1:84">
      <c r="A184" s="503"/>
      <c r="B184" s="503"/>
      <c r="C184" s="503"/>
      <c r="D184" s="503"/>
      <c r="E184" s="503"/>
      <c r="F184" s="503"/>
      <c r="G184" s="503"/>
      <c r="H184" s="503"/>
      <c r="I184" s="503"/>
      <c r="J184" s="503"/>
      <c r="K184" s="503"/>
      <c r="L184" s="503"/>
      <c r="M184" s="503"/>
      <c r="N184" s="503"/>
      <c r="O184" s="503"/>
      <c r="P184" s="503"/>
      <c r="Q184" s="503"/>
      <c r="R184" s="503"/>
      <c r="S184" s="503"/>
      <c r="T184" s="503"/>
      <c r="U184" s="503"/>
      <c r="V184" s="503"/>
      <c r="W184" s="503"/>
      <c r="X184" s="503"/>
      <c r="Y184" s="503"/>
      <c r="Z184" s="503"/>
      <c r="AA184" s="503"/>
      <c r="AB184" s="503"/>
      <c r="AC184" s="503"/>
      <c r="AD184" s="503"/>
      <c r="AE184" s="503"/>
      <c r="AF184" s="503"/>
      <c r="AG184" s="503"/>
      <c r="AH184" s="503"/>
      <c r="AI184" s="503"/>
      <c r="AJ184" s="503"/>
      <c r="AK184" s="503"/>
      <c r="AL184" s="503"/>
      <c r="AM184" s="503"/>
      <c r="AN184" s="503"/>
      <c r="AO184" s="503"/>
      <c r="AP184" s="503"/>
      <c r="AQ184" s="503"/>
      <c r="AR184" s="503"/>
      <c r="AS184" s="503"/>
      <c r="AT184" s="503"/>
      <c r="AU184" s="503"/>
      <c r="AV184" s="503"/>
      <c r="AW184" s="503"/>
      <c r="AX184" s="503"/>
      <c r="AY184" s="503"/>
      <c r="AZ184" s="503"/>
      <c r="BA184" s="503"/>
      <c r="BB184" s="503"/>
      <c r="BC184" s="503"/>
      <c r="BD184" s="503"/>
      <c r="BE184" s="503"/>
      <c r="BF184" s="503"/>
      <c r="BG184" s="503"/>
      <c r="BH184" s="503"/>
      <c r="BI184" s="503"/>
      <c r="BJ184" s="503"/>
      <c r="BK184" s="503"/>
      <c r="BL184" s="503"/>
      <c r="BM184" s="503"/>
      <c r="BN184" s="503"/>
      <c r="BO184" s="503"/>
      <c r="BP184" s="503"/>
      <c r="BQ184" s="503"/>
      <c r="BR184" s="503"/>
      <c r="BS184" s="503"/>
      <c r="BT184" s="503"/>
      <c r="BU184" s="503"/>
      <c r="BV184" s="503"/>
      <c r="BW184" s="503"/>
      <c r="BX184" s="503"/>
      <c r="BY184" s="503"/>
      <c r="BZ184" s="503"/>
      <c r="CA184" s="503"/>
      <c r="CB184" s="503"/>
      <c r="CC184" s="503"/>
      <c r="CD184" s="503"/>
      <c r="CE184" s="503"/>
      <c r="CF184" s="503"/>
    </row>
    <row r="185" spans="1:84">
      <c r="A185" s="503"/>
      <c r="B185" s="503"/>
      <c r="C185" s="503"/>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3"/>
      <c r="AH185" s="503"/>
      <c r="AI185" s="503"/>
      <c r="AJ185" s="503"/>
      <c r="AK185" s="503"/>
      <c r="AL185" s="503"/>
      <c r="AM185" s="503"/>
      <c r="AN185" s="503"/>
      <c r="AO185" s="503"/>
      <c r="AP185" s="503"/>
      <c r="AQ185" s="503"/>
      <c r="AR185" s="503"/>
      <c r="AS185" s="503"/>
      <c r="AT185" s="503"/>
      <c r="AU185" s="503"/>
      <c r="AV185" s="503"/>
      <c r="AW185" s="503"/>
      <c r="AX185" s="503"/>
      <c r="AY185" s="503"/>
      <c r="AZ185" s="503"/>
      <c r="BA185" s="503"/>
      <c r="BB185" s="503"/>
      <c r="BC185" s="503"/>
      <c r="BD185" s="503"/>
      <c r="BE185" s="503"/>
      <c r="BF185" s="503"/>
      <c r="BG185" s="503"/>
      <c r="BH185" s="503"/>
      <c r="BI185" s="503"/>
      <c r="BJ185" s="503"/>
      <c r="BK185" s="503"/>
      <c r="BL185" s="503"/>
      <c r="BM185" s="503"/>
      <c r="BN185" s="503"/>
      <c r="BO185" s="503"/>
      <c r="BP185" s="503"/>
      <c r="BQ185" s="503"/>
      <c r="BR185" s="503"/>
      <c r="BS185" s="503"/>
      <c r="BT185" s="503"/>
      <c r="BU185" s="503"/>
      <c r="BV185" s="503"/>
      <c r="BW185" s="503"/>
      <c r="BX185" s="503"/>
      <c r="BY185" s="503"/>
      <c r="BZ185" s="503"/>
      <c r="CA185" s="503"/>
      <c r="CB185" s="503"/>
      <c r="CC185" s="503"/>
      <c r="CD185" s="503"/>
      <c r="CE185" s="503"/>
      <c r="CF185" s="503"/>
    </row>
    <row r="186" spans="1:84">
      <c r="A186" s="503"/>
      <c r="B186" s="503"/>
      <c r="C186" s="503"/>
      <c r="D186" s="503"/>
      <c r="E186" s="503"/>
      <c r="F186" s="503"/>
      <c r="G186" s="503"/>
      <c r="H186" s="503"/>
      <c r="I186" s="503"/>
      <c r="J186" s="503"/>
      <c r="K186" s="503"/>
      <c r="L186" s="503"/>
      <c r="M186" s="503"/>
      <c r="N186" s="503"/>
      <c r="O186" s="503"/>
      <c r="P186" s="503"/>
      <c r="Q186" s="503"/>
      <c r="R186" s="503"/>
      <c r="S186" s="503"/>
      <c r="T186" s="503"/>
      <c r="U186" s="503"/>
      <c r="V186" s="503"/>
      <c r="W186" s="503"/>
      <c r="X186" s="503"/>
      <c r="Y186" s="503"/>
      <c r="Z186" s="503"/>
      <c r="AA186" s="503"/>
      <c r="AB186" s="503"/>
      <c r="AC186" s="503"/>
      <c r="AD186" s="503"/>
      <c r="AE186" s="503"/>
      <c r="AF186" s="503"/>
      <c r="AG186" s="503"/>
      <c r="AH186" s="503"/>
      <c r="AI186" s="503"/>
      <c r="AJ186" s="503"/>
      <c r="AK186" s="503"/>
      <c r="AL186" s="503"/>
      <c r="AM186" s="503"/>
      <c r="AN186" s="503"/>
      <c r="AO186" s="503"/>
      <c r="AP186" s="503"/>
      <c r="AQ186" s="503"/>
      <c r="AR186" s="503"/>
      <c r="AS186" s="503"/>
      <c r="AT186" s="503"/>
      <c r="AU186" s="503"/>
      <c r="AV186" s="503"/>
      <c r="AW186" s="503"/>
      <c r="AX186" s="503"/>
      <c r="AY186" s="503"/>
      <c r="AZ186" s="503"/>
      <c r="BA186" s="503"/>
      <c r="BB186" s="503"/>
      <c r="BC186" s="503"/>
      <c r="BD186" s="503"/>
      <c r="BE186" s="503"/>
      <c r="BF186" s="503"/>
      <c r="BG186" s="503"/>
      <c r="BH186" s="503"/>
      <c r="BI186" s="503"/>
      <c r="BJ186" s="503"/>
      <c r="BK186" s="503"/>
      <c r="BL186" s="503"/>
      <c r="BM186" s="503"/>
      <c r="BN186" s="503"/>
      <c r="BO186" s="503"/>
      <c r="BP186" s="503"/>
      <c r="BQ186" s="503"/>
      <c r="BR186" s="503"/>
      <c r="BS186" s="503"/>
      <c r="BT186" s="503"/>
      <c r="BU186" s="503"/>
      <c r="BV186" s="503"/>
      <c r="BW186" s="503"/>
      <c r="BX186" s="503"/>
      <c r="BY186" s="503"/>
      <c r="BZ186" s="503"/>
      <c r="CA186" s="503"/>
      <c r="CB186" s="503"/>
      <c r="CC186" s="503"/>
      <c r="CD186" s="503"/>
      <c r="CE186" s="503"/>
      <c r="CF186" s="503"/>
    </row>
    <row r="187" spans="1:84">
      <c r="A187" s="503"/>
      <c r="B187" s="503"/>
      <c r="C187" s="503"/>
      <c r="D187" s="503"/>
      <c r="E187" s="503"/>
      <c r="F187" s="503"/>
      <c r="G187" s="503"/>
      <c r="H187" s="503"/>
      <c r="I187" s="503"/>
      <c r="J187" s="503"/>
      <c r="K187" s="503"/>
      <c r="L187" s="503"/>
      <c r="M187" s="503"/>
      <c r="N187" s="503"/>
      <c r="O187" s="503"/>
      <c r="P187" s="503"/>
      <c r="Q187" s="503"/>
      <c r="R187" s="503"/>
      <c r="S187" s="503"/>
      <c r="T187" s="503"/>
      <c r="U187" s="503"/>
      <c r="V187" s="503"/>
      <c r="W187" s="503"/>
      <c r="X187" s="503"/>
      <c r="Y187" s="503"/>
      <c r="Z187" s="503"/>
      <c r="AA187" s="503"/>
      <c r="AB187" s="503"/>
      <c r="AC187" s="503"/>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503"/>
      <c r="AY187" s="503"/>
      <c r="AZ187" s="503"/>
      <c r="BA187" s="503"/>
      <c r="BB187" s="503"/>
      <c r="BC187" s="503"/>
      <c r="BD187" s="503"/>
      <c r="BE187" s="503"/>
      <c r="BF187" s="503"/>
      <c r="BG187" s="503"/>
      <c r="BH187" s="503"/>
      <c r="BI187" s="503"/>
      <c r="BJ187" s="503"/>
      <c r="BK187" s="503"/>
      <c r="BL187" s="503"/>
      <c r="BM187" s="503"/>
      <c r="BN187" s="503"/>
      <c r="BO187" s="503"/>
      <c r="BP187" s="503"/>
      <c r="BQ187" s="503"/>
      <c r="BR187" s="503"/>
      <c r="BS187" s="503"/>
      <c r="BT187" s="503"/>
      <c r="BU187" s="503"/>
      <c r="BV187" s="503"/>
      <c r="BW187" s="503"/>
      <c r="BX187" s="503"/>
      <c r="BY187" s="503"/>
      <c r="BZ187" s="503"/>
      <c r="CA187" s="503"/>
      <c r="CB187" s="503"/>
      <c r="CC187" s="503"/>
      <c r="CD187" s="503"/>
      <c r="CE187" s="503"/>
      <c r="CF187" s="503"/>
    </row>
  </sheetData>
  <mergeCells count="37">
    <mergeCell ref="B89:K89"/>
    <mergeCell ref="N4:V4"/>
    <mergeCell ref="N5:V5"/>
    <mergeCell ref="N6:V6"/>
    <mergeCell ref="N8:V8"/>
    <mergeCell ref="B87:K87"/>
    <mergeCell ref="C23:I23"/>
    <mergeCell ref="C24:I24"/>
    <mergeCell ref="C27:H27"/>
    <mergeCell ref="C28:H28"/>
    <mergeCell ref="C29:H29"/>
    <mergeCell ref="A55:L55"/>
    <mergeCell ref="A56:L56"/>
    <mergeCell ref="A57:L57"/>
    <mergeCell ref="A59:L59"/>
    <mergeCell ref="C19:H19"/>
    <mergeCell ref="C20:H20"/>
    <mergeCell ref="A4:L4"/>
    <mergeCell ref="A5:L5"/>
    <mergeCell ref="A6:L6"/>
    <mergeCell ref="A8:L8"/>
    <mergeCell ref="C18:H18"/>
    <mergeCell ref="C12:H12"/>
    <mergeCell ref="C13:H13"/>
    <mergeCell ref="C14:H14"/>
    <mergeCell ref="C16:H16"/>
    <mergeCell ref="C17:H17"/>
    <mergeCell ref="C11:J11"/>
    <mergeCell ref="B43:L43"/>
    <mergeCell ref="B44:L44"/>
    <mergeCell ref="B45:L45"/>
    <mergeCell ref="B46:L46"/>
    <mergeCell ref="C25:H25"/>
    <mergeCell ref="B37:J37"/>
    <mergeCell ref="C31:I31"/>
    <mergeCell ref="C32:I32"/>
    <mergeCell ref="C33:H33"/>
  </mergeCells>
  <hyperlinks>
    <hyperlink ref="C88" r:id="rId1"/>
    <hyperlink ref="B44" display="      http://www.ferc.gov/legal/acct-matts/interest-rates.asp for the appropriate Months.  For under-collections, the applicable interest rate shall "/>
    <hyperlink ref="C90" r:id="rId2"/>
  </hyperlinks>
  <pageMargins left="0.45" right="0.45" top="0.75" bottom="0.75" header="0.3" footer="0.3"/>
  <pageSetup scale="58" fitToWidth="2" fitToHeight="2" pageOrder="overThenDown" orientation="portrait" r:id="rId3"/>
  <rowBreaks count="1" manualBreakCount="1">
    <brk id="52"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topLeftCell="A7" zoomScaleNormal="100" workbookViewId="0">
      <selection activeCell="K11" sqref="K11"/>
    </sheetView>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9" width="11.6640625" customWidth="1"/>
    <col min="10" max="10" width="11.77734375" customWidth="1"/>
    <col min="11" max="11" width="11.33203125" bestFit="1" customWidth="1"/>
    <col min="12" max="12" width="10.77734375" bestFit="1"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83"/>
      <c r="C1" s="483"/>
      <c r="D1" s="483"/>
      <c r="E1" s="483"/>
      <c r="F1" s="483"/>
      <c r="G1" s="483"/>
      <c r="H1" s="483"/>
      <c r="I1" s="483"/>
      <c r="J1" s="483"/>
      <c r="K1" s="483"/>
      <c r="L1" s="483"/>
      <c r="M1" s="483"/>
      <c r="N1" s="502"/>
      <c r="O1" s="502"/>
      <c r="R1" s="482" t="str">
        <f>'Att O_RPU'!K3</f>
        <v>For the 12 months ended 12/31/17</v>
      </c>
    </row>
    <row r="2" spans="1:18">
      <c r="B2" s="483"/>
      <c r="C2" s="483"/>
      <c r="D2" s="483"/>
      <c r="E2" s="482"/>
      <c r="F2" s="483"/>
      <c r="G2" s="483"/>
      <c r="H2" s="483"/>
      <c r="I2" s="483"/>
      <c r="J2" s="483"/>
      <c r="K2" s="483"/>
      <c r="L2" s="483"/>
      <c r="M2" s="483"/>
      <c r="N2" s="502"/>
      <c r="O2" s="502"/>
      <c r="P2" s="483"/>
      <c r="R2" s="500" t="s">
        <v>686</v>
      </c>
    </row>
    <row r="3" spans="1:18" ht="15.75">
      <c r="A3" s="964" t="s">
        <v>633</v>
      </c>
      <c r="B3" s="964"/>
      <c r="C3" s="964"/>
      <c r="D3" s="964"/>
      <c r="E3" s="964"/>
      <c r="F3" s="964"/>
      <c r="G3" s="964"/>
      <c r="H3" s="964"/>
      <c r="I3" s="964"/>
      <c r="J3" s="964"/>
      <c r="K3" s="964"/>
      <c r="L3" s="964"/>
      <c r="M3" s="964"/>
      <c r="N3" s="964"/>
      <c r="O3" s="964"/>
      <c r="P3" s="964"/>
    </row>
    <row r="4" spans="1:18" ht="15.75">
      <c r="A4" s="964" t="s">
        <v>938</v>
      </c>
      <c r="B4" s="964"/>
      <c r="C4" s="964"/>
      <c r="D4" s="964"/>
      <c r="E4" s="964"/>
      <c r="F4" s="964"/>
      <c r="G4" s="964"/>
      <c r="H4" s="964"/>
      <c r="I4" s="964"/>
      <c r="J4" s="964"/>
      <c r="K4" s="964"/>
      <c r="L4" s="964"/>
      <c r="M4" s="964"/>
      <c r="N4" s="964"/>
      <c r="O4" s="964"/>
      <c r="P4" s="964"/>
    </row>
    <row r="5" spans="1:18" ht="15.75">
      <c r="A5" s="3"/>
      <c r="B5" s="3"/>
      <c r="C5" s="3"/>
      <c r="D5" s="3"/>
      <c r="E5" s="3"/>
      <c r="F5" s="3"/>
      <c r="G5" s="3"/>
      <c r="H5" s="3"/>
      <c r="I5" s="3"/>
      <c r="J5" s="3"/>
      <c r="K5" s="3"/>
      <c r="L5" s="3"/>
      <c r="M5" s="3"/>
      <c r="N5" s="52"/>
      <c r="O5" s="52"/>
    </row>
    <row r="6" spans="1:18">
      <c r="N6" s="490"/>
      <c r="O6" s="490"/>
    </row>
    <row r="7" spans="1:18" ht="15.75">
      <c r="A7" s="978" t="str">
        <f>IF('Att O_RPU'!$I$19&gt;0.5,CONCATENATE("FLTY Forecast for 12 Months Ended December 31, ",'Att O_RPU'!E319),CONCATENATE("True-up Actual for 12 Months Ended December 31, ",'Att O_RPU'!E319))</f>
        <v>FLTY Forecast for 12 Months Ended December 31, 2017</v>
      </c>
      <c r="B7" s="978"/>
      <c r="C7" s="978"/>
      <c r="D7" s="978"/>
      <c r="E7" s="978"/>
      <c r="F7" s="978"/>
      <c r="G7" s="978"/>
      <c r="H7" s="978"/>
      <c r="I7" s="978"/>
      <c r="J7" s="978"/>
      <c r="K7" s="978"/>
      <c r="L7" s="978"/>
      <c r="M7" s="978"/>
      <c r="N7" s="978"/>
      <c r="O7" s="978"/>
      <c r="P7" s="978"/>
    </row>
    <row r="8" spans="1:18">
      <c r="B8" s="483"/>
      <c r="C8" s="483"/>
      <c r="D8" s="483"/>
      <c r="E8" s="483"/>
      <c r="F8" s="483"/>
      <c r="G8" s="483"/>
      <c r="H8" s="483"/>
      <c r="I8" s="483"/>
      <c r="J8" s="483"/>
      <c r="K8" s="483"/>
      <c r="L8" s="483"/>
      <c r="M8" s="483"/>
      <c r="N8" s="502"/>
      <c r="O8" s="502"/>
      <c r="P8" s="483"/>
    </row>
    <row r="9" spans="1:18" ht="15.75">
      <c r="A9" s="979" t="s">
        <v>813</v>
      </c>
      <c r="B9" s="979"/>
      <c r="C9" s="979"/>
      <c r="D9" s="979"/>
      <c r="E9" s="979"/>
      <c r="F9" s="979"/>
      <c r="G9" s="979"/>
      <c r="H9" s="979"/>
      <c r="I9" s="979"/>
      <c r="J9" s="979"/>
      <c r="K9" s="979"/>
      <c r="L9" s="979"/>
      <c r="M9" s="979"/>
      <c r="N9" s="979"/>
      <c r="O9" s="979"/>
      <c r="P9" s="979"/>
      <c r="Q9" s="503"/>
      <c r="R9" s="503"/>
    </row>
    <row r="10" spans="1:18" ht="15.75">
      <c r="A10" s="14"/>
      <c r="B10" s="14"/>
      <c r="C10" s="14"/>
      <c r="D10" s="14"/>
      <c r="E10" s="14"/>
      <c r="F10" s="14"/>
      <c r="G10" s="14"/>
      <c r="H10" s="14"/>
      <c r="I10" s="14"/>
      <c r="J10" s="14"/>
      <c r="K10" s="14"/>
      <c r="L10" s="14"/>
      <c r="M10" s="14"/>
      <c r="N10" s="796"/>
      <c r="O10" s="796"/>
      <c r="P10" s="14"/>
      <c r="Q10" s="503"/>
      <c r="R10" s="503"/>
    </row>
    <row r="11" spans="1:18" ht="94.5">
      <c r="A11" s="503"/>
      <c r="B11" s="503"/>
      <c r="C11" s="523" t="s">
        <v>466</v>
      </c>
      <c r="D11" s="797" t="s">
        <v>765</v>
      </c>
      <c r="E11" s="52"/>
      <c r="F11" s="797" t="s">
        <v>831</v>
      </c>
      <c r="G11" s="524"/>
      <c r="H11" s="523" t="s">
        <v>847</v>
      </c>
      <c r="I11" s="523" t="s">
        <v>848</v>
      </c>
      <c r="J11" s="797" t="s">
        <v>846</v>
      </c>
      <c r="K11" s="797" t="s">
        <v>849</v>
      </c>
      <c r="L11" s="797" t="s">
        <v>823</v>
      </c>
      <c r="M11" s="524"/>
      <c r="N11" s="797" t="s">
        <v>850</v>
      </c>
      <c r="O11" s="524"/>
      <c r="P11" s="524"/>
      <c r="Q11" s="503"/>
      <c r="R11" s="503"/>
    </row>
    <row r="12" spans="1:18" ht="15.75" customHeight="1">
      <c r="A12" s="503"/>
      <c r="B12" s="503"/>
      <c r="C12" s="503"/>
      <c r="D12" s="120"/>
      <c r="E12" s="524"/>
      <c r="F12" s="796" t="s">
        <v>824</v>
      </c>
      <c r="G12" s="524"/>
      <c r="H12" s="796" t="s">
        <v>825</v>
      </c>
      <c r="I12" s="796" t="s">
        <v>826</v>
      </c>
      <c r="J12" s="796" t="s">
        <v>827</v>
      </c>
      <c r="K12" s="796" t="s">
        <v>828</v>
      </c>
      <c r="L12" s="796" t="s">
        <v>851</v>
      </c>
      <c r="M12" s="796"/>
      <c r="N12" s="796" t="s">
        <v>852</v>
      </c>
      <c r="O12" s="524"/>
      <c r="P12" s="524"/>
      <c r="Q12" s="503"/>
      <c r="R12" s="503"/>
    </row>
    <row r="13" spans="1:18" ht="15.75">
      <c r="A13" s="503"/>
      <c r="B13" s="503"/>
      <c r="C13" s="796">
        <v>1</v>
      </c>
      <c r="D13" s="796" t="s">
        <v>829</v>
      </c>
      <c r="E13" s="524"/>
      <c r="F13" s="798">
        <f>J51</f>
        <v>37796442</v>
      </c>
      <c r="G13" s="524"/>
      <c r="H13" s="799">
        <v>0</v>
      </c>
      <c r="I13" s="532">
        <f>F13-H13</f>
        <v>37796442</v>
      </c>
      <c r="J13" s="798">
        <f>K51</f>
        <v>20128550.569999997</v>
      </c>
      <c r="K13" s="798">
        <f>I13-J13</f>
        <v>17667891.430000003</v>
      </c>
      <c r="L13" s="800">
        <f>IF(K15&gt;0,ROUND(K13/K15,4),0)</f>
        <v>0.46389999999999998</v>
      </c>
      <c r="M13" s="524"/>
      <c r="N13" s="801">
        <f>ROUND(L13*N15,0)</f>
        <v>1630098</v>
      </c>
      <c r="O13" s="524"/>
      <c r="P13" s="524"/>
      <c r="Q13" s="503"/>
      <c r="R13" s="503"/>
    </row>
    <row r="14" spans="1:18" ht="15.75">
      <c r="A14" s="503"/>
      <c r="B14" s="503"/>
      <c r="C14" s="796">
        <v>2</v>
      </c>
      <c r="D14" s="796" t="s">
        <v>830</v>
      </c>
      <c r="E14" s="524"/>
      <c r="F14" s="802">
        <f>F51</f>
        <v>21760638</v>
      </c>
      <c r="G14" s="524"/>
      <c r="H14" s="803">
        <f>'Att O_RPU'!I199</f>
        <v>1344800.6400000001</v>
      </c>
      <c r="I14" s="532">
        <f>F14-H14</f>
        <v>20415837.359999999</v>
      </c>
      <c r="J14" s="802">
        <v>0</v>
      </c>
      <c r="K14" s="802">
        <f>I14-J14</f>
        <v>20415837.359999999</v>
      </c>
      <c r="L14" s="804">
        <f>IF(K15&gt;0,ROUND(K14/K15,4),0)</f>
        <v>0.53610000000000002</v>
      </c>
      <c r="M14" s="524"/>
      <c r="N14" s="805">
        <f>ROUND(L14*N15,0)</f>
        <v>1883801</v>
      </c>
      <c r="O14" s="524"/>
      <c r="P14" s="524"/>
      <c r="Q14" s="503"/>
      <c r="R14" s="503"/>
    </row>
    <row r="15" spans="1:18" ht="15.75" customHeight="1">
      <c r="A15" s="503"/>
      <c r="B15" s="503"/>
      <c r="C15" s="796">
        <v>3</v>
      </c>
      <c r="D15" s="796" t="s">
        <v>9</v>
      </c>
      <c r="E15" s="524"/>
      <c r="F15" s="798">
        <f>SUM(F13:F14)</f>
        <v>59557080</v>
      </c>
      <c r="G15" s="524"/>
      <c r="H15" s="798">
        <f t="shared" ref="H15:I15" si="0">SUM(H13:H14)</f>
        <v>1344800.6400000001</v>
      </c>
      <c r="I15" s="806">
        <f t="shared" si="0"/>
        <v>58212279.359999999</v>
      </c>
      <c r="J15" s="798">
        <f>SUM(J13:J14)</f>
        <v>20128550.569999997</v>
      </c>
      <c r="K15" s="798">
        <f>SUM(K13:K14)</f>
        <v>38083728.790000007</v>
      </c>
      <c r="L15" s="800">
        <f>SUM(L13:L14)</f>
        <v>1</v>
      </c>
      <c r="M15" s="524"/>
      <c r="N15" s="807">
        <f>'Att O_RPU'!I31</f>
        <v>3513899.0227264264</v>
      </c>
      <c r="O15" s="808" t="s">
        <v>35</v>
      </c>
      <c r="P15" s="524"/>
      <c r="Q15" s="503"/>
      <c r="R15" s="503"/>
    </row>
    <row r="16" spans="1:18" ht="19.5">
      <c r="A16" s="503"/>
      <c r="B16" s="503"/>
      <c r="C16" s="524"/>
      <c r="D16" s="809"/>
      <c r="E16" s="809"/>
      <c r="F16" s="809"/>
      <c r="G16" s="809"/>
      <c r="H16" s="525"/>
      <c r="I16" s="524"/>
      <c r="J16" s="120"/>
      <c r="K16" s="524"/>
      <c r="L16" s="524"/>
      <c r="M16" s="469"/>
      <c r="N16" s="524"/>
      <c r="O16" s="524"/>
      <c r="P16" s="524"/>
      <c r="Q16" s="503"/>
      <c r="R16" s="503"/>
    </row>
    <row r="17" spans="1:18" ht="15.75">
      <c r="A17" s="503"/>
      <c r="B17" s="503"/>
      <c r="C17" s="524"/>
      <c r="D17" s="810" t="s">
        <v>853</v>
      </c>
      <c r="E17" s="526"/>
      <c r="F17" s="526"/>
      <c r="G17" s="526"/>
      <c r="H17" s="526"/>
      <c r="I17" s="527"/>
      <c r="J17" s="811"/>
      <c r="K17" s="524"/>
      <c r="L17" s="524"/>
      <c r="M17" s="528"/>
      <c r="N17" s="524"/>
      <c r="O17" s="524"/>
      <c r="P17" s="524"/>
      <c r="Q17" s="503"/>
      <c r="R17" s="503"/>
    </row>
    <row r="18" spans="1:18" ht="15.75">
      <c r="A18" s="503"/>
      <c r="B18" s="503"/>
      <c r="C18" s="524"/>
      <c r="D18" s="120" t="str">
        <f>CONCATENATE("(2) Total RPU Gross Plant In Service from Att O_RPU, page 2 of 5, line 2, col (5) for ",'Att O_RPU'!E319)</f>
        <v>(2) Total RPU Gross Plant In Service from Att O_RPU, page 2 of 5, line 2, col (5) for 2017</v>
      </c>
      <c r="E18" s="524"/>
      <c r="F18" s="524"/>
      <c r="G18" s="524"/>
      <c r="H18" s="524"/>
      <c r="I18" s="524"/>
      <c r="J18" s="524"/>
      <c r="K18" s="524"/>
      <c r="L18" s="524"/>
      <c r="M18" s="524"/>
      <c r="N18" s="524"/>
      <c r="O18" s="524"/>
      <c r="P18" s="524"/>
      <c r="Q18" s="503"/>
      <c r="R18" s="503"/>
    </row>
    <row r="19" spans="1:18" ht="15.75">
      <c r="A19" s="503"/>
      <c r="B19" s="503"/>
      <c r="C19" s="524"/>
      <c r="D19" s="120" t="str">
        <f>CONCATENATE("(3) Total RPU ATRR from Att O_RPU, page 1 of 5, line 7 for ",'Att O_RPU'!E319)</f>
        <v>(3) Total RPU ATRR from Att O_RPU, page 1 of 5, line 7 for 2017</v>
      </c>
      <c r="E19" s="524"/>
      <c r="F19" s="524"/>
      <c r="G19" s="524"/>
      <c r="H19" s="524"/>
      <c r="I19" s="524"/>
      <c r="J19" s="524"/>
      <c r="K19" s="524"/>
      <c r="L19" s="524"/>
      <c r="M19" s="524"/>
      <c r="N19" s="524"/>
      <c r="O19" s="524"/>
      <c r="P19" s="524"/>
      <c r="Q19" s="503"/>
      <c r="R19" s="503"/>
    </row>
    <row r="20" spans="1:18" ht="16.5" customHeight="1">
      <c r="A20" s="503"/>
      <c r="B20" s="503"/>
      <c r="C20" s="524"/>
      <c r="D20" s="524"/>
      <c r="E20" s="524"/>
      <c r="F20" s="524"/>
      <c r="G20" s="524"/>
      <c r="H20" s="524"/>
      <c r="I20" s="524"/>
      <c r="J20" s="524"/>
      <c r="K20" s="524"/>
      <c r="L20" s="524"/>
      <c r="M20" s="524"/>
      <c r="N20" s="524"/>
      <c r="O20" s="524"/>
      <c r="P20" s="524"/>
      <c r="Q20" s="503"/>
      <c r="R20" s="503"/>
    </row>
    <row r="21" spans="1:18">
      <c r="A21" s="503"/>
      <c r="B21" s="503"/>
      <c r="C21" s="503"/>
      <c r="D21" s="503"/>
      <c r="E21" s="503"/>
      <c r="F21" s="503"/>
      <c r="G21" s="503"/>
      <c r="H21" s="503"/>
      <c r="I21" s="503"/>
      <c r="J21" s="503"/>
      <c r="K21" s="503"/>
      <c r="L21" s="503"/>
      <c r="M21" s="503"/>
      <c r="N21" s="524"/>
      <c r="O21" s="524"/>
      <c r="P21" s="503"/>
      <c r="Q21" s="503"/>
      <c r="R21" s="503"/>
    </row>
    <row r="22" spans="1:18">
      <c r="A22" s="503"/>
      <c r="B22" s="503"/>
      <c r="C22" s="503"/>
      <c r="D22" s="503"/>
      <c r="E22" s="503"/>
      <c r="F22" s="503"/>
      <c r="G22" s="503"/>
      <c r="H22" s="503"/>
      <c r="I22" s="503"/>
      <c r="J22" s="503"/>
      <c r="K22" s="503"/>
      <c r="L22" s="503"/>
      <c r="M22" s="503"/>
      <c r="N22" s="524"/>
      <c r="O22" s="524"/>
      <c r="P22" s="503"/>
      <c r="Q22" s="503"/>
      <c r="R22" s="503"/>
    </row>
    <row r="23" spans="1:18" ht="18" customHeight="1">
      <c r="A23" s="503"/>
      <c r="B23" s="503"/>
      <c r="C23" s="503"/>
      <c r="D23" s="503"/>
      <c r="E23" s="503"/>
      <c r="F23" s="503"/>
      <c r="G23" s="503"/>
      <c r="H23" s="503"/>
      <c r="I23" s="503"/>
      <c r="J23" s="503"/>
      <c r="K23" s="503"/>
      <c r="L23" s="503"/>
      <c r="M23" s="503"/>
      <c r="N23" s="524"/>
      <c r="O23" s="524"/>
      <c r="P23" s="503"/>
      <c r="Q23" s="503"/>
      <c r="R23" s="503"/>
    </row>
    <row r="24" spans="1:18" ht="15.75" customHeight="1">
      <c r="A24" s="503"/>
      <c r="B24" s="503"/>
      <c r="C24" s="503"/>
      <c r="D24" s="503"/>
      <c r="E24" s="503"/>
      <c r="F24" s="503"/>
      <c r="G24" s="503"/>
      <c r="H24" s="503"/>
      <c r="I24" s="503"/>
      <c r="J24" s="503"/>
      <c r="K24" s="503"/>
      <c r="L24" s="503"/>
      <c r="M24" s="503"/>
      <c r="N24" s="524"/>
      <c r="O24" s="524"/>
      <c r="P24" s="503"/>
      <c r="Q24" s="503"/>
      <c r="R24" s="503"/>
    </row>
    <row r="25" spans="1:18">
      <c r="A25" s="503"/>
      <c r="B25" s="503"/>
      <c r="C25" s="503"/>
      <c r="D25" s="503"/>
      <c r="E25" s="503"/>
      <c r="F25" s="503"/>
      <c r="G25" s="503"/>
      <c r="H25" s="503"/>
      <c r="I25" s="503"/>
      <c r="J25" s="503"/>
      <c r="K25" s="503"/>
      <c r="L25" s="503"/>
      <c r="M25" s="503"/>
      <c r="N25" s="524"/>
      <c r="O25" s="524"/>
      <c r="P25" s="503"/>
      <c r="Q25" s="503"/>
      <c r="R25" s="503"/>
    </row>
    <row r="26" spans="1:18" ht="15.75">
      <c r="A26" s="503"/>
      <c r="B26" s="781"/>
      <c r="C26" s="781"/>
      <c r="D26" s="781"/>
      <c r="E26" s="781"/>
      <c r="F26" s="781"/>
      <c r="G26" s="781"/>
      <c r="H26" s="781"/>
      <c r="I26" s="781"/>
      <c r="J26" s="781"/>
      <c r="K26" s="781"/>
      <c r="L26" s="781"/>
      <c r="M26" s="781"/>
      <c r="N26" s="52"/>
      <c r="O26" s="52"/>
      <c r="P26" s="503"/>
      <c r="Q26" s="503"/>
      <c r="R26" s="13" t="str">
        <f>'Att O_RPU'!K3</f>
        <v>For the 12 months ended 12/31/17</v>
      </c>
    </row>
    <row r="27" spans="1:18" ht="15.75">
      <c r="A27" s="503"/>
      <c r="B27" s="781"/>
      <c r="C27" s="781"/>
      <c r="D27" s="781"/>
      <c r="E27" s="13"/>
      <c r="F27" s="781"/>
      <c r="G27" s="781"/>
      <c r="H27" s="781"/>
      <c r="I27" s="781"/>
      <c r="J27" s="781"/>
      <c r="K27" s="781"/>
      <c r="L27" s="781"/>
      <c r="M27" s="781"/>
      <c r="N27" s="52"/>
      <c r="O27" s="52"/>
      <c r="P27" s="781"/>
      <c r="Q27" s="503"/>
      <c r="R27" s="64" t="s">
        <v>730</v>
      </c>
    </row>
    <row r="28" spans="1:18" ht="15.75">
      <c r="A28" s="964" t="s">
        <v>633</v>
      </c>
      <c r="B28" s="964"/>
      <c r="C28" s="964"/>
      <c r="D28" s="964"/>
      <c r="E28" s="964"/>
      <c r="F28" s="964"/>
      <c r="G28" s="964"/>
      <c r="H28" s="964"/>
      <c r="I28" s="964"/>
      <c r="J28" s="964"/>
      <c r="K28" s="964"/>
      <c r="L28" s="964"/>
      <c r="M28" s="964"/>
      <c r="N28" s="964"/>
      <c r="O28" s="964"/>
      <c r="P28" s="964"/>
      <c r="Q28" s="503"/>
      <c r="R28" s="503"/>
    </row>
    <row r="29" spans="1:18" ht="15.75">
      <c r="A29" s="964" t="s">
        <v>810</v>
      </c>
      <c r="B29" s="964"/>
      <c r="C29" s="964"/>
      <c r="D29" s="964"/>
      <c r="E29" s="964"/>
      <c r="F29" s="964"/>
      <c r="G29" s="964"/>
      <c r="H29" s="964"/>
      <c r="I29" s="964"/>
      <c r="J29" s="964"/>
      <c r="K29" s="964"/>
      <c r="L29" s="964"/>
      <c r="M29" s="964"/>
      <c r="N29" s="964"/>
      <c r="O29" s="964"/>
      <c r="P29" s="964"/>
      <c r="Q29" s="503"/>
      <c r="R29" s="503"/>
    </row>
    <row r="30" spans="1:18" ht="15.75">
      <c r="A30" s="781"/>
      <c r="B30" s="781"/>
      <c r="C30" s="781"/>
      <c r="D30" s="781"/>
      <c r="E30" s="781"/>
      <c r="F30" s="781"/>
      <c r="G30" s="781"/>
      <c r="H30" s="781"/>
      <c r="I30" s="781"/>
      <c r="J30" s="781"/>
      <c r="K30" s="781"/>
      <c r="L30" s="781"/>
      <c r="M30" s="781"/>
      <c r="N30" s="52"/>
      <c r="O30" s="52"/>
      <c r="P30" s="503"/>
      <c r="Q30" s="503"/>
      <c r="R30" s="503"/>
    </row>
    <row r="31" spans="1:18">
      <c r="A31" s="503"/>
      <c r="B31" s="503"/>
      <c r="C31" s="503"/>
      <c r="D31" s="503"/>
      <c r="E31" s="503"/>
      <c r="F31" s="503"/>
      <c r="G31" s="503"/>
      <c r="H31" s="503"/>
      <c r="I31" s="503"/>
      <c r="J31" s="503"/>
      <c r="K31" s="503"/>
      <c r="L31" s="503"/>
      <c r="M31" s="503"/>
      <c r="N31" s="524"/>
      <c r="O31" s="524"/>
      <c r="P31" s="503"/>
      <c r="Q31" s="503"/>
      <c r="R31" s="503"/>
    </row>
    <row r="32" spans="1:18" ht="15.75">
      <c r="A32" s="978" t="s">
        <v>821</v>
      </c>
      <c r="B32" s="978"/>
      <c r="C32" s="978"/>
      <c r="D32" s="978"/>
      <c r="E32" s="978"/>
      <c r="F32" s="978"/>
      <c r="G32" s="978"/>
      <c r="H32" s="978"/>
      <c r="I32" s="978"/>
      <c r="J32" s="978"/>
      <c r="K32" s="978"/>
      <c r="L32" s="978"/>
      <c r="M32" s="978"/>
      <c r="N32" s="978"/>
      <c r="O32" s="978"/>
      <c r="P32" s="978"/>
      <c r="Q32" s="503"/>
      <c r="R32" s="503"/>
    </row>
    <row r="33" spans="1:18" ht="15.75">
      <c r="A33" s="503"/>
      <c r="B33" s="781"/>
      <c r="C33" s="781"/>
      <c r="D33" s="781"/>
      <c r="E33" s="781"/>
      <c r="F33" s="781"/>
      <c r="G33" s="781"/>
      <c r="H33" s="781"/>
      <c r="I33" s="781"/>
      <c r="J33" s="781"/>
      <c r="K33" s="781"/>
      <c r="L33" s="781"/>
      <c r="M33" s="781"/>
      <c r="N33" s="52"/>
      <c r="O33" s="52"/>
      <c r="P33" s="781"/>
      <c r="Q33" s="503"/>
      <c r="R33" s="503"/>
    </row>
    <row r="34" spans="1:18" ht="15" customHeight="1">
      <c r="A34" s="979" t="s">
        <v>813</v>
      </c>
      <c r="B34" s="979"/>
      <c r="C34" s="979"/>
      <c r="D34" s="979"/>
      <c r="E34" s="979"/>
      <c r="F34" s="979"/>
      <c r="G34" s="979"/>
      <c r="H34" s="979"/>
      <c r="I34" s="979"/>
      <c r="J34" s="979"/>
      <c r="K34" s="979"/>
      <c r="L34" s="979"/>
      <c r="M34" s="979"/>
      <c r="N34" s="979"/>
      <c r="O34" s="979"/>
      <c r="P34" s="979"/>
      <c r="Q34" s="503"/>
      <c r="R34" s="503"/>
    </row>
    <row r="35" spans="1:18" ht="15.75">
      <c r="A35" s="503"/>
      <c r="B35" s="812"/>
      <c r="C35" s="503"/>
      <c r="D35" s="980" t="s">
        <v>814</v>
      </c>
      <c r="E35" s="980"/>
      <c r="F35" s="980"/>
      <c r="G35" s="812"/>
      <c r="H35" s="980" t="s">
        <v>815</v>
      </c>
      <c r="I35" s="980"/>
      <c r="J35" s="980"/>
      <c r="K35" s="980"/>
      <c r="L35" s="980"/>
      <c r="M35" s="642"/>
      <c r="N35" s="812"/>
      <c r="O35" s="812"/>
      <c r="P35" s="813"/>
      <c r="Q35" s="642"/>
      <c r="R35" s="812"/>
    </row>
    <row r="36" spans="1:18" ht="62.25" customHeight="1">
      <c r="A36" s="529" t="s">
        <v>466</v>
      </c>
      <c r="B36" s="38" t="s">
        <v>822</v>
      </c>
      <c r="C36" s="698" t="s">
        <v>468</v>
      </c>
      <c r="D36" s="657" t="s">
        <v>816</v>
      </c>
      <c r="E36" s="657" t="s">
        <v>396</v>
      </c>
      <c r="F36" s="657" t="s">
        <v>817</v>
      </c>
      <c r="G36" s="657"/>
      <c r="H36" s="657" t="s">
        <v>816</v>
      </c>
      <c r="I36" s="657" t="s">
        <v>396</v>
      </c>
      <c r="J36" s="657" t="s">
        <v>818</v>
      </c>
      <c r="K36" s="657" t="s">
        <v>819</v>
      </c>
      <c r="L36" s="814" t="s">
        <v>820</v>
      </c>
      <c r="M36" s="657"/>
      <c r="N36" s="657" t="s">
        <v>854</v>
      </c>
      <c r="O36" s="657"/>
      <c r="P36" s="814" t="s">
        <v>855</v>
      </c>
      <c r="Q36" s="657"/>
      <c r="R36" s="657" t="s">
        <v>668</v>
      </c>
    </row>
    <row r="37" spans="1:18">
      <c r="A37" s="503"/>
      <c r="B37" s="503"/>
      <c r="C37" s="503"/>
      <c r="D37" s="503"/>
      <c r="E37" s="503"/>
      <c r="F37" s="503"/>
      <c r="G37" s="503"/>
      <c r="H37" s="503"/>
      <c r="I37" s="503"/>
      <c r="J37" s="503"/>
      <c r="K37" s="503"/>
      <c r="L37" s="503"/>
      <c r="M37" s="503"/>
      <c r="N37" s="503"/>
      <c r="O37" s="503"/>
      <c r="P37" s="524"/>
      <c r="Q37" s="503"/>
      <c r="R37" s="503"/>
    </row>
    <row r="38" spans="1:18" ht="15.75">
      <c r="A38" s="14">
        <v>1</v>
      </c>
      <c r="B38" s="630" t="s">
        <v>464</v>
      </c>
      <c r="C38" s="815">
        <f>'Att O_RPU'!E318</f>
        <v>2016</v>
      </c>
      <c r="D38" s="816">
        <v>21760638</v>
      </c>
      <c r="E38" s="816">
        <v>0</v>
      </c>
      <c r="F38" s="816">
        <f>D38+E38</f>
        <v>21760638</v>
      </c>
      <c r="G38" s="817"/>
      <c r="H38" s="816">
        <f>Plant!G6+Plant!H6-D38</f>
        <v>37796442</v>
      </c>
      <c r="I38" s="818">
        <v>0</v>
      </c>
      <c r="J38" s="816">
        <f>+H38+I38</f>
        <v>37796442</v>
      </c>
      <c r="K38" s="816">
        <f>Plant!H6</f>
        <v>20128550.57</v>
      </c>
      <c r="L38" s="816">
        <f>+J38-K38</f>
        <v>17667891.43</v>
      </c>
      <c r="M38" s="817"/>
      <c r="N38" s="816">
        <f>F38+J38</f>
        <v>59557080</v>
      </c>
      <c r="O38" s="817"/>
      <c r="P38" s="816">
        <f>Plant!I6</f>
        <v>1928351</v>
      </c>
      <c r="Q38" s="817"/>
      <c r="R38" s="816">
        <f>F38+J38+P38</f>
        <v>61485431</v>
      </c>
    </row>
    <row r="39" spans="1:18" ht="15.75">
      <c r="A39" s="14">
        <v>2</v>
      </c>
      <c r="B39" s="630" t="s">
        <v>453</v>
      </c>
      <c r="C39" s="815">
        <f>'Att O_RPU'!E319</f>
        <v>2017</v>
      </c>
      <c r="D39" s="818">
        <f>D38</f>
        <v>21760638</v>
      </c>
      <c r="E39" s="818">
        <v>0</v>
      </c>
      <c r="F39" s="819">
        <f>D39+E39</f>
        <v>21760638</v>
      </c>
      <c r="G39" s="817"/>
      <c r="H39" s="818">
        <f>H38</f>
        <v>37796442</v>
      </c>
      <c r="I39" s="818">
        <f>Plant!H7-Plant!H$6</f>
        <v>0</v>
      </c>
      <c r="J39" s="818">
        <f>+H39+I39</f>
        <v>37796442</v>
      </c>
      <c r="K39" s="818">
        <f>Plant!H7</f>
        <v>20128550.57</v>
      </c>
      <c r="L39" s="818">
        <f>+J39-K39</f>
        <v>17667891.43</v>
      </c>
      <c r="M39" s="817"/>
      <c r="N39" s="818">
        <f>F39+J39</f>
        <v>59557080</v>
      </c>
      <c r="O39" s="817"/>
      <c r="P39" s="818">
        <f>Plant!I7</f>
        <v>1928351</v>
      </c>
      <c r="Q39" s="817"/>
      <c r="R39" s="818">
        <f t="shared" ref="R39:R50" si="1">+F39+J39+P39</f>
        <v>61485431</v>
      </c>
    </row>
    <row r="40" spans="1:18" ht="15.75">
      <c r="A40" s="14">
        <v>3</v>
      </c>
      <c r="B40" s="630" t="s">
        <v>454</v>
      </c>
      <c r="C40" s="815">
        <f>C39</f>
        <v>2017</v>
      </c>
      <c r="D40" s="818">
        <f t="shared" ref="D40:D50" si="2">D39</f>
        <v>21760638</v>
      </c>
      <c r="E40" s="818">
        <v>0</v>
      </c>
      <c r="F40" s="819">
        <f t="shared" ref="F40:F50" si="3">D40+E40</f>
        <v>21760638</v>
      </c>
      <c r="G40" s="817"/>
      <c r="H40" s="818">
        <f t="shared" ref="H40:H50" si="4">H39</f>
        <v>37796442</v>
      </c>
      <c r="I40" s="818">
        <f>Plant!H8-Plant!H$6</f>
        <v>0</v>
      </c>
      <c r="J40" s="818">
        <f t="shared" ref="J40:J50" si="5">+H40+I40</f>
        <v>37796442</v>
      </c>
      <c r="K40" s="819">
        <f>Plant!H8</f>
        <v>20128550.57</v>
      </c>
      <c r="L40" s="819">
        <f t="shared" ref="L40:L50" si="6">+J40-K40</f>
        <v>17667891.43</v>
      </c>
      <c r="M40" s="817"/>
      <c r="N40" s="818">
        <f t="shared" ref="N40:N50" si="7">F40+J40</f>
        <v>59557080</v>
      </c>
      <c r="O40" s="817"/>
      <c r="P40" s="818">
        <f>Plant!I8</f>
        <v>1928351</v>
      </c>
      <c r="Q40" s="817"/>
      <c r="R40" s="818">
        <f t="shared" si="1"/>
        <v>61485431</v>
      </c>
    </row>
    <row r="41" spans="1:18" ht="15.75">
      <c r="A41" s="14">
        <v>4</v>
      </c>
      <c r="B41" s="630" t="s">
        <v>455</v>
      </c>
      <c r="C41" s="815">
        <f t="shared" ref="C41:C50" si="8">C40</f>
        <v>2017</v>
      </c>
      <c r="D41" s="818">
        <f t="shared" si="2"/>
        <v>21760638</v>
      </c>
      <c r="E41" s="818">
        <v>0</v>
      </c>
      <c r="F41" s="819">
        <f t="shared" si="3"/>
        <v>21760638</v>
      </c>
      <c r="G41" s="817"/>
      <c r="H41" s="818">
        <f t="shared" si="4"/>
        <v>37796442</v>
      </c>
      <c r="I41" s="818">
        <f>Plant!H9-Plant!H$6</f>
        <v>0</v>
      </c>
      <c r="J41" s="818">
        <f t="shared" si="5"/>
        <v>37796442</v>
      </c>
      <c r="K41" s="819">
        <f>Plant!H9</f>
        <v>20128550.57</v>
      </c>
      <c r="L41" s="819">
        <f t="shared" si="6"/>
        <v>17667891.43</v>
      </c>
      <c r="M41" s="817"/>
      <c r="N41" s="818">
        <f t="shared" si="7"/>
        <v>59557080</v>
      </c>
      <c r="O41" s="817"/>
      <c r="P41" s="818">
        <f>Plant!I9</f>
        <v>1928351</v>
      </c>
      <c r="Q41" s="817"/>
      <c r="R41" s="818">
        <f t="shared" si="1"/>
        <v>61485431</v>
      </c>
    </row>
    <row r="42" spans="1:18" ht="15.75">
      <c r="A42" s="14">
        <v>5</v>
      </c>
      <c r="B42" s="630" t="s">
        <v>456</v>
      </c>
      <c r="C42" s="815">
        <f t="shared" si="8"/>
        <v>2017</v>
      </c>
      <c r="D42" s="818">
        <f t="shared" si="2"/>
        <v>21760638</v>
      </c>
      <c r="E42" s="818">
        <v>0</v>
      </c>
      <c r="F42" s="819">
        <f t="shared" si="3"/>
        <v>21760638</v>
      </c>
      <c r="G42" s="817"/>
      <c r="H42" s="818">
        <f t="shared" si="4"/>
        <v>37796442</v>
      </c>
      <c r="I42" s="818">
        <f>Plant!H10-Plant!H$6</f>
        <v>0</v>
      </c>
      <c r="J42" s="818">
        <f t="shared" si="5"/>
        <v>37796442</v>
      </c>
      <c r="K42" s="819">
        <f>Plant!H10</f>
        <v>20128550.57</v>
      </c>
      <c r="L42" s="819">
        <f t="shared" si="6"/>
        <v>17667891.43</v>
      </c>
      <c r="M42" s="817"/>
      <c r="N42" s="818">
        <f t="shared" si="7"/>
        <v>59557080</v>
      </c>
      <c r="O42" s="817"/>
      <c r="P42" s="818">
        <f>Plant!I10</f>
        <v>1928351</v>
      </c>
      <c r="Q42" s="817"/>
      <c r="R42" s="818">
        <f t="shared" si="1"/>
        <v>61485431</v>
      </c>
    </row>
    <row r="43" spans="1:18" ht="15.75">
      <c r="A43" s="14">
        <v>6</v>
      </c>
      <c r="B43" s="630" t="s">
        <v>457</v>
      </c>
      <c r="C43" s="815">
        <f t="shared" si="8"/>
        <v>2017</v>
      </c>
      <c r="D43" s="818">
        <f t="shared" si="2"/>
        <v>21760638</v>
      </c>
      <c r="E43" s="818">
        <v>0</v>
      </c>
      <c r="F43" s="819">
        <f t="shared" si="3"/>
        <v>21760638</v>
      </c>
      <c r="G43" s="817"/>
      <c r="H43" s="818">
        <f t="shared" si="4"/>
        <v>37796442</v>
      </c>
      <c r="I43" s="818">
        <f>Plant!H11-Plant!H$6</f>
        <v>0</v>
      </c>
      <c r="J43" s="818">
        <f t="shared" si="5"/>
        <v>37796442</v>
      </c>
      <c r="K43" s="819">
        <f>Plant!H11</f>
        <v>20128550.57</v>
      </c>
      <c r="L43" s="819">
        <f t="shared" si="6"/>
        <v>17667891.43</v>
      </c>
      <c r="M43" s="817"/>
      <c r="N43" s="818">
        <f t="shared" si="7"/>
        <v>59557080</v>
      </c>
      <c r="O43" s="817"/>
      <c r="P43" s="818">
        <f>Plant!I11</f>
        <v>1928351</v>
      </c>
      <c r="Q43" s="817"/>
      <c r="R43" s="818">
        <f t="shared" si="1"/>
        <v>61485431</v>
      </c>
    </row>
    <row r="44" spans="1:18" ht="15.75">
      <c r="A44" s="14">
        <v>7</v>
      </c>
      <c r="B44" s="630" t="s">
        <v>458</v>
      </c>
      <c r="C44" s="815">
        <f t="shared" si="8"/>
        <v>2017</v>
      </c>
      <c r="D44" s="818">
        <f t="shared" si="2"/>
        <v>21760638</v>
      </c>
      <c r="E44" s="818">
        <v>0</v>
      </c>
      <c r="F44" s="819">
        <f t="shared" si="3"/>
        <v>21760638</v>
      </c>
      <c r="G44" s="817"/>
      <c r="H44" s="818">
        <f t="shared" si="4"/>
        <v>37796442</v>
      </c>
      <c r="I44" s="818">
        <f>Plant!H12-Plant!H$6</f>
        <v>0</v>
      </c>
      <c r="J44" s="818">
        <f t="shared" si="5"/>
        <v>37796442</v>
      </c>
      <c r="K44" s="819">
        <f>Plant!H12</f>
        <v>20128550.57</v>
      </c>
      <c r="L44" s="819">
        <f t="shared" si="6"/>
        <v>17667891.43</v>
      </c>
      <c r="M44" s="817"/>
      <c r="N44" s="818">
        <f t="shared" si="7"/>
        <v>59557080</v>
      </c>
      <c r="O44" s="817"/>
      <c r="P44" s="818">
        <f>Plant!I12</f>
        <v>1928351</v>
      </c>
      <c r="Q44" s="817"/>
      <c r="R44" s="818">
        <f t="shared" si="1"/>
        <v>61485431</v>
      </c>
    </row>
    <row r="45" spans="1:18" ht="15.75">
      <c r="A45" s="14">
        <v>8</v>
      </c>
      <c r="B45" s="630" t="s">
        <v>459</v>
      </c>
      <c r="C45" s="815">
        <f t="shared" si="8"/>
        <v>2017</v>
      </c>
      <c r="D45" s="818">
        <f t="shared" si="2"/>
        <v>21760638</v>
      </c>
      <c r="E45" s="818">
        <v>0</v>
      </c>
      <c r="F45" s="819">
        <f t="shared" si="3"/>
        <v>21760638</v>
      </c>
      <c r="G45" s="817"/>
      <c r="H45" s="818">
        <f t="shared" si="4"/>
        <v>37796442</v>
      </c>
      <c r="I45" s="818">
        <f>Plant!H13-Plant!H$6</f>
        <v>0</v>
      </c>
      <c r="J45" s="818">
        <f t="shared" si="5"/>
        <v>37796442</v>
      </c>
      <c r="K45" s="819">
        <f>Plant!H13</f>
        <v>20128550.57</v>
      </c>
      <c r="L45" s="819">
        <f t="shared" si="6"/>
        <v>17667891.43</v>
      </c>
      <c r="M45" s="817"/>
      <c r="N45" s="818">
        <f t="shared" si="7"/>
        <v>59557080</v>
      </c>
      <c r="O45" s="817"/>
      <c r="P45" s="818">
        <f>Plant!I13</f>
        <v>1928351</v>
      </c>
      <c r="Q45" s="817"/>
      <c r="R45" s="818">
        <f t="shared" si="1"/>
        <v>61485431</v>
      </c>
    </row>
    <row r="46" spans="1:18" ht="15.75">
      <c r="A46" s="14">
        <v>9</v>
      </c>
      <c r="B46" s="630" t="s">
        <v>460</v>
      </c>
      <c r="C46" s="815">
        <f t="shared" si="8"/>
        <v>2017</v>
      </c>
      <c r="D46" s="818">
        <f t="shared" si="2"/>
        <v>21760638</v>
      </c>
      <c r="E46" s="818">
        <v>0</v>
      </c>
      <c r="F46" s="819">
        <f t="shared" si="3"/>
        <v>21760638</v>
      </c>
      <c r="G46" s="817"/>
      <c r="H46" s="818">
        <f t="shared" si="4"/>
        <v>37796442</v>
      </c>
      <c r="I46" s="818">
        <f>Plant!H14-Plant!H$6</f>
        <v>0</v>
      </c>
      <c r="J46" s="818">
        <f t="shared" si="5"/>
        <v>37796442</v>
      </c>
      <c r="K46" s="819">
        <f>Plant!H14</f>
        <v>20128550.57</v>
      </c>
      <c r="L46" s="819">
        <f t="shared" si="6"/>
        <v>17667891.43</v>
      </c>
      <c r="M46" s="817"/>
      <c r="N46" s="818">
        <f t="shared" si="7"/>
        <v>59557080</v>
      </c>
      <c r="O46" s="817"/>
      <c r="P46" s="818">
        <f>Plant!I14</f>
        <v>1928351</v>
      </c>
      <c r="Q46" s="817"/>
      <c r="R46" s="818">
        <f t="shared" si="1"/>
        <v>61485431</v>
      </c>
    </row>
    <row r="47" spans="1:18" ht="15.75">
      <c r="A47" s="14">
        <v>10</v>
      </c>
      <c r="B47" s="630" t="s">
        <v>461</v>
      </c>
      <c r="C47" s="815">
        <f t="shared" si="8"/>
        <v>2017</v>
      </c>
      <c r="D47" s="818">
        <f t="shared" si="2"/>
        <v>21760638</v>
      </c>
      <c r="E47" s="818">
        <v>0</v>
      </c>
      <c r="F47" s="819">
        <f t="shared" si="3"/>
        <v>21760638</v>
      </c>
      <c r="G47" s="817"/>
      <c r="H47" s="818">
        <f t="shared" si="4"/>
        <v>37796442</v>
      </c>
      <c r="I47" s="818">
        <f>Plant!H15-Plant!H$6</f>
        <v>0</v>
      </c>
      <c r="J47" s="818">
        <f t="shared" si="5"/>
        <v>37796442</v>
      </c>
      <c r="K47" s="819">
        <f>Plant!H15</f>
        <v>20128550.57</v>
      </c>
      <c r="L47" s="819">
        <f t="shared" si="6"/>
        <v>17667891.43</v>
      </c>
      <c r="M47" s="817"/>
      <c r="N47" s="818">
        <f t="shared" si="7"/>
        <v>59557080</v>
      </c>
      <c r="O47" s="817"/>
      <c r="P47" s="818">
        <f>Plant!I15</f>
        <v>1928351</v>
      </c>
      <c r="Q47" s="817"/>
      <c r="R47" s="818">
        <f t="shared" si="1"/>
        <v>61485431</v>
      </c>
    </row>
    <row r="48" spans="1:18" ht="15.75">
      <c r="A48" s="14">
        <v>11</v>
      </c>
      <c r="B48" s="630" t="s">
        <v>462</v>
      </c>
      <c r="C48" s="815">
        <f t="shared" si="8"/>
        <v>2017</v>
      </c>
      <c r="D48" s="818">
        <f t="shared" si="2"/>
        <v>21760638</v>
      </c>
      <c r="E48" s="818">
        <v>0</v>
      </c>
      <c r="F48" s="819">
        <f t="shared" si="3"/>
        <v>21760638</v>
      </c>
      <c r="G48" s="817"/>
      <c r="H48" s="818">
        <f t="shared" si="4"/>
        <v>37796442</v>
      </c>
      <c r="I48" s="818">
        <f>Plant!H16-Plant!H$6</f>
        <v>0</v>
      </c>
      <c r="J48" s="818">
        <f t="shared" si="5"/>
        <v>37796442</v>
      </c>
      <c r="K48" s="819">
        <f>Plant!H16</f>
        <v>20128550.57</v>
      </c>
      <c r="L48" s="819">
        <f t="shared" si="6"/>
        <v>17667891.43</v>
      </c>
      <c r="M48" s="817"/>
      <c r="N48" s="818">
        <f t="shared" si="7"/>
        <v>59557080</v>
      </c>
      <c r="O48" s="817"/>
      <c r="P48" s="818">
        <f>Plant!I16</f>
        <v>1928351</v>
      </c>
      <c r="Q48" s="817"/>
      <c r="R48" s="818">
        <f t="shared" si="1"/>
        <v>61485431</v>
      </c>
    </row>
    <row r="49" spans="1:26" ht="15.75">
      <c r="A49" s="14">
        <v>12</v>
      </c>
      <c r="B49" s="630" t="s">
        <v>463</v>
      </c>
      <c r="C49" s="815">
        <f t="shared" si="8"/>
        <v>2017</v>
      </c>
      <c r="D49" s="818">
        <f t="shared" si="2"/>
        <v>21760638</v>
      </c>
      <c r="E49" s="818">
        <v>0</v>
      </c>
      <c r="F49" s="819">
        <f t="shared" si="3"/>
        <v>21760638</v>
      </c>
      <c r="G49" s="817"/>
      <c r="H49" s="818">
        <f t="shared" si="4"/>
        <v>37796442</v>
      </c>
      <c r="I49" s="818">
        <f>Plant!H17-Plant!H$6</f>
        <v>0</v>
      </c>
      <c r="J49" s="818">
        <f t="shared" si="5"/>
        <v>37796442</v>
      </c>
      <c r="K49" s="819">
        <f>Plant!H17</f>
        <v>20128550.57</v>
      </c>
      <c r="L49" s="819">
        <f t="shared" si="6"/>
        <v>17667891.43</v>
      </c>
      <c r="M49" s="817"/>
      <c r="N49" s="818">
        <f t="shared" si="7"/>
        <v>59557080</v>
      </c>
      <c r="O49" s="817"/>
      <c r="P49" s="818">
        <f>Plant!I17</f>
        <v>1928351</v>
      </c>
      <c r="Q49" s="817"/>
      <c r="R49" s="818">
        <f t="shared" si="1"/>
        <v>61485431</v>
      </c>
    </row>
    <row r="50" spans="1:26" ht="18">
      <c r="A50" s="14">
        <v>13</v>
      </c>
      <c r="B50" s="630" t="s">
        <v>464</v>
      </c>
      <c r="C50" s="815">
        <f t="shared" si="8"/>
        <v>2017</v>
      </c>
      <c r="D50" s="818">
        <f t="shared" si="2"/>
        <v>21760638</v>
      </c>
      <c r="E50" s="818">
        <f>Plant!G18-Plant!G$6</f>
        <v>0</v>
      </c>
      <c r="F50" s="819">
        <f t="shared" si="3"/>
        <v>21760638</v>
      </c>
      <c r="G50" s="820"/>
      <c r="H50" s="818">
        <f t="shared" si="4"/>
        <v>37796442</v>
      </c>
      <c r="I50" s="818">
        <f>Plant!H18-Plant!H$6</f>
        <v>0</v>
      </c>
      <c r="J50" s="819">
        <f t="shared" si="5"/>
        <v>37796442</v>
      </c>
      <c r="K50" s="819">
        <f>Plant!H18</f>
        <v>20128550.57</v>
      </c>
      <c r="L50" s="819">
        <f t="shared" si="6"/>
        <v>17667891.43</v>
      </c>
      <c r="M50" s="821"/>
      <c r="N50" s="818">
        <f t="shared" si="7"/>
        <v>59557080</v>
      </c>
      <c r="O50" s="821"/>
      <c r="P50" s="818">
        <f>Plant!I18</f>
        <v>1928351</v>
      </c>
      <c r="Q50" s="821"/>
      <c r="R50" s="818">
        <f t="shared" si="1"/>
        <v>61485431</v>
      </c>
    </row>
    <row r="51" spans="1:26" ht="16.5" thickBot="1">
      <c r="A51" s="14">
        <v>14</v>
      </c>
      <c r="B51" s="40" t="s">
        <v>476</v>
      </c>
      <c r="C51" s="40"/>
      <c r="D51" s="40"/>
      <c r="E51" s="822"/>
      <c r="F51" s="823">
        <f>AVERAGE(F38:F50)</f>
        <v>21760638</v>
      </c>
      <c r="G51" s="822"/>
      <c r="H51" s="822"/>
      <c r="I51" s="822"/>
      <c r="J51" s="823">
        <f>AVERAGE(J38:J50)</f>
        <v>37796442</v>
      </c>
      <c r="K51" s="823">
        <f>AVERAGE(K38:K50)</f>
        <v>20128550.569999997</v>
      </c>
      <c r="L51" s="823">
        <f>AVERAGE(L38:L50)</f>
        <v>17667891.430000003</v>
      </c>
      <c r="M51" s="822"/>
      <c r="N51" s="823">
        <f>AVERAGE(N38:N50)</f>
        <v>59557080</v>
      </c>
      <c r="O51" s="822"/>
      <c r="P51" s="824"/>
      <c r="Q51" s="822"/>
      <c r="R51" s="823">
        <f>AVERAGE(R38:R50)</f>
        <v>61485431</v>
      </c>
      <c r="T51" s="556" t="str">
        <f>IF(ABS(N51-'Att O_RPU'!D66)&gt;1,'Interzonal Alloc'!Z52,'Interzonal Alloc'!V54)</f>
        <v xml:space="preserve"> </v>
      </c>
      <c r="U51" s="775" t="s">
        <v>834</v>
      </c>
    </row>
    <row r="52" spans="1:26" ht="15.75" thickTop="1">
      <c r="A52" s="503"/>
      <c r="B52" s="503"/>
      <c r="C52" s="503"/>
      <c r="D52" s="503"/>
      <c r="E52" s="503"/>
      <c r="F52" s="503"/>
      <c r="G52" s="503"/>
      <c r="H52" s="503"/>
      <c r="I52" s="503"/>
      <c r="J52" s="503"/>
      <c r="K52" s="503"/>
      <c r="L52" s="503"/>
      <c r="M52" s="503"/>
      <c r="N52" s="503"/>
      <c r="O52" s="503"/>
      <c r="P52" s="524"/>
      <c r="Q52" s="503"/>
      <c r="R52" s="503"/>
      <c r="U52" s="775" t="s">
        <v>832</v>
      </c>
      <c r="Z52" t="s">
        <v>865</v>
      </c>
    </row>
    <row r="53" spans="1:26">
      <c r="A53" s="503"/>
      <c r="B53" s="503"/>
      <c r="C53" s="503"/>
      <c r="D53" s="503"/>
      <c r="E53" s="503"/>
      <c r="F53" s="503"/>
      <c r="G53" s="503"/>
      <c r="H53" s="503"/>
      <c r="I53" s="503"/>
      <c r="J53" s="503"/>
      <c r="L53" s="503"/>
      <c r="M53" s="503"/>
      <c r="N53" s="503"/>
      <c r="O53" s="503"/>
      <c r="P53" s="503"/>
      <c r="Q53" s="503"/>
      <c r="R53" s="503"/>
    </row>
    <row r="54" spans="1:26" ht="15.75">
      <c r="A54" s="503"/>
      <c r="B54" s="825" t="s">
        <v>859</v>
      </c>
      <c r="C54" s="825"/>
      <c r="D54" s="825"/>
      <c r="E54" s="825"/>
      <c r="F54" s="825"/>
      <c r="G54" s="503"/>
      <c r="H54" s="503"/>
      <c r="I54" s="503"/>
      <c r="J54" s="503"/>
      <c r="K54" s="503"/>
      <c r="L54" s="503"/>
      <c r="M54" s="503"/>
      <c r="N54" s="503"/>
      <c r="O54" s="503"/>
      <c r="P54" s="503"/>
      <c r="Q54" s="503"/>
      <c r="R54" s="503"/>
      <c r="V54" t="s">
        <v>2</v>
      </c>
    </row>
    <row r="55" spans="1:26" ht="15.75">
      <c r="A55" s="503"/>
      <c r="B55" s="826" t="s">
        <v>862</v>
      </c>
      <c r="C55" s="825"/>
      <c r="D55" s="825"/>
      <c r="E55" s="503"/>
      <c r="F55" s="503"/>
      <c r="G55" s="503"/>
      <c r="H55" s="816">
        <f>Plant!H62</f>
        <v>1590071</v>
      </c>
      <c r="I55" s="503"/>
      <c r="J55" s="503"/>
      <c r="K55" s="503"/>
      <c r="L55" s="503"/>
      <c r="M55" s="503"/>
      <c r="N55" s="503"/>
      <c r="O55" s="503"/>
      <c r="P55" s="503"/>
      <c r="Q55" s="503"/>
      <c r="R55" s="503"/>
    </row>
    <row r="56" spans="1:26" ht="15.75">
      <c r="A56" s="503"/>
      <c r="B56" s="826" t="s">
        <v>863</v>
      </c>
      <c r="C56" s="825"/>
      <c r="D56" s="825"/>
      <c r="E56" s="503"/>
      <c r="F56" s="503"/>
      <c r="G56" s="503"/>
      <c r="H56" s="827">
        <f>Plant!H63</f>
        <v>338280</v>
      </c>
      <c r="I56" s="503"/>
      <c r="J56" s="503"/>
      <c r="K56" s="503"/>
      <c r="L56" s="503"/>
      <c r="M56" s="503"/>
      <c r="N56" s="503"/>
      <c r="O56" s="503"/>
      <c r="P56" s="503"/>
      <c r="Q56" s="503"/>
      <c r="R56" s="503"/>
    </row>
    <row r="57" spans="1:26" ht="15.75">
      <c r="A57" s="503"/>
      <c r="B57" s="825"/>
      <c r="C57" s="825"/>
      <c r="D57" s="825"/>
      <c r="E57" s="825"/>
      <c r="F57" s="503"/>
      <c r="G57" s="503"/>
      <c r="H57" s="816">
        <f>SUM(H55:H56)</f>
        <v>1928351</v>
      </c>
      <c r="I57" s="503"/>
      <c r="J57" s="503"/>
      <c r="K57" s="503"/>
      <c r="L57" s="503"/>
      <c r="M57" s="503"/>
      <c r="N57" s="503"/>
      <c r="O57" s="503"/>
      <c r="P57" s="503"/>
      <c r="Q57" s="503"/>
      <c r="R57" s="503"/>
    </row>
    <row r="58" spans="1:26">
      <c r="K58" s="876">
        <f>E50+K50-Plant!H18</f>
        <v>0</v>
      </c>
      <c r="R58" s="876">
        <f>R51-'Plant Sched 4'!G17</f>
        <v>0</v>
      </c>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2" fitToHeight="0" orientation="landscape"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topLeftCell="A13" zoomScale="80" zoomScaleNormal="80" workbookViewId="0">
      <selection activeCell="C41" sqref="C41"/>
    </sheetView>
  </sheetViews>
  <sheetFormatPr defaultColWidth="8.88671875" defaultRowHeight="12.75"/>
  <cols>
    <col min="1" max="1" width="5.21875" style="138" customWidth="1"/>
    <col min="2" max="2" width="30.88671875" style="138" customWidth="1"/>
    <col min="3" max="3" width="13" style="138" customWidth="1"/>
    <col min="4" max="4" width="5.21875" style="138" customWidth="1"/>
    <col min="5" max="5" width="30.88671875" style="138" customWidth="1"/>
    <col min="6" max="6" width="13" style="137" customWidth="1"/>
    <col min="7" max="16384" width="8.88671875" style="138"/>
  </cols>
  <sheetData>
    <row r="1" spans="1:6" s="137" customFormat="1" ht="15.75">
      <c r="A1" s="981" t="str">
        <f>Coversheet!B3</f>
        <v>Rochester Public Utilities</v>
      </c>
      <c r="B1" s="981"/>
      <c r="C1" s="981"/>
      <c r="D1" s="981"/>
      <c r="E1" s="981"/>
      <c r="F1" s="981"/>
    </row>
    <row r="2" spans="1:6" s="137" customFormat="1" ht="15">
      <c r="A2" s="982" t="s">
        <v>276</v>
      </c>
      <c r="B2" s="982"/>
      <c r="C2" s="982"/>
      <c r="D2" s="982"/>
      <c r="E2" s="982"/>
      <c r="F2" s="982"/>
    </row>
    <row r="3" spans="1:6" s="137" customFormat="1" ht="15">
      <c r="A3" s="982" t="s">
        <v>277</v>
      </c>
      <c r="B3" s="982"/>
      <c r="C3" s="982"/>
      <c r="D3" s="982"/>
      <c r="E3" s="982"/>
      <c r="F3" s="982"/>
    </row>
    <row r="4" spans="1:6" s="137" customFormat="1" ht="15.75">
      <c r="A4" s="983" t="str">
        <f>IF('Att O_RPU'!$I$19&gt;0.5,CONCATENATE("FLTY Forecast for 12 Months Ended December 31, ",'Att O_RPU'!E319),CONCATENATE("True-up Actual for 12 Months Ended December 31, ",'Att O_RPU'!E319))</f>
        <v>FLTY Forecast for 12 Months Ended December 31, 2017</v>
      </c>
      <c r="B4" s="983"/>
      <c r="C4" s="983"/>
      <c r="D4" s="983"/>
      <c r="E4" s="983"/>
      <c r="F4" s="983"/>
    </row>
    <row r="6" spans="1:6" ht="15">
      <c r="A6" s="984" t="s">
        <v>278</v>
      </c>
      <c r="B6" s="984"/>
      <c r="C6" s="984"/>
      <c r="D6" s="984"/>
      <c r="E6" s="984"/>
      <c r="F6" s="984"/>
    </row>
    <row r="7" spans="1:6">
      <c r="A7" s="139" t="s">
        <v>4</v>
      </c>
      <c r="B7" s="140"/>
      <c r="C7" s="141" t="s">
        <v>279</v>
      </c>
      <c r="D7" s="141" t="s">
        <v>4</v>
      </c>
      <c r="E7" s="140"/>
      <c r="F7" s="237" t="s">
        <v>279</v>
      </c>
    </row>
    <row r="8" spans="1:6">
      <c r="A8" s="142" t="s">
        <v>6</v>
      </c>
      <c r="B8" s="143" t="s">
        <v>280</v>
      </c>
      <c r="C8" s="144" t="s">
        <v>281</v>
      </c>
      <c r="D8" s="144" t="s">
        <v>282</v>
      </c>
      <c r="E8" s="144" t="s">
        <v>283</v>
      </c>
      <c r="F8" s="242" t="s">
        <v>281</v>
      </c>
    </row>
    <row r="9" spans="1:6" ht="15">
      <c r="A9" s="145"/>
      <c r="B9" s="146" t="s">
        <v>284</v>
      </c>
      <c r="C9" s="147"/>
      <c r="D9" s="148"/>
      <c r="E9" s="149" t="s">
        <v>285</v>
      </c>
      <c r="F9" s="243"/>
    </row>
    <row r="10" spans="1:6" ht="15">
      <c r="A10" s="145">
        <v>1</v>
      </c>
      <c r="B10" s="150" t="s">
        <v>286</v>
      </c>
      <c r="C10" s="151"/>
      <c r="D10" s="152"/>
      <c r="E10" s="153"/>
      <c r="F10" s="244"/>
    </row>
    <row r="11" spans="1:6">
      <c r="A11" s="142"/>
      <c r="B11" s="154" t="s">
        <v>287</v>
      </c>
      <c r="C11" s="155">
        <f>ROUND('Plant Sched 4'!G25,0)</f>
        <v>356757601</v>
      </c>
      <c r="D11" s="156">
        <v>29</v>
      </c>
      <c r="E11" s="157" t="s">
        <v>288</v>
      </c>
      <c r="F11" s="568">
        <v>75875900</v>
      </c>
    </row>
    <row r="12" spans="1:6">
      <c r="A12" s="158">
        <v>2</v>
      </c>
      <c r="B12" s="159" t="s">
        <v>289</v>
      </c>
      <c r="C12" s="768">
        <f>'Plant Sched 4'!G27</f>
        <v>84161509</v>
      </c>
      <c r="D12" s="160">
        <v>30</v>
      </c>
      <c r="E12" s="161" t="s">
        <v>290</v>
      </c>
      <c r="F12" s="245">
        <v>0</v>
      </c>
    </row>
    <row r="13" spans="1:6" ht="15">
      <c r="A13" s="145">
        <v>3</v>
      </c>
      <c r="B13" s="150" t="s">
        <v>291</v>
      </c>
      <c r="C13" s="151"/>
      <c r="D13" s="152"/>
      <c r="E13" s="153"/>
      <c r="F13" s="244"/>
    </row>
    <row r="14" spans="1:6" ht="15">
      <c r="A14" s="145"/>
      <c r="B14" s="162" t="s">
        <v>292</v>
      </c>
      <c r="C14" s="151"/>
      <c r="D14" s="152">
        <v>31</v>
      </c>
      <c r="E14" s="153" t="s">
        <v>293</v>
      </c>
      <c r="F14" s="244"/>
    </row>
    <row r="15" spans="1:6" ht="13.5" thickBot="1">
      <c r="A15" s="142"/>
      <c r="B15" s="154" t="s">
        <v>294</v>
      </c>
      <c r="C15" s="769">
        <v>208628381.10714287</v>
      </c>
      <c r="D15" s="156"/>
      <c r="E15" s="164" t="s">
        <v>295</v>
      </c>
      <c r="F15" s="769">
        <v>48944353.866732739</v>
      </c>
    </row>
    <row r="16" spans="1:6" ht="13.5" thickBot="1">
      <c r="A16" s="158">
        <v>4</v>
      </c>
      <c r="B16" s="165" t="s">
        <v>296</v>
      </c>
      <c r="C16" s="166">
        <f>+C11+C12-C15</f>
        <v>232290728.89285713</v>
      </c>
      <c r="D16" s="167">
        <v>32</v>
      </c>
      <c r="E16" s="168" t="s">
        <v>297</v>
      </c>
      <c r="F16" s="166">
        <f>+F15+F11+F12</f>
        <v>124820253.86673275</v>
      </c>
    </row>
    <row r="17" spans="1:6">
      <c r="A17" s="148">
        <v>5</v>
      </c>
      <c r="B17" s="153" t="s">
        <v>298</v>
      </c>
      <c r="C17" s="169">
        <v>0</v>
      </c>
      <c r="D17" s="152"/>
      <c r="E17" s="170" t="s">
        <v>299</v>
      </c>
      <c r="F17" s="244"/>
    </row>
    <row r="18" spans="1:6" ht="15">
      <c r="A18" s="152">
        <v>6</v>
      </c>
      <c r="B18" s="171" t="s">
        <v>291</v>
      </c>
      <c r="C18" s="151"/>
      <c r="D18" s="172"/>
      <c r="E18" s="153"/>
      <c r="F18" s="244"/>
    </row>
    <row r="19" spans="1:6" ht="15">
      <c r="A19" s="145"/>
      <c r="B19" s="162" t="s">
        <v>300</v>
      </c>
      <c r="C19" s="151"/>
      <c r="D19" s="152"/>
      <c r="E19" s="153"/>
      <c r="F19" s="244"/>
    </row>
    <row r="20" spans="1:6">
      <c r="A20" s="145"/>
      <c r="B20" s="162" t="s">
        <v>301</v>
      </c>
      <c r="C20" s="163">
        <v>0</v>
      </c>
      <c r="D20" s="156">
        <v>33</v>
      </c>
      <c r="E20" s="157" t="s">
        <v>302</v>
      </c>
      <c r="F20" s="771">
        <v>197989000</v>
      </c>
    </row>
    <row r="21" spans="1:6" ht="13.5" thickBot="1">
      <c r="A21" s="173">
        <v>7</v>
      </c>
      <c r="B21" s="174" t="s">
        <v>303</v>
      </c>
      <c r="C21" s="175"/>
      <c r="D21" s="172">
        <v>34</v>
      </c>
      <c r="E21" s="153" t="s">
        <v>304</v>
      </c>
      <c r="F21" s="244"/>
    </row>
    <row r="22" spans="1:6" ht="13.5" thickBot="1">
      <c r="A22" s="142"/>
      <c r="B22" s="176" t="s">
        <v>305</v>
      </c>
      <c r="C22" s="166">
        <f>+C16+C17-C20</f>
        <v>232290728.89285713</v>
      </c>
      <c r="D22" s="144"/>
      <c r="E22" s="164" t="s">
        <v>306</v>
      </c>
      <c r="F22" s="255">
        <v>0</v>
      </c>
    </row>
    <row r="23" spans="1:6" ht="15">
      <c r="A23" s="145"/>
      <c r="B23" s="177" t="s">
        <v>307</v>
      </c>
      <c r="C23" s="151"/>
      <c r="D23" s="152">
        <v>35</v>
      </c>
      <c r="E23" s="153" t="s">
        <v>308</v>
      </c>
      <c r="F23" s="244"/>
    </row>
    <row r="24" spans="1:6">
      <c r="A24" s="142">
        <v>8</v>
      </c>
      <c r="B24" s="178" t="s">
        <v>309</v>
      </c>
      <c r="C24" s="570">
        <v>5866331.5499999998</v>
      </c>
      <c r="D24" s="156"/>
      <c r="E24" s="164" t="s">
        <v>310</v>
      </c>
      <c r="F24" s="570">
        <v>7450100</v>
      </c>
    </row>
    <row r="25" spans="1:6" ht="15">
      <c r="A25" s="145">
        <v>9</v>
      </c>
      <c r="B25" s="150" t="s">
        <v>291</v>
      </c>
      <c r="C25" s="180"/>
      <c r="D25" s="152">
        <v>36</v>
      </c>
      <c r="E25" s="153" t="s">
        <v>311</v>
      </c>
      <c r="F25" s="246"/>
    </row>
    <row r="26" spans="1:6">
      <c r="A26" s="142"/>
      <c r="B26" s="154" t="s">
        <v>312</v>
      </c>
      <c r="C26" s="570">
        <v>3509873.4299999997</v>
      </c>
      <c r="D26" s="156"/>
      <c r="E26" s="164" t="s">
        <v>313</v>
      </c>
      <c r="F26" s="570">
        <v>114600</v>
      </c>
    </row>
    <row r="27" spans="1:6" ht="15.75" thickBot="1">
      <c r="A27" s="145">
        <v>10</v>
      </c>
      <c r="B27" s="150" t="s">
        <v>314</v>
      </c>
      <c r="C27" s="180"/>
      <c r="D27" s="152"/>
      <c r="E27" s="153"/>
      <c r="F27" s="246"/>
    </row>
    <row r="28" spans="1:6" ht="13.5" thickBot="1">
      <c r="A28" s="142"/>
      <c r="B28" s="154" t="s">
        <v>315</v>
      </c>
      <c r="C28" s="163">
        <v>0</v>
      </c>
      <c r="D28" s="156">
        <v>37</v>
      </c>
      <c r="E28" s="181" t="s">
        <v>316</v>
      </c>
      <c r="F28" s="182">
        <f>+F20+F22+F24-F26</f>
        <v>205324500</v>
      </c>
    </row>
    <row r="29" spans="1:6" ht="13.5" thickBot="1">
      <c r="A29" s="158">
        <v>11</v>
      </c>
      <c r="B29" s="159" t="s">
        <v>317</v>
      </c>
      <c r="C29" s="577">
        <v>38237300</v>
      </c>
      <c r="D29" s="156"/>
      <c r="E29" s="157"/>
      <c r="F29" s="247"/>
    </row>
    <row r="30" spans="1:6" ht="13.5" thickBot="1">
      <c r="A30" s="158">
        <v>12</v>
      </c>
      <c r="B30" s="183" t="s">
        <v>318</v>
      </c>
      <c r="C30" s="182">
        <f>+C24-C26+C28+C29</f>
        <v>40593758.119999997</v>
      </c>
      <c r="D30" s="144"/>
      <c r="E30" s="184" t="s">
        <v>319</v>
      </c>
      <c r="F30" s="247"/>
    </row>
    <row r="31" spans="1:6" ht="15">
      <c r="A31" s="145"/>
      <c r="B31" s="177" t="s">
        <v>320</v>
      </c>
      <c r="C31" s="180"/>
      <c r="D31" s="160">
        <v>38</v>
      </c>
      <c r="E31" s="161" t="s">
        <v>321</v>
      </c>
      <c r="F31" s="574">
        <v>1174246.4650000001</v>
      </c>
    </row>
    <row r="32" spans="1:6" ht="15.75" thickBot="1">
      <c r="A32" s="145">
        <v>13</v>
      </c>
      <c r="B32" s="150" t="s">
        <v>322</v>
      </c>
      <c r="C32" s="180"/>
      <c r="D32" s="160">
        <v>39</v>
      </c>
      <c r="E32" s="161" t="s">
        <v>323</v>
      </c>
      <c r="F32" s="163">
        <v>0</v>
      </c>
    </row>
    <row r="33" spans="1:8" ht="13.5" thickBot="1">
      <c r="A33" s="142"/>
      <c r="B33" s="154" t="s">
        <v>324</v>
      </c>
      <c r="C33" s="570">
        <v>41446725</v>
      </c>
      <c r="D33" s="156">
        <v>40</v>
      </c>
      <c r="E33" s="181" t="s">
        <v>325</v>
      </c>
      <c r="F33" s="182">
        <f>SUM(F31:F32)</f>
        <v>1174246.4650000001</v>
      </c>
    </row>
    <row r="34" spans="1:8" ht="15">
      <c r="A34" s="145">
        <v>14</v>
      </c>
      <c r="B34" s="150" t="s">
        <v>326</v>
      </c>
      <c r="C34" s="180"/>
      <c r="D34" s="152"/>
      <c r="E34" s="153"/>
      <c r="F34" s="246"/>
    </row>
    <row r="35" spans="1:8">
      <c r="A35" s="142"/>
      <c r="B35" s="154" t="s">
        <v>327</v>
      </c>
      <c r="C35" s="179"/>
      <c r="D35" s="156"/>
      <c r="E35" s="184" t="s">
        <v>328</v>
      </c>
      <c r="F35" s="247"/>
      <c r="H35" s="185"/>
    </row>
    <row r="36" spans="1:8">
      <c r="A36" s="158">
        <v>15</v>
      </c>
      <c r="B36" s="159" t="s">
        <v>329</v>
      </c>
      <c r="C36" s="574">
        <v>8310400</v>
      </c>
      <c r="D36" s="156">
        <v>41</v>
      </c>
      <c r="E36" s="157" t="s">
        <v>330</v>
      </c>
      <c r="F36" s="768">
        <v>0</v>
      </c>
      <c r="H36" s="185"/>
    </row>
    <row r="37" spans="1:8" ht="15">
      <c r="A37" s="145">
        <v>16</v>
      </c>
      <c r="B37" s="150" t="s">
        <v>291</v>
      </c>
      <c r="C37" s="180"/>
      <c r="D37" s="152"/>
      <c r="E37" s="153"/>
      <c r="F37" s="246"/>
      <c r="H37" s="185"/>
    </row>
    <row r="38" spans="1:8">
      <c r="A38" s="142"/>
      <c r="B38" s="154" t="s">
        <v>331</v>
      </c>
      <c r="C38" s="570">
        <v>200000</v>
      </c>
      <c r="D38" s="156">
        <v>42</v>
      </c>
      <c r="E38" s="157" t="s">
        <v>332</v>
      </c>
      <c r="F38" s="570">
        <v>10229111.68</v>
      </c>
    </row>
    <row r="39" spans="1:8" ht="15">
      <c r="A39" s="145">
        <v>17</v>
      </c>
      <c r="B39" s="150" t="s">
        <v>333</v>
      </c>
      <c r="C39" s="180"/>
      <c r="D39" s="152">
        <v>43</v>
      </c>
      <c r="E39" s="153" t="s">
        <v>334</v>
      </c>
      <c r="F39" s="246"/>
    </row>
    <row r="40" spans="1:8">
      <c r="A40" s="142"/>
      <c r="B40" s="154" t="s">
        <v>335</v>
      </c>
      <c r="C40" s="570">
        <v>150000</v>
      </c>
      <c r="D40" s="156"/>
      <c r="E40" s="164" t="s">
        <v>336</v>
      </c>
      <c r="F40" s="570">
        <v>2618500</v>
      </c>
    </row>
    <row r="41" spans="1:8">
      <c r="A41" s="158">
        <v>18</v>
      </c>
      <c r="B41" s="159" t="s">
        <v>337</v>
      </c>
      <c r="C41" s="574">
        <v>6049200</v>
      </c>
      <c r="D41" s="156">
        <v>44</v>
      </c>
      <c r="E41" s="157" t="s">
        <v>338</v>
      </c>
      <c r="F41" s="570">
        <v>600000</v>
      </c>
    </row>
    <row r="42" spans="1:8">
      <c r="A42" s="158">
        <v>19</v>
      </c>
      <c r="B42" s="159" t="s">
        <v>339</v>
      </c>
      <c r="C42" s="574">
        <v>0</v>
      </c>
      <c r="D42" s="156">
        <v>45</v>
      </c>
      <c r="E42" s="157" t="s">
        <v>340</v>
      </c>
      <c r="F42" s="570">
        <v>0</v>
      </c>
    </row>
    <row r="43" spans="1:8">
      <c r="A43" s="158">
        <v>20</v>
      </c>
      <c r="B43" s="159" t="s">
        <v>341</v>
      </c>
      <c r="C43" s="769">
        <v>239800</v>
      </c>
      <c r="D43" s="156">
        <v>46</v>
      </c>
      <c r="E43" s="157" t="s">
        <v>342</v>
      </c>
      <c r="F43" s="570">
        <v>0</v>
      </c>
    </row>
    <row r="44" spans="1:8" ht="13.5" thickBot="1">
      <c r="A44" s="160">
        <v>21</v>
      </c>
      <c r="B44" s="159" t="s">
        <v>343</v>
      </c>
      <c r="C44" s="574">
        <v>5743700</v>
      </c>
      <c r="D44" s="156">
        <v>47</v>
      </c>
      <c r="E44" s="157" t="s">
        <v>344</v>
      </c>
      <c r="F44" s="572">
        <v>3396300</v>
      </c>
    </row>
    <row r="45" spans="1:8" ht="13.5" thickBot="1">
      <c r="A45" s="160">
        <v>22</v>
      </c>
      <c r="B45" s="159" t="s">
        <v>345</v>
      </c>
      <c r="C45" s="769">
        <v>0</v>
      </c>
      <c r="D45" s="156">
        <v>48</v>
      </c>
      <c r="E45" s="181" t="s">
        <v>346</v>
      </c>
      <c r="F45" s="182">
        <f>+F44+F43+F42+F41+F40+F38+F36</f>
        <v>16843911.68</v>
      </c>
    </row>
    <row r="46" spans="1:8" ht="13.5" thickBot="1">
      <c r="A46" s="160">
        <v>23</v>
      </c>
      <c r="B46" s="183" t="s">
        <v>347</v>
      </c>
      <c r="C46" s="182">
        <f>+C33+C35+C36-C38+C40+C42+C43+C44+C45+C41</f>
        <v>61739825</v>
      </c>
      <c r="D46" s="144"/>
      <c r="E46" s="184" t="s">
        <v>348</v>
      </c>
      <c r="F46" s="247"/>
    </row>
    <row r="47" spans="1:8" ht="15">
      <c r="A47" s="150"/>
      <c r="B47" s="177" t="s">
        <v>349</v>
      </c>
      <c r="C47" s="180"/>
      <c r="D47" s="152">
        <v>49</v>
      </c>
      <c r="E47" s="153" t="s">
        <v>350</v>
      </c>
      <c r="F47" s="246"/>
    </row>
    <row r="48" spans="1:8">
      <c r="A48" s="156">
        <v>24</v>
      </c>
      <c r="B48" s="178" t="s">
        <v>351</v>
      </c>
      <c r="C48" s="254">
        <v>0</v>
      </c>
      <c r="D48" s="156"/>
      <c r="E48" s="186" t="s">
        <v>352</v>
      </c>
      <c r="F48" s="771">
        <v>0</v>
      </c>
    </row>
    <row r="49" spans="1:6" ht="15">
      <c r="A49" s="152">
        <v>25</v>
      </c>
      <c r="B49" s="150" t="s">
        <v>353</v>
      </c>
      <c r="C49" s="180"/>
      <c r="D49" s="152">
        <v>50</v>
      </c>
      <c r="E49" s="153" t="s">
        <v>354</v>
      </c>
      <c r="F49" s="246"/>
    </row>
    <row r="50" spans="1:6">
      <c r="A50" s="178"/>
      <c r="B50" s="154" t="s">
        <v>355</v>
      </c>
      <c r="C50" s="570">
        <v>12354000</v>
      </c>
      <c r="D50" s="156"/>
      <c r="E50" s="164" t="s">
        <v>356</v>
      </c>
      <c r="F50" s="570">
        <v>2500000</v>
      </c>
    </row>
    <row r="51" spans="1:6" ht="15">
      <c r="A51" s="152">
        <v>26</v>
      </c>
      <c r="B51" s="150" t="s">
        <v>357</v>
      </c>
      <c r="C51" s="180"/>
      <c r="D51" s="152"/>
      <c r="E51" s="153"/>
      <c r="F51" s="246"/>
    </row>
    <row r="52" spans="1:6" ht="15">
      <c r="A52" s="145"/>
      <c r="B52" s="162" t="s">
        <v>358</v>
      </c>
      <c r="C52" s="180"/>
      <c r="D52" s="152">
        <v>51</v>
      </c>
      <c r="E52" s="153" t="s">
        <v>359</v>
      </c>
      <c r="F52" s="246"/>
    </row>
    <row r="53" spans="1:6" ht="13.5" thickBot="1">
      <c r="A53" s="142"/>
      <c r="B53" s="154" t="s">
        <v>360</v>
      </c>
      <c r="C53" s="770">
        <v>3684600</v>
      </c>
      <c r="D53" s="156"/>
      <c r="E53" s="186" t="s">
        <v>361</v>
      </c>
      <c r="F53" s="772">
        <v>0</v>
      </c>
    </row>
    <row r="54" spans="1:6" ht="13.5" thickBot="1">
      <c r="A54" s="158">
        <v>27</v>
      </c>
      <c r="B54" s="183" t="s">
        <v>362</v>
      </c>
      <c r="C54" s="182">
        <f>C48+C50+C53</f>
        <v>16038600</v>
      </c>
      <c r="D54" s="144">
        <v>52</v>
      </c>
      <c r="E54" s="181" t="s">
        <v>363</v>
      </c>
      <c r="F54" s="182">
        <f>+F53+F50+F48</f>
        <v>2500000</v>
      </c>
    </row>
    <row r="55" spans="1:6" ht="13.5" thickBot="1">
      <c r="A55" s="145"/>
      <c r="B55" s="187"/>
      <c r="C55" s="188"/>
      <c r="D55" s="152"/>
      <c r="E55" s="153"/>
      <c r="F55" s="246"/>
    </row>
    <row r="56" spans="1:6" ht="13.5" thickBot="1">
      <c r="A56" s="189">
        <v>28</v>
      </c>
      <c r="B56" s="190" t="s">
        <v>364</v>
      </c>
      <c r="C56" s="191">
        <f>+C54+C46+C21+C22+C30</f>
        <v>350662912.01285714</v>
      </c>
      <c r="D56" s="192">
        <v>53</v>
      </c>
      <c r="E56" s="193" t="s">
        <v>365</v>
      </c>
      <c r="F56" s="191">
        <f>+F54+F45+F28+F16+F33</f>
        <v>350662912.01173276</v>
      </c>
    </row>
    <row r="57" spans="1:6" ht="15">
      <c r="A57" s="194"/>
      <c r="B57" s="194"/>
      <c r="C57" s="195"/>
      <c r="D57" s="196"/>
      <c r="E57" s="196"/>
      <c r="F57" s="248"/>
    </row>
    <row r="58" spans="1:6" ht="15">
      <c r="A58" s="194"/>
      <c r="B58" s="196"/>
      <c r="C58" s="195"/>
      <c r="D58" s="196"/>
      <c r="E58" s="196"/>
      <c r="F58" s="883">
        <f>ROUND(+C56-F56,0)</f>
        <v>0</v>
      </c>
    </row>
    <row r="59" spans="1:6">
      <c r="A59" s="194"/>
      <c r="B59" s="358" t="s">
        <v>652</v>
      </c>
      <c r="C59" s="197"/>
      <c r="D59" s="196"/>
      <c r="E59" s="196"/>
      <c r="F59" s="249"/>
    </row>
    <row r="60" spans="1:6">
      <c r="A60" s="194"/>
      <c r="B60" s="358" t="s">
        <v>653</v>
      </c>
      <c r="C60" s="198"/>
      <c r="D60" s="194"/>
      <c r="E60" s="194"/>
      <c r="F60" s="250"/>
    </row>
    <row r="61" spans="1:6">
      <c r="A61" s="194"/>
      <c r="B61" s="194"/>
      <c r="C61" s="198"/>
      <c r="D61" s="194"/>
      <c r="E61" s="194"/>
      <c r="F61" s="250"/>
    </row>
    <row r="62" spans="1:6">
      <c r="A62" s="194"/>
      <c r="B62" s="194"/>
      <c r="C62" s="198"/>
      <c r="D62" s="194"/>
      <c r="E62" s="194"/>
      <c r="F62" s="251"/>
    </row>
    <row r="63" spans="1:6">
      <c r="A63" s="194"/>
      <c r="B63" s="194"/>
      <c r="C63" s="198"/>
      <c r="D63" s="194"/>
      <c r="E63" s="194"/>
      <c r="F63" s="251"/>
    </row>
    <row r="64" spans="1:6">
      <c r="A64" s="194"/>
      <c r="B64" s="194"/>
      <c r="C64" s="198"/>
      <c r="D64" s="194"/>
      <c r="E64" s="194"/>
      <c r="F64" s="234"/>
    </row>
    <row r="65" spans="1:6">
      <c r="A65" s="194"/>
      <c r="B65" s="194"/>
      <c r="C65" s="198"/>
      <c r="D65" s="194"/>
      <c r="E65" s="194"/>
      <c r="F65" s="252"/>
    </row>
    <row r="66" spans="1:6">
      <c r="A66" s="194"/>
      <c r="B66" s="194"/>
      <c r="C66" s="198"/>
      <c r="D66" s="194"/>
      <c r="E66" s="194"/>
      <c r="F66" s="234"/>
    </row>
    <row r="67" spans="1:6">
      <c r="A67" s="194"/>
      <c r="B67" s="194"/>
      <c r="C67" s="198"/>
      <c r="D67" s="194"/>
      <c r="E67" s="194"/>
      <c r="F67" s="234"/>
    </row>
    <row r="68" spans="1:6">
      <c r="A68" s="194"/>
      <c r="B68" s="194"/>
      <c r="C68" s="198"/>
      <c r="D68" s="194"/>
      <c r="E68" s="194"/>
      <c r="F68" s="234"/>
    </row>
    <row r="69" spans="1:6">
      <c r="A69" s="194"/>
      <c r="B69" s="194"/>
      <c r="C69" s="194"/>
      <c r="D69" s="194"/>
      <c r="E69" s="194"/>
      <c r="F69" s="234"/>
    </row>
    <row r="70" spans="1:6">
      <c r="A70" s="194"/>
      <c r="B70" s="194"/>
      <c r="C70" s="194"/>
      <c r="D70" s="194"/>
      <c r="E70" s="194"/>
      <c r="F70" s="234"/>
    </row>
    <row r="71" spans="1:6">
      <c r="A71" s="194"/>
      <c r="B71" s="194"/>
      <c r="C71" s="194"/>
      <c r="D71" s="194"/>
      <c r="E71" s="194"/>
      <c r="F71" s="234"/>
    </row>
    <row r="72" spans="1:6">
      <c r="A72" s="194"/>
      <c r="B72" s="194"/>
      <c r="C72" s="194"/>
      <c r="D72" s="194"/>
      <c r="E72" s="194"/>
      <c r="F72" s="234"/>
    </row>
    <row r="73" spans="1:6">
      <c r="A73" s="194"/>
      <c r="B73" s="194"/>
      <c r="C73" s="194"/>
      <c r="D73" s="194"/>
      <c r="E73" s="194"/>
      <c r="F73" s="234"/>
    </row>
    <row r="74" spans="1:6">
      <c r="A74" s="194"/>
      <c r="B74" s="194"/>
      <c r="C74" s="194"/>
      <c r="D74" s="194"/>
      <c r="E74" s="194"/>
      <c r="F74" s="234"/>
    </row>
    <row r="75" spans="1:6">
      <c r="A75" s="194"/>
      <c r="B75" s="194"/>
      <c r="C75" s="194"/>
      <c r="D75" s="194"/>
      <c r="E75" s="194"/>
      <c r="F75" s="234"/>
    </row>
    <row r="76" spans="1:6">
      <c r="A76" s="194"/>
      <c r="B76" s="194"/>
      <c r="C76" s="194"/>
      <c r="D76" s="194"/>
      <c r="E76" s="194"/>
      <c r="F76" s="234"/>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2017 Work Papers&amp;R&amp;"Arial MT,Bold"Exhibit RPU-8
Page 1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topLeftCell="A7" zoomScaleNormal="100" workbookViewId="0">
      <selection activeCell="C13" sqref="C13"/>
    </sheetView>
  </sheetViews>
  <sheetFormatPr defaultColWidth="8.88671875" defaultRowHeight="12.75"/>
  <cols>
    <col min="1" max="1" width="5.21875" style="138" customWidth="1"/>
    <col min="2" max="2" width="60" style="138" customWidth="1"/>
    <col min="3" max="3" width="13" style="138" customWidth="1"/>
    <col min="4" max="4" width="10.88671875" style="138" customWidth="1"/>
    <col min="5" max="5" width="16.88671875" style="138" customWidth="1"/>
    <col min="6" max="6" width="10.77734375" style="138" bestFit="1" customWidth="1"/>
    <col min="7" max="7" width="3.6640625" style="138" customWidth="1"/>
    <col min="8" max="8" width="10.77734375" style="138" bestFit="1" customWidth="1"/>
    <col min="9" max="9" width="9" style="138" bestFit="1" customWidth="1"/>
    <col min="10" max="16384" width="8.88671875" style="138"/>
  </cols>
  <sheetData>
    <row r="1" spans="1:9" s="137" customFormat="1" ht="15.75">
      <c r="A1" s="981" t="str">
        <f>Coversheet!B3</f>
        <v>Rochester Public Utilities</v>
      </c>
      <c r="B1" s="981"/>
      <c r="C1" s="981"/>
      <c r="D1" s="199"/>
      <c r="E1" s="199"/>
      <c r="F1" s="199"/>
    </row>
    <row r="2" spans="1:9" s="137" customFormat="1" ht="15">
      <c r="A2" s="982" t="s">
        <v>276</v>
      </c>
      <c r="B2" s="982"/>
      <c r="C2" s="982"/>
      <c r="D2" s="199"/>
      <c r="E2" s="199"/>
      <c r="F2" s="199"/>
    </row>
    <row r="3" spans="1:9" s="137" customFormat="1" ht="15">
      <c r="A3" s="982" t="s">
        <v>366</v>
      </c>
      <c r="B3" s="982"/>
      <c r="C3" s="982"/>
      <c r="D3" s="199"/>
      <c r="E3" s="199"/>
      <c r="F3" s="199"/>
    </row>
    <row r="4" spans="1:9" s="137" customFormat="1" ht="15.75">
      <c r="A4" s="983" t="str">
        <f>'Balance sheet Sched 2'!A4:F4</f>
        <v>FLTY Forecast for 12 Months Ended December 31, 2017</v>
      </c>
      <c r="B4" s="983"/>
      <c r="C4" s="983"/>
      <c r="D4" s="200"/>
      <c r="E4" s="200"/>
      <c r="F4" s="200"/>
    </row>
    <row r="5" spans="1:9" s="137" customFormat="1" ht="15">
      <c r="A5" s="201"/>
      <c r="B5" s="201"/>
      <c r="C5" s="201"/>
      <c r="D5" s="306"/>
      <c r="E5" s="306"/>
      <c r="F5" s="201"/>
    </row>
    <row r="6" spans="1:9" ht="15">
      <c r="A6" s="985" t="s">
        <v>367</v>
      </c>
      <c r="B6" s="985"/>
      <c r="C6" s="985"/>
      <c r="D6" s="305"/>
      <c r="E6" s="305"/>
      <c r="F6" s="202"/>
    </row>
    <row r="7" spans="1:9" ht="15">
      <c r="A7" s="148" t="s">
        <v>4</v>
      </c>
      <c r="B7" s="203"/>
      <c r="C7" s="204" t="s">
        <v>7</v>
      </c>
      <c r="D7" s="307"/>
      <c r="E7" s="307"/>
    </row>
    <row r="8" spans="1:9" ht="15">
      <c r="A8" s="156" t="s">
        <v>6</v>
      </c>
      <c r="B8" s="205"/>
      <c r="C8" s="144" t="s">
        <v>281</v>
      </c>
      <c r="D8" s="307"/>
      <c r="E8" s="307"/>
    </row>
    <row r="9" spans="1:9" ht="15">
      <c r="A9" s="156">
        <v>1</v>
      </c>
      <c r="B9" s="205" t="s">
        <v>368</v>
      </c>
      <c r="C9" s="569">
        <v>158069060</v>
      </c>
      <c r="D9" s="307"/>
      <c r="E9" s="307"/>
    </row>
    <row r="10" spans="1:9" ht="15.75" customHeight="1">
      <c r="A10" s="156">
        <v>2</v>
      </c>
      <c r="B10" s="205" t="s">
        <v>369</v>
      </c>
      <c r="C10" s="571">
        <f>'Op &amp; Maint Sched 7'!D42</f>
        <v>120419801</v>
      </c>
      <c r="D10" s="307"/>
      <c r="E10" s="307"/>
    </row>
    <row r="11" spans="1:9" ht="15">
      <c r="A11" s="156">
        <v>3</v>
      </c>
      <c r="B11" s="205" t="s">
        <v>370</v>
      </c>
      <c r="C11" s="571">
        <f>'Op &amp; Maint Sched 7'!E42</f>
        <v>5755479</v>
      </c>
      <c r="D11" s="307"/>
      <c r="E11" s="307"/>
      <c r="F11" s="271"/>
      <c r="G11" s="271"/>
      <c r="H11" s="271"/>
      <c r="I11" s="271"/>
    </row>
    <row r="12" spans="1:9" ht="15">
      <c r="A12" s="160">
        <v>4</v>
      </c>
      <c r="B12" s="207" t="s">
        <v>371</v>
      </c>
      <c r="C12" s="571">
        <v>9844014.2085714433</v>
      </c>
      <c r="D12" s="307"/>
      <c r="E12" s="377"/>
      <c r="F12" s="271"/>
      <c r="G12" s="271"/>
      <c r="H12" s="271"/>
      <c r="I12" s="271"/>
    </row>
    <row r="13" spans="1:9" ht="15">
      <c r="A13" s="156">
        <v>5</v>
      </c>
      <c r="B13" s="205" t="s">
        <v>372</v>
      </c>
      <c r="C13" s="571">
        <v>480200</v>
      </c>
      <c r="D13" s="307"/>
      <c r="E13" s="307"/>
      <c r="F13" s="271"/>
      <c r="G13" s="271"/>
      <c r="H13" s="271"/>
      <c r="I13" s="271"/>
    </row>
    <row r="14" spans="1:9" ht="15.75" thickBot="1">
      <c r="A14" s="152">
        <v>6</v>
      </c>
      <c r="B14" s="208" t="s">
        <v>373</v>
      </c>
      <c r="C14" s="571">
        <v>9616000</v>
      </c>
      <c r="D14" s="307"/>
      <c r="E14" s="307"/>
      <c r="F14" s="271"/>
      <c r="G14" s="271"/>
      <c r="H14" s="271"/>
      <c r="I14" s="271"/>
    </row>
    <row r="15" spans="1:9" ht="15.75" thickBot="1">
      <c r="A15" s="210">
        <v>7</v>
      </c>
      <c r="B15" s="211" t="s">
        <v>374</v>
      </c>
      <c r="C15" s="212">
        <f>SUM(C10:C14)</f>
        <v>146115494.20857143</v>
      </c>
      <c r="D15" s="307"/>
      <c r="E15" s="307"/>
      <c r="F15" s="271"/>
      <c r="G15" s="271"/>
      <c r="H15" s="271"/>
      <c r="I15" s="271"/>
    </row>
    <row r="16" spans="1:9" ht="15.75" thickBot="1">
      <c r="A16" s="210">
        <v>8</v>
      </c>
      <c r="B16" s="213" t="s">
        <v>375</v>
      </c>
      <c r="C16" s="212">
        <f>+C9-C15</f>
        <v>11953565.791428566</v>
      </c>
      <c r="D16" s="307"/>
      <c r="E16" s="307"/>
      <c r="F16" s="271"/>
      <c r="G16" s="271"/>
      <c r="H16" s="271"/>
      <c r="I16" s="271"/>
    </row>
    <row r="17" spans="1:5" ht="15.75" thickBot="1">
      <c r="A17" s="152">
        <v>9</v>
      </c>
      <c r="B17" s="208" t="s">
        <v>376</v>
      </c>
      <c r="C17" s="209">
        <v>0</v>
      </c>
      <c r="D17" s="307"/>
      <c r="E17" s="307"/>
    </row>
    <row r="18" spans="1:5" ht="15.75" thickBot="1">
      <c r="A18" s="214">
        <v>10</v>
      </c>
      <c r="B18" s="215" t="s">
        <v>377</v>
      </c>
      <c r="C18" s="212">
        <f>+C17+C16</f>
        <v>11953565.791428566</v>
      </c>
      <c r="D18" s="307"/>
      <c r="E18" s="307"/>
    </row>
    <row r="19" spans="1:5" ht="15">
      <c r="A19" s="156">
        <v>11</v>
      </c>
      <c r="B19" s="205" t="s">
        <v>378</v>
      </c>
      <c r="C19" s="571">
        <v>3363421.2453041901</v>
      </c>
      <c r="D19" s="307"/>
      <c r="E19" s="307"/>
    </row>
    <row r="20" spans="1:5" ht="15">
      <c r="A20" s="156">
        <v>12</v>
      </c>
      <c r="B20" s="205" t="s">
        <v>379</v>
      </c>
      <c r="C20" s="571">
        <v>592000</v>
      </c>
      <c r="D20" s="307"/>
      <c r="E20" s="307"/>
    </row>
    <row r="21" spans="1:5" ht="15">
      <c r="A21" s="156">
        <v>13</v>
      </c>
      <c r="B21" s="205" t="s">
        <v>380</v>
      </c>
      <c r="C21" s="571"/>
      <c r="D21" s="307"/>
      <c r="E21" s="307"/>
    </row>
    <row r="22" spans="1:5" ht="15.75" thickBot="1">
      <c r="A22" s="152">
        <v>14</v>
      </c>
      <c r="B22" s="208" t="s">
        <v>381</v>
      </c>
      <c r="C22" s="573">
        <v>0</v>
      </c>
      <c r="D22" s="307"/>
      <c r="E22" s="307"/>
    </row>
    <row r="23" spans="1:5" ht="15.75" thickBot="1">
      <c r="A23" s="210">
        <v>15</v>
      </c>
      <c r="B23" s="211" t="s">
        <v>382</v>
      </c>
      <c r="C23" s="212">
        <f>+C18+C19-C20-C21-C22</f>
        <v>14724987.036732756</v>
      </c>
      <c r="D23" s="307"/>
      <c r="E23" s="307"/>
    </row>
    <row r="24" spans="1:5" ht="15">
      <c r="A24" s="156">
        <v>16</v>
      </c>
      <c r="B24" s="205" t="s">
        <v>383</v>
      </c>
      <c r="C24" s="571">
        <v>8693229</v>
      </c>
      <c r="D24" s="307"/>
      <c r="E24" s="307"/>
    </row>
    <row r="25" spans="1:5" ht="15">
      <c r="A25" s="156">
        <v>17</v>
      </c>
      <c r="B25" s="205" t="s">
        <v>384</v>
      </c>
      <c r="C25" s="571">
        <v>-809685</v>
      </c>
      <c r="D25" s="307"/>
      <c r="E25" s="307"/>
    </row>
    <row r="26" spans="1:5" ht="15.75" thickBot="1">
      <c r="A26" s="152">
        <v>18</v>
      </c>
      <c r="B26" s="208" t="s">
        <v>385</v>
      </c>
      <c r="C26" s="571">
        <v>-1022400</v>
      </c>
      <c r="D26" s="307"/>
      <c r="E26" s="307"/>
    </row>
    <row r="27" spans="1:5" ht="15.75" thickBot="1">
      <c r="A27" s="210">
        <v>19</v>
      </c>
      <c r="B27" s="211" t="s">
        <v>386</v>
      </c>
      <c r="C27" s="212">
        <f>SUM(C24:C26)</f>
        <v>6861144</v>
      </c>
      <c r="D27" s="307"/>
      <c r="E27" s="307"/>
    </row>
    <row r="28" spans="1:5" ht="15.75" thickBot="1">
      <c r="A28" s="210">
        <v>20</v>
      </c>
      <c r="B28" s="211" t="s">
        <v>387</v>
      </c>
      <c r="C28" s="212">
        <f>+C23-C27</f>
        <v>7863843.0367327556</v>
      </c>
      <c r="D28" s="307"/>
      <c r="E28" s="307"/>
    </row>
    <row r="29" spans="1:5" ht="15">
      <c r="A29" s="156">
        <v>21</v>
      </c>
      <c r="B29" s="205" t="s">
        <v>388</v>
      </c>
      <c r="C29" s="206"/>
      <c r="D29" s="307"/>
      <c r="E29" s="308"/>
    </row>
    <row r="30" spans="1:5" ht="15.75" thickBot="1">
      <c r="A30" s="152">
        <v>22</v>
      </c>
      <c r="B30" s="208" t="s">
        <v>389</v>
      </c>
      <c r="C30" s="206">
        <v>0</v>
      </c>
      <c r="D30" s="307"/>
      <c r="E30" s="307"/>
    </row>
    <row r="31" spans="1:5" ht="15.75" thickBot="1">
      <c r="A31" s="210">
        <v>23</v>
      </c>
      <c r="B31" s="213" t="s">
        <v>390</v>
      </c>
      <c r="C31" s="216">
        <f>SUM(C28:C30)</f>
        <v>7863843.0367327556</v>
      </c>
      <c r="D31" s="307"/>
      <c r="E31" s="307"/>
    </row>
    <row r="32" spans="1:5" ht="15">
      <c r="A32" s="194"/>
      <c r="B32" s="194"/>
      <c r="D32" s="882"/>
      <c r="E32" s="307"/>
    </row>
    <row r="33" spans="1:5" ht="15">
      <c r="A33" s="358" t="s">
        <v>654</v>
      </c>
      <c r="B33" s="309"/>
      <c r="C33" s="310"/>
      <c r="D33" s="309"/>
      <c r="E33" s="307"/>
    </row>
    <row r="34" spans="1:5">
      <c r="A34" s="358" t="s">
        <v>655</v>
      </c>
      <c r="C34" s="198"/>
      <c r="D34" s="194"/>
    </row>
    <row r="35" spans="1:5">
      <c r="A35" s="194"/>
      <c r="C35" s="198"/>
      <c r="D35" s="194"/>
    </row>
    <row r="36" spans="1:5">
      <c r="A36" s="194"/>
      <c r="B36" s="194"/>
      <c r="C36" s="198"/>
      <c r="D36" s="194"/>
    </row>
    <row r="37" spans="1:5">
      <c r="A37" s="194"/>
      <c r="B37" s="194"/>
      <c r="C37" s="198"/>
      <c r="D37" s="194"/>
    </row>
    <row r="38" spans="1:5">
      <c r="C38" s="217"/>
    </row>
    <row r="39" spans="1:5">
      <c r="C39" s="217"/>
    </row>
    <row r="40" spans="1:5">
      <c r="C40" s="217"/>
    </row>
    <row r="41" spans="1:5">
      <c r="C41" s="217"/>
    </row>
    <row r="42" spans="1:5">
      <c r="C42" s="217"/>
    </row>
    <row r="43" spans="1:5">
      <c r="C43" s="217"/>
    </row>
    <row r="44" spans="1:5">
      <c r="C44" s="217"/>
    </row>
    <row r="45" spans="1:5">
      <c r="C45" s="217"/>
    </row>
    <row r="46" spans="1:5">
      <c r="C46" s="217"/>
    </row>
    <row r="47" spans="1:5">
      <c r="C47" s="217"/>
    </row>
  </sheetData>
  <mergeCells count="5">
    <mergeCell ref="A1:C1"/>
    <mergeCell ref="A2:C2"/>
    <mergeCell ref="A3:C3"/>
    <mergeCell ref="A4:C4"/>
    <mergeCell ref="A6:C6"/>
  </mergeCells>
  <pageMargins left="0.25" right="0.25" top="0.75" bottom="0.5" header="0.5" footer="0.5"/>
  <pageSetup scale="96" orientation="portrait" r:id="rId1"/>
  <headerFooter alignWithMargins="0">
    <oddHeader>&amp;L&amp;"Arial MT,Bold"Rochester Public Utilities
2017 Work Papers&amp;R&amp;"Arial MT,Bold"Exhibit RPU-8
Page 2 of 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/_layouts/MISO/ECM/Download.aspx?ID=242328</DownloadURL>
    <CSClassNames_5 xmlns="dcd6a659-3023-4248-96c5-d463e9234dde" xsi:nil="true"/>
    <PermalinkID xmlns="a646eb38-62f8-42b4-b7d8-4e325c7d82c9">242328</PermalinkID>
    <CSClassID_1 xmlns="dcd6a659-3023-4248-96c5-d463e9234dde" xsi:nil="true"/>
    <PermalinkURL xmlns="a646eb38-62f8-42b4-b7d8-4e325c7d82c9">/_layouts/MISO/ECM/Redirect.aspx?ID=242328</PermalinkURL>
    <CSClassNames_6 xmlns="dcd6a659-3023-4248-96c5-d463e9234dde">;#FERC;#</CSClassNames_6>
    <CSClassNames_1 xmlns="dcd6a659-3023-4248-96c5-d463e9234dde" xsi:nil="true"/>
    <CSClassID_3 xmlns="dcd6a659-3023-4248-96c5-d463e9234dde">;#544;#494;#552;#490;#</CSClassID_3>
    <CSClassID_2 xmlns="dcd6a659-3023-4248-96c5-d463e9234dde">;#313;#</CSClassID_2>
    <EcmsAuthor xmlns="2d309f40-9147-42c9-945b-bf0de5e50880" xsi:nil="true"/>
    <CSClassID_5 xmlns="dcd6a659-3023-4248-96c5-d463e9234dde" xsi:nil="true"/>
    <CSClassID_10 xmlns="dcd6a659-3023-4248-96c5-d463e9234dde">;#661;#654;#660;#652;#653;#</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;#Regulatory;#Reports;#</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;#445;#448;#</CSClassID_8>
    <CSClassificationMetaXML xmlns="http://schemas.microsoft.com/sharepoint/v3">61b10b9c-9686-4d17-aacd-ab9d4342c670;2017-02-07 21:35:56;AUTOCLASSIFIED;7:2017-02-07 21:35:56|False||AUTOCLASSIFIED|2017-02-07 21:35:56;5:2017-02-07 21:35:56|False||AUTOCLASSIFIED|2017-02-07 21:35:56;6:2017-02-07 21:35:56|False||AUTOCLASSIFIED|2017-02-07 21:35:56;10:2017-02-07 21:35:56|False||AUTOCLASSIFIED|2017-02-07 21:35:56;12:2017-02-07 21:35:56|False||AUTOCLASSIFIED|2017-02-07 21:35:56;9:2017-02-07 21:35:56|False||AUTOCLASSIFIED|2017-02-07 21:35:56;1:2017-02-07 21:35:56|False||AUTOCLASSIFIED|2017-02-07 21:35:56;3:2017-02-07 21:35:56|False||AUTOCLASSIFIED|2017-02-07 21:35:56;4:2017-02-07 21:35:56|False||AUTOCLASSIFIED|2017-02-07 21:35:56;2:2017-02-07 21:35:56|False||AUTOCLASSIFIED|2017-02-07 21:35:56;11:2017-02-07 21:35:56|False||AUTOCLASSIFIED|2017-02-07 21:35:56;8:2017-02-07 21:35:56|False||AUTOCLASSIFIED|2017-02-07 21:35:56;</CSClassificationMetaXML>
    <EcmsContentID xmlns="2d309f40-9147-42c9-945b-bf0de5e50880" xsi:nil="true"/>
    <CSClassNames_10 xmlns="dcd6a659-3023-4248-96c5-d463e9234dde">;#Rates &amp; Pricing;#Reports;#Orders;#Agreements;#Filings;#</CSClassNames_10>
    <CSClassNames_9 xmlns="dcd6a659-3023-4248-96c5-d463e9234dde" xsi:nil="true"/>
    <CSClassNames_3 xmlns="dcd6a659-3023-4248-96c5-d463e9234dde">;#Credit;#Forms;#Historical;#Tariff;#</CSClassNames_3>
    <CSClassNames_11 xmlns="dcd6a659-3023-4248-96c5-d463e9234dde">;#Excel Document (xls);#</CSClassNames_11>
    <TransOwner xmlns="dcd6a659-3023-4248-96c5-d463e9234dde">City of Rochester, A Minnesota Municipal Corp.</TransOwner>
    <PostedDate xmlns="dcd6a659-3023-4248-96c5-d463e9234dde">2017-01-19T19:00:00+00:00</PostedDate>
    <RateYear xmlns="dcd6a659-3023-4248-96c5-d463e9234dde">2017</RateYear>
  </documentManagement>
</p:properties>
</file>

<file path=customXml/item2.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685b2346fd9ded5372ad08f3d0c2988c">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224cb004f27941aa76da582a7bd88dcb"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Cooperative Energy"/>
          <xsd:enumeration value="Dairyland Power Cooperative (DPC)"/>
          <xsd:enumeration value="Delano Water, Light and Power Commission (Delano)"/>
          <xsd:enumeration value="Detroit Lakes Public Utilities (DLPU)"/>
          <xsd:enumeration value="Dixie Electric Membership Corporation (DEMCO)"/>
          <xsd:enumeration value="Duke Energy Business Services, LLC for Duke Energy Indiana, Inc. (DEI)"/>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East Texas Electric Cooperative"/>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arvest Wind Farm LLC"/>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ern Illinois Power Cooperative (SIPC)"/>
          <xsd:enumeration value="Southern Minnesota Municipal Power Agency (SMMPA)"/>
          <xsd:enumeration value="Tipton Municipal Utilities (Tipton)"/>
          <xsd:enumeration value="Traverse City Light &amp; Power (Traverse City)"/>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WPPI Energy (WPPI)"/>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7EB652-4BA5-4018-9DC7-2BC24FE00CCF}">
  <ds:schemaRefs>
    <ds:schemaRef ds:uri="http://purl.org/dc/dcmitype/"/>
    <ds:schemaRef ds:uri="http://www.w3.org/XML/1998/namespace"/>
    <ds:schemaRef ds:uri="http://schemas.microsoft.com/office/2006/metadata/properties"/>
    <ds:schemaRef ds:uri="http://purl.org/dc/elements/1.1/"/>
    <ds:schemaRef ds:uri="http://purl.org/dc/terms/"/>
    <ds:schemaRef ds:uri="2d309f40-9147-42c9-945b-bf0de5e50880"/>
    <ds:schemaRef ds:uri="http://schemas.microsoft.com/office/2006/documentManagement/types"/>
    <ds:schemaRef ds:uri="http://schemas.microsoft.com/sharepoint/v3"/>
    <ds:schemaRef ds:uri="http://schemas.openxmlformats.org/package/2006/metadata/core-properties"/>
    <ds:schemaRef ds:uri="a646eb38-62f8-42b4-b7d8-4e325c7d82c9"/>
    <ds:schemaRef ds:uri="dcd6a659-3023-4248-96c5-d463e9234dde"/>
  </ds:schemaRefs>
</ds:datastoreItem>
</file>

<file path=customXml/itemProps2.xml><?xml version="1.0" encoding="utf-8"?>
<ds:datastoreItem xmlns:ds="http://schemas.openxmlformats.org/officeDocument/2006/customXml" ds:itemID="{F148B64C-F6C7-46AB-9B9E-ADAD1EF650E3}">
  <ds:schemaRefs>
    <ds:schemaRef ds:uri="http://schemas.microsoft.com/sharepoint/events"/>
  </ds:schemaRefs>
</ds:datastoreItem>
</file>

<file path=customXml/itemProps3.xml><?xml version="1.0" encoding="utf-8"?>
<ds:datastoreItem xmlns:ds="http://schemas.openxmlformats.org/officeDocument/2006/customXml" ds:itemID="{986410D3-472E-4AFE-B2ED-8B97F94B00F1}">
  <ds:schemaRefs>
    <ds:schemaRef ds:uri="http://schemas.microsoft.com/sharepoint/v3/contenttype/forms"/>
  </ds:schemaRefs>
</ds:datastoreItem>
</file>

<file path=customXml/itemProps4.xml><?xml version="1.0" encoding="utf-8"?>
<ds:datastoreItem xmlns:ds="http://schemas.openxmlformats.org/officeDocument/2006/customXml" ds:itemID="{0EF38C7B-1BFA-499D-B8AD-476E3E37E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Coversheet</vt:lpstr>
      <vt:lpstr>Att O_RPU</vt:lpstr>
      <vt:lpstr>Att GG_RPU</vt:lpstr>
      <vt:lpstr>Sched 1_RPU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RPU Attach O_GG 2017 Forward Looking 11302016</dc:title>
  <dc:creator>Karen Weeden</dc:creator>
  <cp:lastModifiedBy>Spangler, Jennifer</cp:lastModifiedBy>
  <cp:lastPrinted>2016-11-16T19:42:51Z</cp:lastPrinted>
  <dcterms:created xsi:type="dcterms:W3CDTF">2008-03-20T17:17:49Z</dcterms:created>
  <dcterms:modified xsi:type="dcterms:W3CDTF">2017-03-15T19:39:31Z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 O_GG 2017 Forward Looking 11302016.xlsx</vt:lpwstr>
  </property>
  <property fmtid="{D5CDD505-2E9C-101B-9397-08002B2CF9AE}" pid="3" name="ContentTypeId">
    <vt:lpwstr>0x0101005BA905F16C0C2D48BF07586946E81D1C1100D2AB7E340F48FF48B2EC11BD89C18B0C</vt:lpwstr>
  </property>
  <property fmtid="{D5CDD505-2E9C-101B-9397-08002B2CF9AE}" pid="4" name="FTR Date">
    <vt:filetime>2017-01-19T18:35:24Z</vt:filetime>
  </property>
  <property fmtid="{D5CDD505-2E9C-101B-9397-08002B2CF9AE}" pid="5" name="Exclude">
    <vt:lpwstr>No</vt:lpwstr>
  </property>
</Properties>
</file>