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ustom.xml" ContentType="application/vnd.openxmlformats-officedocument.custom-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72" windowWidth="15840" windowHeight="9408" tabRatio="773" firstSheet="2" activeTab="12"/>
  </bookViews>
  <sheets>
    <sheet name="Coversheet" sheetId="12" r:id="rId1"/>
    <sheet name="Sched 1_RPU" sheetId="41" r:id="rId2"/>
    <sheet name="True-up Interest" sheetId="40" r:id="rId3"/>
    <sheet name="Interzonal Alloc" sheetId="37" state="hidden" r:id="rId4"/>
    <sheet name="Balance sheet Sched 2" sheetId="2" r:id="rId5"/>
    <sheet name="Income Sched 3" sheetId="3" r:id="rId6"/>
    <sheet name="Plant Sched 4" sheetId="4" r:id="rId7"/>
    <sheet name="Taxes Sched 5" sheetId="34" r:id="rId8"/>
    <sheet name="Op &amp; Maint Sched 7" sheetId="5" r:id="rId9"/>
    <sheet name="Divisor" sheetId="13" r:id="rId10"/>
    <sheet name="Plant" sheetId="14" r:id="rId11"/>
    <sheet name="Adj to Rate Base" sheetId="16" r:id="rId12"/>
    <sheet name="Land Held for Future Use" sheetId="18" r:id="rId13"/>
    <sheet name="Materials and Prepayments" sheetId="19" r:id="rId14"/>
    <sheet name="Capital Structure" sheetId="20" r:id="rId15"/>
    <sheet name="Transmission O&amp;M" sheetId="24" r:id="rId16"/>
    <sheet name="Admin &amp; General" sheetId="25" r:id="rId17"/>
    <sheet name="Wages &amp; Salaries" sheetId="33" r:id="rId18"/>
    <sheet name="FERC Fees" sheetId="26" r:id="rId19"/>
    <sheet name="EPRI Reg Comm Non Safety" sheetId="27" r:id="rId20"/>
    <sheet name="Taxes other than inc tax" sheetId="28" r:id="rId21"/>
    <sheet name="Account 454" sheetId="31" r:id="rId22"/>
    <sheet name="Account 456.1" sheetId="32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p">#REF!</definedName>
    <definedName name="__123Graph_A" hidden="1">[1]Sheet3!#REF!</definedName>
    <definedName name="__123Graph_A1991" hidden="1">[1]Sheet3!#REF!</definedName>
    <definedName name="__123Graph_A1992" hidden="1">[1]Sheet3!#REF!</definedName>
    <definedName name="__123Graph_A1993" hidden="1">[1]Sheet3!#REF!</definedName>
    <definedName name="__123Graph_A1994" hidden="1">[1]Sheet3!#REF!</definedName>
    <definedName name="__123Graph_A1995" hidden="1">[1]Sheet3!#REF!</definedName>
    <definedName name="__123Graph_A1996" hidden="1">[1]Sheet3!#REF!</definedName>
    <definedName name="__123Graph_ABAR" hidden="1">[1]Sheet3!#REF!</definedName>
    <definedName name="__123Graph_B" hidden="1">[1]Sheet3!#REF!</definedName>
    <definedName name="__123Graph_B1991" hidden="1">[1]Sheet3!#REF!</definedName>
    <definedName name="__123Graph_B1992" hidden="1">[1]Sheet3!#REF!</definedName>
    <definedName name="__123Graph_B1993" hidden="1">[1]Sheet3!#REF!</definedName>
    <definedName name="__123Graph_B1994" hidden="1">[1]Sheet3!#REF!</definedName>
    <definedName name="__123Graph_B1995" hidden="1">[1]Sheet3!#REF!</definedName>
    <definedName name="__123Graph_B1996" hidden="1">[1]Sheet3!#REF!</definedName>
    <definedName name="__123Graph_BBAR" hidden="1">[1]Sheet3!#REF!</definedName>
    <definedName name="__123Graph_CBAR" hidden="1">[1]Sheet3!#REF!</definedName>
    <definedName name="__123Graph_DBAR" hidden="1">[1]Sheet3!#REF!</definedName>
    <definedName name="__123Graph_EBAR" hidden="1">[1]Sheet3!#REF!</definedName>
    <definedName name="__123Graph_FBAR" hidden="1">[1]Sheet3!#REF!</definedName>
    <definedName name="__123Graph_X" hidden="1">[1]Sheet3!#REF!</definedName>
    <definedName name="__123Graph_X1991" hidden="1">[1]Sheet3!#REF!</definedName>
    <definedName name="__123Graph_X1992" hidden="1">[1]Sheet3!#REF!</definedName>
    <definedName name="__123Graph_X1993" hidden="1">[1]Sheet3!#REF!</definedName>
    <definedName name="__123Graph_X1994" hidden="1">[1]Sheet3!#REF!</definedName>
    <definedName name="__123Graph_X1995" hidden="1">[1]Sheet3!#REF!</definedName>
    <definedName name="__123Graph_X1996" hidden="1">[1]Sheet3!#REF!</definedName>
    <definedName name="_Check_Input">#REF!</definedName>
    <definedName name="_Checks">#REF!</definedName>
    <definedName name="_CurrCase">[2]DANDE!#REF!</definedName>
    <definedName name="_Data_Query">#REF!</definedName>
    <definedName name="_Data_Query2">#REF!</definedName>
    <definedName name="_End_Yr">#REF!</definedName>
    <definedName name="_EndYr2">#REF!</definedName>
    <definedName name="_FC_ID">#REF!</definedName>
    <definedName name="_FC_Query">#REF!</definedName>
    <definedName name="_FC_Table">#REF!</definedName>
    <definedName name="_FEB01" hidden="1">{#N/A,#N/A,FALSE,"EMPPAY"}</definedName>
    <definedName name="_Fill" hidden="1">'[3]Exp Detail'!#REF!</definedName>
    <definedName name="_JAN01" hidden="1">{#N/A,#N/A,FALSE,"EMPPAY"}</definedName>
    <definedName name="_JAN2001" hidden="1">{#N/A,#N/A,FALSE,"EMPPAY"}</definedName>
    <definedName name="_Key1" hidden="1">'[3]Exp Detail'!#REF!</definedName>
    <definedName name="_Meter_Pt">#REF!</definedName>
    <definedName name="_Order1" hidden="1">255</definedName>
    <definedName name="_Query1a">#REF!</definedName>
    <definedName name="_Query1b">#REF!</definedName>
    <definedName name="_Query2a">#REF!</definedName>
    <definedName name="_Query2b">#REF!</definedName>
    <definedName name="_RunCase">[2]DANDE!#REF!</definedName>
    <definedName name="_Sort" hidden="1">'[3]Exp Detail'!#REF!</definedName>
    <definedName name="_Split_Mthd">#REF!</definedName>
    <definedName name="_Start_Yr">#REF!</definedName>
    <definedName name="_StartYr2">#REF!</definedName>
    <definedName name="A" hidden="1">{#N/A,#N/A,FALSE,"EMPPAY"}</definedName>
    <definedName name="above">OFFSET(!A1,-1,0)</definedName>
    <definedName name="below">OFFSET(!A1,1,0)</definedName>
    <definedName name="CH_COS">#REF!</definedName>
    <definedName name="CIP_Year">OFFSET(#REF!,0,0,COUNTA(#REF!)-1,1)</definedName>
    <definedName name="Current_Year">'[4]Electric Fund Historical'!$D$1</definedName>
    <definedName name="CUSTAR">#REF!</definedName>
    <definedName name="CUYAHOGA_FALLS">#REF!</definedName>
    <definedName name="Data.All">OFFSET([5]Data!$B$2,0,0,COUNTA([5]Data!$H$1:$H$65536),16)</definedName>
    <definedName name="DATA.GF">OFFSET('[5]Data-GF'!$B$2,0,0,COUNTA('[5]Data-GF'!$G$1:$G$65536),9)</definedName>
    <definedName name="_xlnm.Database">OFFSET(#REF!,0,0,COUNTA(#REF!),11)</definedName>
    <definedName name="DEC00" hidden="1">{#N/A,#N/A,FALSE,"ARREC"}</definedName>
    <definedName name="EDGERTON">#REF!</definedName>
    <definedName name="Ellwood_City">#REF!</definedName>
    <definedName name="ELMORE">#REF!</definedName>
    <definedName name="FEB00" hidden="1">{#N/A,#N/A,FALSE,"ARREC"}</definedName>
    <definedName name="GALION">#REF!</definedName>
    <definedName name="GENOA">#REF!</definedName>
    <definedName name="GENOA_NORTH">#REF!</definedName>
    <definedName name="GENOA_SOUTH">#REF!</definedName>
    <definedName name="g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eft">OFFSET(!A1,0,-1)</definedName>
    <definedName name="LHMonth">#REF!</definedName>
    <definedName name="LHYear">#REF!</definedName>
    <definedName name="Loads">[5]Loads!$B$7:$M$37</definedName>
    <definedName name="LODI">#REF!</definedName>
    <definedName name="LUCAS">#REF!</definedName>
    <definedName name="MAY" hidden="1">{#N/A,#N/A,FALSE,"EMPPAY"}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SP_CO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21">'Account 454'!$A$1:$D$22</definedName>
    <definedName name="_xlnm.Print_Area" localSheetId="22">'Account 456.1'!$B$1:$D$40</definedName>
    <definedName name="_xlnm.Print_Area" localSheetId="11">'Adj to Rate Base'!$A$1:$E$18</definedName>
    <definedName name="_xlnm.Print_Area" localSheetId="16">'Admin &amp; General'!$A$1:$C$46</definedName>
    <definedName name="_xlnm.Print_Area" localSheetId="4">'Balance sheet Sched 2'!$A$1:$F$60</definedName>
    <definedName name="_xlnm.Print_Area" localSheetId="14">'Capital Structure'!$D$1:$K$25</definedName>
    <definedName name="_xlnm.Print_Area" localSheetId="0">Coversheet!$B$2:$D$7</definedName>
    <definedName name="_xlnm.Print_Area" localSheetId="9">Divisor!$B$1:$M$26</definedName>
    <definedName name="_xlnm.Print_Area" localSheetId="19">'EPRI Reg Comm Non Safety'!$A$1:$C$22</definedName>
    <definedName name="_xlnm.Print_Area" localSheetId="18">'FERC Fees'!$A$1:$C$14</definedName>
    <definedName name="_xlnm.Print_Area" localSheetId="5">'Income Sched 3'!$A$1:$D$34</definedName>
    <definedName name="_xlnm.Print_Area" localSheetId="3">'Interzonal Alloc'!$A$1:$R$57</definedName>
    <definedName name="_xlnm.Print_Area" localSheetId="12">'Land Held for Future Use'!$A$2:$F$23</definedName>
    <definedName name="_xlnm.Print_Area" localSheetId="13">'Materials and Prepayments'!$B$1:$I$22</definedName>
    <definedName name="_xlnm.Print_Area" localSheetId="8">'Op &amp; Maint Sched 7'!$A$1:$F$42</definedName>
    <definedName name="_xlnm.Print_Area" localSheetId="10">Plant!$C$1:$O$70</definedName>
    <definedName name="_xlnm.Print_Area" localSheetId="6">'Plant Sched 4'!$A$1:$K$32</definedName>
    <definedName name="_xlnm.Print_Area" localSheetId="20">'Taxes other than inc tax'!$A$1:$D$13</definedName>
    <definedName name="_xlnm.Print_Area" localSheetId="7">'Taxes Sched 5'!$A$1:$D$21</definedName>
    <definedName name="_xlnm.Print_Area" localSheetId="15">'Transmission O&amp;M'!$A$1:$C$39</definedName>
    <definedName name="_xlnm.Print_Area" localSheetId="2">'True-up Interest'!$N$1:$V$95</definedName>
    <definedName name="_xlnm.Print_Area" localSheetId="17">'Wages &amp; Salaries'!$A$1:$D$13</definedName>
    <definedName name="_xlnm.Print_Area">#REF!</definedName>
    <definedName name="Print_Area_MI">#REF!</definedName>
    <definedName name="Print_Titles_MI">#REF!</definedName>
    <definedName name="Print1">#REF!</definedName>
    <definedName name="Print3">#REF!</definedName>
    <definedName name="Print4">#REF!</definedName>
    <definedName name="Print5">#REF!</definedName>
    <definedName name="PROSPECT">#REF!</definedName>
    <definedName name="PSCo_COS">#REF!</definedName>
    <definedName name="queryp1">[2]DANDE!#REF!</definedName>
    <definedName name="revreq">#REF!</definedName>
    <definedName name="right">OFFSET(!A1,0,1)</definedName>
    <definedName name="SEVILLE">#REF!</definedName>
    <definedName name="SOUTH_VIENNA">#REF!</definedName>
    <definedName name="SPS_COS">#REF!</definedName>
    <definedName name="TEST" hidden="1">{#N/A,#N/A,FALSE,"EMPPAY"}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username">[2]DANDE!#REF!</definedName>
    <definedName name="vv">#REF!</definedName>
    <definedName name="WADSWORTH">#REF!</definedName>
    <definedName name="wrn.ARREC." hidden="1">{#N/A,#N/A,FALSE,"ARREC"}</definedName>
    <definedName name="wrn.EMPPAY." hidden="1">{#N/A,#N/A,FALSE,"EMPPAY"}</definedName>
    <definedName name="Xcel">'[6]Data Entry and Forecaster'!#REF!</definedName>
    <definedName name="Xcel_COS">#REF!</definedName>
    <definedName name="xx" hidden="1">{#N/A,#N/A,FALSE,"EMPPAY"}</definedName>
    <definedName name="Year">OFFSET(#REF!,0,0,COUNTA(#REF!),1)</definedName>
  </definedNames>
  <calcPr calcId="145621"/>
</workbook>
</file>

<file path=xl/calcChain.xml><?xml version="1.0" encoding="utf-8"?>
<calcChain xmlns="http://schemas.openxmlformats.org/spreadsheetml/2006/main">
  <c r="S21" i="40" l="1"/>
  <c r="Q51" i="40"/>
  <c r="Q53" i="40" s="1"/>
  <c r="Q52" i="40"/>
  <c r="T51" i="37" l="1"/>
  <c r="I14" i="37"/>
  <c r="K14" i="37" s="1"/>
  <c r="X65" i="40"/>
  <c r="AF21" i="40" l="1"/>
  <c r="AC29" i="40"/>
  <c r="AA30" i="40"/>
  <c r="AC21" i="40"/>
  <c r="AC30" i="40" s="1"/>
  <c r="AD21" i="40" s="1"/>
  <c r="AG21" i="40" s="1"/>
  <c r="AD29" i="40" l="1"/>
  <c r="AD30" i="40" l="1"/>
  <c r="AG29" i="40"/>
  <c r="AG30" i="40" s="1"/>
  <c r="V30" i="40" s="1"/>
  <c r="T25" i="40" s="1"/>
  <c r="CC65" i="40"/>
  <c r="R85" i="40" s="1"/>
  <c r="BZ65" i="40"/>
  <c r="R84" i="40" s="1"/>
  <c r="BW65" i="40"/>
  <c r="R83" i="40" s="1"/>
  <c r="BT65" i="40"/>
  <c r="R82" i="40" s="1"/>
  <c r="BQ65" i="40"/>
  <c r="H20" i="19" l="1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E30" i="41" l="1"/>
  <c r="R1" i="37"/>
  <c r="R26" i="37" s="1"/>
  <c r="L1" i="40" l="1"/>
  <c r="T56" i="40" l="1"/>
  <c r="V1" i="40"/>
  <c r="D23" i="41" l="1"/>
  <c r="J28" i="40" l="1"/>
  <c r="H70" i="14" l="1"/>
  <c r="D39" i="32" l="1"/>
  <c r="M21" i="13" l="1"/>
  <c r="M20" i="13"/>
  <c r="M19" i="13"/>
  <c r="M18" i="13"/>
  <c r="M17" i="13"/>
  <c r="M16" i="13"/>
  <c r="M15" i="13"/>
  <c r="M14" i="13"/>
  <c r="M13" i="13"/>
  <c r="M12" i="13"/>
  <c r="M11" i="13"/>
  <c r="M10" i="13"/>
  <c r="K23" i="13"/>
  <c r="I23" i="13"/>
  <c r="E26" i="41" l="1"/>
  <c r="T15" i="40" l="1"/>
  <c r="S14" i="40" l="1"/>
  <c r="S13" i="40"/>
  <c r="S12" i="40"/>
  <c r="N13" i="40" l="1"/>
  <c r="N14" i="40" s="1"/>
  <c r="N15" i="40" s="1"/>
  <c r="N17" i="40" s="1"/>
  <c r="N19" i="40" s="1"/>
  <c r="N21" i="40" s="1"/>
  <c r="N23" i="40" s="1"/>
  <c r="N25" i="40" s="1"/>
  <c r="N27" i="40" s="1"/>
  <c r="N29" i="40" s="1"/>
  <c r="N30" i="40" s="1"/>
  <c r="N31" i="40" s="1"/>
  <c r="N33" i="40" s="1"/>
  <c r="V21" i="40"/>
  <c r="V17" i="40"/>
  <c r="T19" i="40"/>
  <c r="T23" i="40" s="1"/>
  <c r="T27" i="40" s="1"/>
  <c r="V33" i="40" s="1"/>
  <c r="S15" i="40"/>
  <c r="S19" i="40" s="1"/>
  <c r="V14" i="40"/>
  <c r="V13" i="40"/>
  <c r="V12" i="40"/>
  <c r="E16" i="41"/>
  <c r="E15" i="41"/>
  <c r="E14" i="41"/>
  <c r="A14" i="41"/>
  <c r="A15" i="41" s="1"/>
  <c r="A16" i="41" s="1"/>
  <c r="A17" i="41" s="1"/>
  <c r="A19" i="41" s="1"/>
  <c r="A21" i="41" s="1"/>
  <c r="A23" i="41" s="1"/>
  <c r="A26" i="41" s="1"/>
  <c r="A28" i="41" s="1"/>
  <c r="A32" i="41" s="1"/>
  <c r="V15" i="40" l="1"/>
  <c r="N35" i="40"/>
  <c r="N37" i="40" s="1"/>
  <c r="N38" i="40" s="1"/>
  <c r="N39" i="40" s="1"/>
  <c r="N41" i="40" s="1"/>
  <c r="N43" i="40" s="1"/>
  <c r="V19" i="40"/>
  <c r="S23" i="40"/>
  <c r="V23" i="40" s="1"/>
  <c r="E17" i="41"/>
  <c r="E21" i="41" s="1"/>
  <c r="E28" i="41" s="1"/>
  <c r="R81" i="40" l="1"/>
  <c r="S80" i="40"/>
  <c r="S79" i="40"/>
  <c r="S78" i="40"/>
  <c r="S77" i="40"/>
  <c r="S76" i="40"/>
  <c r="S75" i="40"/>
  <c r="S74" i="40"/>
  <c r="S73" i="40"/>
  <c r="S72" i="40"/>
  <c r="S71" i="40"/>
  <c r="S70" i="40"/>
  <c r="S69" i="40"/>
  <c r="S68" i="40"/>
  <c r="S67" i="40"/>
  <c r="S66" i="40"/>
  <c r="A5" i="16" l="1"/>
  <c r="E29" i="5" l="1"/>
  <c r="D29" i="5"/>
  <c r="D24" i="32" l="1"/>
  <c r="J19" i="40" l="1"/>
  <c r="I49" i="37" l="1"/>
  <c r="I48" i="37"/>
  <c r="I47" i="37"/>
  <c r="I46" i="37"/>
  <c r="I45" i="37"/>
  <c r="I44" i="37"/>
  <c r="I43" i="37"/>
  <c r="I42" i="37"/>
  <c r="I41" i="37"/>
  <c r="I40" i="37"/>
  <c r="I39" i="37"/>
  <c r="J22" i="20"/>
  <c r="I22" i="20"/>
  <c r="D23" i="32"/>
  <c r="Q86" i="40" l="1"/>
  <c r="A13" i="40" l="1"/>
  <c r="A14" i="40" s="1"/>
  <c r="A16" i="40" s="1"/>
  <c r="A17" i="40" s="1"/>
  <c r="A18" i="40" s="1"/>
  <c r="A19" i="40" s="1"/>
  <c r="A20" i="40" s="1"/>
  <c r="A21" i="40" s="1"/>
  <c r="A23" i="40" s="1"/>
  <c r="A24" i="40" s="1"/>
  <c r="A25" i="40" s="1"/>
  <c r="A27" i="40" s="1"/>
  <c r="A28" i="40" s="1"/>
  <c r="A29" i="40" s="1"/>
  <c r="A31" i="40" s="1"/>
  <c r="A32" i="40" s="1"/>
  <c r="A33" i="40" s="1"/>
  <c r="B23" i="13" l="1"/>
  <c r="M23" i="13" l="1"/>
  <c r="J16" i="40" s="1"/>
  <c r="J18" i="40" l="1"/>
  <c r="J20" i="40" s="1"/>
  <c r="S25" i="40"/>
  <c r="B10" i="32"/>
  <c r="B11" i="32" s="1"/>
  <c r="B12" i="32" s="1"/>
  <c r="B13" i="32" s="1"/>
  <c r="B14" i="32" s="1"/>
  <c r="B16" i="32" s="1"/>
  <c r="B17" i="32" s="1"/>
  <c r="B18" i="32" s="1"/>
  <c r="B22" i="32" s="1"/>
  <c r="B23" i="32" s="1"/>
  <c r="B24" i="32" s="1"/>
  <c r="B25" i="32" s="1"/>
  <c r="B26" i="32" s="1"/>
  <c r="P50" i="37"/>
  <c r="P49" i="37"/>
  <c r="P48" i="37"/>
  <c r="P47" i="37"/>
  <c r="P46" i="37"/>
  <c r="P45" i="37"/>
  <c r="P44" i="37"/>
  <c r="P43" i="37"/>
  <c r="P42" i="37"/>
  <c r="P41" i="37"/>
  <c r="P40" i="37"/>
  <c r="P39" i="37"/>
  <c r="P38" i="37"/>
  <c r="A13" i="31"/>
  <c r="A14" i="31" s="1"/>
  <c r="A15" i="31" s="1"/>
  <c r="A16" i="31" s="1"/>
  <c r="C16" i="31"/>
  <c r="V29" i="40" l="1"/>
  <c r="V31" i="40" s="1"/>
  <c r="V35" i="40" s="1"/>
  <c r="V37" i="40" s="1"/>
  <c r="S27" i="40"/>
  <c r="C21" i="31"/>
  <c r="S85" i="40"/>
  <c r="S84" i="40"/>
  <c r="S83" i="40"/>
  <c r="S82" i="40"/>
  <c r="S81" i="40"/>
  <c r="N67" i="40"/>
  <c r="N68" i="40" s="1"/>
  <c r="N69" i="40" s="1"/>
  <c r="N70" i="40" s="1"/>
  <c r="N71" i="40" s="1"/>
  <c r="N72" i="40" s="1"/>
  <c r="N73" i="40" s="1"/>
  <c r="N74" i="40" s="1"/>
  <c r="N75" i="40" s="1"/>
  <c r="N76" i="40" s="1"/>
  <c r="N77" i="40" s="1"/>
  <c r="N78" i="40" s="1"/>
  <c r="N79" i="40" s="1"/>
  <c r="N80" i="40" s="1"/>
  <c r="N81" i="40" s="1"/>
  <c r="N82" i="40" s="1"/>
  <c r="N83" i="40" s="1"/>
  <c r="N84" i="40" s="1"/>
  <c r="N85" i="40" s="1"/>
  <c r="N86" i="40" s="1"/>
  <c r="BN65" i="40"/>
  <c r="BK65" i="40"/>
  <c r="BH65" i="40"/>
  <c r="BE65" i="40"/>
  <c r="BB65" i="40"/>
  <c r="R76" i="40" s="1"/>
  <c r="AY65" i="40"/>
  <c r="R75" i="40" s="1"/>
  <c r="AV65" i="40"/>
  <c r="R74" i="40" s="1"/>
  <c r="AS65" i="40"/>
  <c r="R73" i="40" s="1"/>
  <c r="AP65" i="40"/>
  <c r="R72" i="40" s="1"/>
  <c r="AM65" i="40"/>
  <c r="AJ65" i="40"/>
  <c r="AG65" i="40"/>
  <c r="AD65" i="40"/>
  <c r="AA65" i="40"/>
  <c r="R80" i="40" l="1"/>
  <c r="T80" i="40" s="1"/>
  <c r="R79" i="40"/>
  <c r="T79" i="40" s="1"/>
  <c r="R78" i="40"/>
  <c r="T78" i="40" s="1"/>
  <c r="R77" i="40"/>
  <c r="T77" i="40" s="1"/>
  <c r="R67" i="40"/>
  <c r="T67" i="40" s="1"/>
  <c r="R71" i="40"/>
  <c r="T71" i="40" s="1"/>
  <c r="R68" i="40"/>
  <c r="T68" i="40" s="1"/>
  <c r="R69" i="40"/>
  <c r="T69" i="40" s="1"/>
  <c r="R66" i="40"/>
  <c r="T66" i="40" s="1"/>
  <c r="R70" i="40"/>
  <c r="T70" i="40" s="1"/>
  <c r="T82" i="40"/>
  <c r="T73" i="40"/>
  <c r="T83" i="40"/>
  <c r="T74" i="40"/>
  <c r="T84" i="40"/>
  <c r="T75" i="40"/>
  <c r="T81" i="40"/>
  <c r="T72" i="40"/>
  <c r="T85" i="40"/>
  <c r="T76" i="40"/>
  <c r="S86" i="40"/>
  <c r="V38" i="40" s="1"/>
  <c r="R86" i="40" l="1"/>
  <c r="T86" i="40"/>
  <c r="V41" i="40" s="1"/>
  <c r="V43" i="40" s="1"/>
  <c r="B3" i="13"/>
  <c r="B3" i="18"/>
  <c r="K42" i="37" l="1"/>
  <c r="K44" i="37" l="1"/>
  <c r="K43" i="37"/>
  <c r="C49" i="24"/>
  <c r="C50" i="24" s="1"/>
  <c r="I19" i="4"/>
  <c r="L37" i="14" s="1"/>
  <c r="I18" i="4"/>
  <c r="K37" i="14" s="1"/>
  <c r="H38" i="37"/>
  <c r="F38" i="37"/>
  <c r="F39" i="37" s="1"/>
  <c r="F40" i="37" s="1"/>
  <c r="F41" i="37" s="1"/>
  <c r="F42" i="37" s="1"/>
  <c r="F43" i="37" s="1"/>
  <c r="F44" i="37" s="1"/>
  <c r="F45" i="37" s="1"/>
  <c r="F46" i="37" s="1"/>
  <c r="F47" i="37" s="1"/>
  <c r="F48" i="37" s="1"/>
  <c r="F49" i="37" s="1"/>
  <c r="F50" i="37" s="1"/>
  <c r="D38" i="37"/>
  <c r="H56" i="37"/>
  <c r="H55" i="37"/>
  <c r="K39" i="37"/>
  <c r="K38" i="37"/>
  <c r="H64" i="14"/>
  <c r="H59" i="14"/>
  <c r="M53" i="14"/>
  <c r="L53" i="14"/>
  <c r="K53" i="14"/>
  <c r="I53" i="14"/>
  <c r="G53" i="14"/>
  <c r="M52" i="14"/>
  <c r="L52" i="14"/>
  <c r="K52" i="14"/>
  <c r="I52" i="14"/>
  <c r="G52" i="14"/>
  <c r="F52" i="14"/>
  <c r="M51" i="14"/>
  <c r="L51" i="14"/>
  <c r="K51" i="14"/>
  <c r="I51" i="14"/>
  <c r="G51" i="14"/>
  <c r="F51" i="14"/>
  <c r="M50" i="14"/>
  <c r="L50" i="14"/>
  <c r="K50" i="14"/>
  <c r="I50" i="14"/>
  <c r="G50" i="14"/>
  <c r="F50" i="14"/>
  <c r="M49" i="14"/>
  <c r="L49" i="14"/>
  <c r="K49" i="14"/>
  <c r="I49" i="14"/>
  <c r="G49" i="14"/>
  <c r="F49" i="14"/>
  <c r="M48" i="14"/>
  <c r="L48" i="14"/>
  <c r="K48" i="14"/>
  <c r="I48" i="14"/>
  <c r="G48" i="14"/>
  <c r="F48" i="14"/>
  <c r="M47" i="14"/>
  <c r="L47" i="14"/>
  <c r="K47" i="14"/>
  <c r="I47" i="14"/>
  <c r="H47" i="14"/>
  <c r="G47" i="14"/>
  <c r="F47" i="14"/>
  <c r="M46" i="14"/>
  <c r="L46" i="14"/>
  <c r="K46" i="14"/>
  <c r="I46" i="14"/>
  <c r="H46" i="14"/>
  <c r="G46" i="14"/>
  <c r="F46" i="14"/>
  <c r="M45" i="14"/>
  <c r="L45" i="14"/>
  <c r="K45" i="14"/>
  <c r="I45" i="14"/>
  <c r="H45" i="14"/>
  <c r="G45" i="14"/>
  <c r="F45" i="14"/>
  <c r="M44" i="14"/>
  <c r="L44" i="14"/>
  <c r="K44" i="14"/>
  <c r="I44" i="14"/>
  <c r="H44" i="14"/>
  <c r="G44" i="14"/>
  <c r="F44" i="14"/>
  <c r="M43" i="14"/>
  <c r="L43" i="14"/>
  <c r="K43" i="14"/>
  <c r="I43" i="14"/>
  <c r="H43" i="14"/>
  <c r="G43" i="14"/>
  <c r="F43" i="14"/>
  <c r="M42" i="14"/>
  <c r="L42" i="14"/>
  <c r="K42" i="14"/>
  <c r="I42" i="14"/>
  <c r="H42" i="14"/>
  <c r="G42" i="14"/>
  <c r="F42" i="14"/>
  <c r="N41" i="14"/>
  <c r="M41" i="14"/>
  <c r="L41" i="14"/>
  <c r="K41" i="14"/>
  <c r="I41" i="14"/>
  <c r="H41" i="14"/>
  <c r="G41" i="14"/>
  <c r="N38" i="14"/>
  <c r="M38" i="14"/>
  <c r="L38" i="14"/>
  <c r="K38" i="14"/>
  <c r="I38" i="14"/>
  <c r="H67" i="14" s="1"/>
  <c r="H38" i="14"/>
  <c r="G38" i="14"/>
  <c r="J36" i="14"/>
  <c r="J35" i="14"/>
  <c r="O35" i="14" s="1"/>
  <c r="J34" i="14"/>
  <c r="O34" i="14" s="1"/>
  <c r="J33" i="14"/>
  <c r="O33" i="14" s="1"/>
  <c r="J32" i="14"/>
  <c r="O32" i="14" s="1"/>
  <c r="J31" i="14"/>
  <c r="O31" i="14" s="1"/>
  <c r="J30" i="14"/>
  <c r="O30" i="14" s="1"/>
  <c r="J29" i="14"/>
  <c r="O29" i="14" s="1"/>
  <c r="J28" i="14"/>
  <c r="O28" i="14" s="1"/>
  <c r="J27" i="14"/>
  <c r="O27" i="14" s="1"/>
  <c r="J26" i="14"/>
  <c r="O26" i="14" s="1"/>
  <c r="J25" i="14"/>
  <c r="O25" i="14" s="1"/>
  <c r="J24" i="14"/>
  <c r="M20" i="14"/>
  <c r="L20" i="14"/>
  <c r="K20" i="14"/>
  <c r="I20" i="14"/>
  <c r="G20" i="14"/>
  <c r="J12" i="14"/>
  <c r="J11" i="14"/>
  <c r="J10" i="14"/>
  <c r="J9" i="14"/>
  <c r="J8" i="14"/>
  <c r="J7" i="14"/>
  <c r="J6" i="14"/>
  <c r="K41" i="37"/>
  <c r="K40" i="37"/>
  <c r="O24" i="14" l="1"/>
  <c r="M55" i="14"/>
  <c r="O7" i="14"/>
  <c r="O42" i="14" s="1"/>
  <c r="I17" i="4"/>
  <c r="J37" i="14" s="1"/>
  <c r="K45" i="37"/>
  <c r="J42" i="14"/>
  <c r="H57" i="37"/>
  <c r="J44" i="14"/>
  <c r="L55" i="14"/>
  <c r="J43" i="14"/>
  <c r="K55" i="14"/>
  <c r="I55" i="14"/>
  <c r="J46" i="14"/>
  <c r="G55" i="14"/>
  <c r="J47" i="14"/>
  <c r="J45" i="14"/>
  <c r="O9" i="14"/>
  <c r="O44" i="14" s="1"/>
  <c r="N43" i="14"/>
  <c r="O8" i="14"/>
  <c r="O43" i="14" s="1"/>
  <c r="N42" i="14"/>
  <c r="J38" i="14"/>
  <c r="J41" i="14"/>
  <c r="H66" i="14" l="1"/>
  <c r="H68" i="14" s="1"/>
  <c r="H48" i="14"/>
  <c r="J48" i="14" s="1"/>
  <c r="J13" i="14"/>
  <c r="K46" i="37"/>
  <c r="H49" i="14"/>
  <c r="J14" i="14"/>
  <c r="N44" i="14"/>
  <c r="J49" i="14" l="1"/>
  <c r="K47" i="37"/>
  <c r="H50" i="14"/>
  <c r="J50" i="14" s="1"/>
  <c r="J15" i="14"/>
  <c r="O10" i="14"/>
  <c r="N45" i="14"/>
  <c r="K48" i="37" l="1"/>
  <c r="H51" i="14"/>
  <c r="J16" i="14"/>
  <c r="O45" i="14"/>
  <c r="N46" i="14"/>
  <c r="O11" i="14"/>
  <c r="O46" i="14" s="1"/>
  <c r="J51" i="14" l="1"/>
  <c r="K49" i="37"/>
  <c r="H52" i="14"/>
  <c r="J52" i="14" s="1"/>
  <c r="J17" i="14"/>
  <c r="N47" i="14"/>
  <c r="O12" i="14"/>
  <c r="K50" i="37" l="1"/>
  <c r="H53" i="14"/>
  <c r="J53" i="14" s="1"/>
  <c r="J55" i="14" s="1"/>
  <c r="J18" i="14"/>
  <c r="J20" i="14" s="1"/>
  <c r="H20" i="14"/>
  <c r="N48" i="14"/>
  <c r="O13" i="14"/>
  <c r="O48" i="14" s="1"/>
  <c r="O47" i="14"/>
  <c r="H55" i="14" l="1"/>
  <c r="N49" i="14"/>
  <c r="O14" i="14"/>
  <c r="O49" i="14" s="1"/>
  <c r="N50" i="14" l="1"/>
  <c r="O15" i="14"/>
  <c r="O50" i="14" s="1"/>
  <c r="N51" i="14" l="1"/>
  <c r="O16" i="14"/>
  <c r="O51" i="14" s="1"/>
  <c r="N52" i="14" l="1"/>
  <c r="O17" i="14"/>
  <c r="O52" i="14" s="1"/>
  <c r="N53" i="14" l="1"/>
  <c r="N55" i="14" s="1"/>
  <c r="O18" i="14"/>
  <c r="N20" i="14"/>
  <c r="K51" i="37" l="1"/>
  <c r="J13" i="37" s="1"/>
  <c r="J15" i="37" s="1"/>
  <c r="J38" i="37"/>
  <c r="J39" i="37" s="1"/>
  <c r="J40" i="37" s="1"/>
  <c r="J41" i="37" s="1"/>
  <c r="J42" i="37" s="1"/>
  <c r="J43" i="37" s="1"/>
  <c r="J44" i="37" s="1"/>
  <c r="J45" i="37" s="1"/>
  <c r="J46" i="37" s="1"/>
  <c r="J47" i="37" s="1"/>
  <c r="J48" i="37" s="1"/>
  <c r="J49" i="37" s="1"/>
  <c r="J50" i="37" s="1"/>
  <c r="N50" i="37" s="1"/>
  <c r="D39" i="37"/>
  <c r="H15" i="37"/>
  <c r="D40" i="37" l="1"/>
  <c r="H39" i="37"/>
  <c r="H40" i="37" s="1"/>
  <c r="L40" i="37" s="1"/>
  <c r="R38" i="37"/>
  <c r="L38" i="37"/>
  <c r="N38" i="37"/>
  <c r="D41" i="37" l="1"/>
  <c r="H41" i="37"/>
  <c r="H42" i="37" s="1"/>
  <c r="D42" i="37" l="1"/>
  <c r="L41" i="37"/>
  <c r="L39" i="37"/>
  <c r="H43" i="37"/>
  <c r="L42" i="37"/>
  <c r="O66" i="40" l="1"/>
  <c r="C28" i="40"/>
  <c r="B38" i="40"/>
  <c r="A7" i="41"/>
  <c r="D59" i="14"/>
  <c r="G70" i="14"/>
  <c r="B48" i="40"/>
  <c r="B39" i="40"/>
  <c r="D43" i="37"/>
  <c r="B42" i="40"/>
  <c r="B40" i="40"/>
  <c r="B41" i="40"/>
  <c r="D9" i="19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F10" i="13"/>
  <c r="G11" i="20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D9" i="18"/>
  <c r="D10" i="18" s="1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18" i="37"/>
  <c r="D19" i="37"/>
  <c r="E7" i="14"/>
  <c r="C39" i="37"/>
  <c r="C40" i="37" s="1"/>
  <c r="C41" i="37" s="1"/>
  <c r="C42" i="37" s="1"/>
  <c r="C43" i="37" s="1"/>
  <c r="C44" i="37" s="1"/>
  <c r="C45" i="37" s="1"/>
  <c r="C46" i="37" s="1"/>
  <c r="C47" i="37" s="1"/>
  <c r="C48" i="37" s="1"/>
  <c r="C49" i="37" s="1"/>
  <c r="C50" i="37" s="1"/>
  <c r="L43" i="37"/>
  <c r="H44" i="37"/>
  <c r="O78" i="40"/>
  <c r="A9" i="41" l="1"/>
  <c r="B47" i="40"/>
  <c r="A4" i="3"/>
  <c r="A4" i="4" s="1"/>
  <c r="A4" i="5" s="1"/>
  <c r="A4" i="34"/>
  <c r="D44" i="37"/>
  <c r="D8" i="19"/>
  <c r="G10" i="20"/>
  <c r="D8" i="18"/>
  <c r="E25" i="14"/>
  <c r="E8" i="14"/>
  <c r="E6" i="14"/>
  <c r="E24" i="14" s="1"/>
  <c r="E41" i="14" s="1"/>
  <c r="C38" i="37"/>
  <c r="H45" i="37"/>
  <c r="L44" i="37"/>
  <c r="E43" i="14" l="1"/>
  <c r="E42" i="14"/>
  <c r="D45" i="37"/>
  <c r="E26" i="14"/>
  <c r="E44" i="14" s="1"/>
  <c r="E9" i="14"/>
  <c r="H46" i="37"/>
  <c r="L45" i="37"/>
  <c r="C1" i="14"/>
  <c r="D46" i="37" l="1"/>
  <c r="E10" i="14"/>
  <c r="E27" i="14"/>
  <c r="E45" i="14" s="1"/>
  <c r="L46" i="37"/>
  <c r="H47" i="37"/>
  <c r="D47" i="37" l="1"/>
  <c r="E11" i="14"/>
  <c r="E28" i="14"/>
  <c r="E46" i="14" s="1"/>
  <c r="H48" i="37"/>
  <c r="L47" i="37"/>
  <c r="D48" i="37" l="1"/>
  <c r="E12" i="14"/>
  <c r="E29" i="14"/>
  <c r="E47" i="14" s="1"/>
  <c r="H49" i="37"/>
  <c r="L48" i="37"/>
  <c r="D49" i="37" l="1"/>
  <c r="E13" i="14"/>
  <c r="E30" i="14"/>
  <c r="E48" i="14" s="1"/>
  <c r="L49" i="37"/>
  <c r="H50" i="37"/>
  <c r="D50" i="37" l="1"/>
  <c r="E14" i="14"/>
  <c r="E31" i="14"/>
  <c r="E49" i="14" s="1"/>
  <c r="L50" i="37"/>
  <c r="J51" i="37"/>
  <c r="F13" i="37" s="1"/>
  <c r="L51" i="37" l="1"/>
  <c r="I52" i="37"/>
  <c r="E15" i="14"/>
  <c r="E32" i="14"/>
  <c r="E50" i="14" s="1"/>
  <c r="I13" i="37"/>
  <c r="E16" i="14" l="1"/>
  <c r="E33" i="14"/>
  <c r="E51" i="14" s="1"/>
  <c r="K13" i="37"/>
  <c r="E17" i="14" l="1"/>
  <c r="E34" i="14"/>
  <c r="E52" i="14" s="1"/>
  <c r="C45" i="25"/>
  <c r="E18" i="14" l="1"/>
  <c r="E36" i="14" s="1"/>
  <c r="E35" i="14"/>
  <c r="E53" i="14" s="1"/>
  <c r="J24" i="20"/>
  <c r="I24" i="20"/>
  <c r="E5" i="20"/>
  <c r="C8" i="34" l="1"/>
  <c r="C28" i="25"/>
  <c r="D28" i="5" s="1"/>
  <c r="C21" i="25" l="1"/>
  <c r="D27" i="5" s="1"/>
  <c r="G12" i="4" l="1"/>
  <c r="I15" i="4" l="1"/>
  <c r="G14" i="4" l="1"/>
  <c r="G9" i="4" l="1"/>
  <c r="G13" i="4"/>
  <c r="G18" i="4" l="1"/>
  <c r="K19" i="14" s="1"/>
  <c r="G19" i="4"/>
  <c r="L19" i="14" s="1"/>
  <c r="C15" i="4" l="1"/>
  <c r="F6" i="14" s="1"/>
  <c r="G11" i="4"/>
  <c r="F20" i="14" l="1"/>
  <c r="F41" i="14"/>
  <c r="O6" i="14"/>
  <c r="C20" i="4"/>
  <c r="C25" i="4" s="1"/>
  <c r="C28" i="4" s="1"/>
  <c r="O41" i="14" l="1"/>
  <c r="O20" i="14"/>
  <c r="C51" i="24"/>
  <c r="C19" i="5" l="1"/>
  <c r="C46" i="2" l="1"/>
  <c r="C30" i="2"/>
  <c r="E19" i="5" l="1"/>
  <c r="F13" i="5"/>
  <c r="F38" i="5"/>
  <c r="D19" i="5"/>
  <c r="D26" i="33" l="1"/>
  <c r="B26" i="33" s="1"/>
  <c r="B1" i="32" l="1"/>
  <c r="B1" i="31"/>
  <c r="A1" i="28"/>
  <c r="A1" i="27"/>
  <c r="A1" i="26"/>
  <c r="A1" i="33"/>
  <c r="A1" i="25"/>
  <c r="A1" i="24"/>
  <c r="B3" i="19"/>
  <c r="A1" i="5"/>
  <c r="A1" i="34"/>
  <c r="A1" i="4"/>
  <c r="C35" i="24" l="1"/>
  <c r="E21" i="5" s="1"/>
  <c r="C23" i="24"/>
  <c r="D21" i="5" s="1"/>
  <c r="C38" i="24" l="1"/>
  <c r="D25" i="32"/>
  <c r="A3" i="24"/>
  <c r="A3" i="25" s="1"/>
  <c r="A3" i="26" s="1"/>
  <c r="A3" i="27" s="1"/>
  <c r="A3" i="28" s="1"/>
  <c r="D13" i="28"/>
  <c r="D14" i="28" s="1"/>
  <c r="B22" i="27"/>
  <c r="B16" i="27"/>
  <c r="C14" i="26"/>
  <c r="B14" i="26"/>
  <c r="A1" i="3" l="1"/>
  <c r="A1" i="2"/>
  <c r="E22" i="18"/>
  <c r="C17" i="16"/>
  <c r="E32" i="41"/>
  <c r="F11" i="13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E22" i="19" l="1"/>
  <c r="I22" i="19" l="1"/>
  <c r="F29" i="5" l="1"/>
  <c r="F28" i="5"/>
  <c r="F27" i="5"/>
  <c r="F21" i="5"/>
  <c r="E31" i="5"/>
  <c r="E42" i="5" s="1"/>
  <c r="C11" i="3" s="1"/>
  <c r="F18" i="5"/>
  <c r="F16" i="5"/>
  <c r="F15" i="5"/>
  <c r="F11" i="5"/>
  <c r="F10" i="5"/>
  <c r="G24" i="4"/>
  <c r="G23" i="4"/>
  <c r="G22" i="4"/>
  <c r="F15" i="4"/>
  <c r="E15" i="4"/>
  <c r="D15" i="4"/>
  <c r="C27" i="3"/>
  <c r="F54" i="2"/>
  <c r="C54" i="2"/>
  <c r="F45" i="2"/>
  <c r="F33" i="2"/>
  <c r="E44" i="5" l="1"/>
  <c r="G15" i="4"/>
  <c r="F19" i="14" s="1"/>
  <c r="E20" i="4"/>
  <c r="E25" i="4" s="1"/>
  <c r="E28" i="4" s="1"/>
  <c r="D37" i="33"/>
  <c r="B37" i="33" s="1"/>
  <c r="D36" i="33"/>
  <c r="B36" i="33" s="1"/>
  <c r="D31" i="33"/>
  <c r="B31" i="33" s="1"/>
  <c r="D27" i="33"/>
  <c r="B27" i="33" s="1"/>
  <c r="D28" i="33"/>
  <c r="B28" i="33" s="1"/>
  <c r="D25" i="33"/>
  <c r="B25" i="33" s="1"/>
  <c r="C31" i="5"/>
  <c r="F19" i="5"/>
  <c r="C9" i="33" l="1"/>
  <c r="C29" i="33"/>
  <c r="C8" i="33" s="1"/>
  <c r="D29" i="33"/>
  <c r="B29" i="33" l="1"/>
  <c r="F23" i="5" l="1"/>
  <c r="D33" i="33" l="1"/>
  <c r="B33" i="33" s="1"/>
  <c r="C10" i="33"/>
  <c r="C14" i="25"/>
  <c r="D25" i="5" l="1"/>
  <c r="D31" i="5" s="1"/>
  <c r="D42" i="5" s="1"/>
  <c r="F25" i="5" l="1"/>
  <c r="D35" i="33" s="1"/>
  <c r="B35" i="33" s="1"/>
  <c r="F31" i="5"/>
  <c r="F42" i="5" s="1"/>
  <c r="C10" i="3"/>
  <c r="C15" i="3" s="1"/>
  <c r="C16" i="3" s="1"/>
  <c r="C18" i="3" s="1"/>
  <c r="C23" i="3" s="1"/>
  <c r="C28" i="3" s="1"/>
  <c r="C31" i="3" s="1"/>
  <c r="D38" i="33" l="1"/>
  <c r="D44" i="5"/>
  <c r="B38" i="33"/>
  <c r="C38" i="33"/>
  <c r="C11" i="33" s="1"/>
  <c r="C12" i="33" l="1"/>
  <c r="I20" i="4" l="1"/>
  <c r="I25" i="4" l="1"/>
  <c r="I28" i="4" l="1"/>
  <c r="I29" i="4" s="1"/>
  <c r="G27" i="4"/>
  <c r="M27" i="4" s="1"/>
  <c r="D20" i="4" l="1"/>
  <c r="G17" i="4"/>
  <c r="J19" i="14" s="1"/>
  <c r="F20" i="4"/>
  <c r="F25" i="4" s="1"/>
  <c r="F28" i="4" s="1"/>
  <c r="G20" i="4" l="1"/>
  <c r="D25" i="4"/>
  <c r="D28" i="4" l="1"/>
  <c r="G28" i="4" s="1"/>
  <c r="G25" i="4"/>
  <c r="C11" i="2" l="1"/>
  <c r="C16" i="2" s="1"/>
  <c r="C22" i="2" s="1"/>
  <c r="C56" i="2" s="1"/>
  <c r="O19" i="14"/>
  <c r="M26" i="4" l="1"/>
  <c r="F16" i="2"/>
  <c r="K22" i="20" s="1"/>
  <c r="K24" i="20" l="1"/>
  <c r="D19" i="32"/>
  <c r="D36" i="32" l="1"/>
  <c r="D22" i="32"/>
  <c r="D26" i="32" s="1"/>
  <c r="H22" i="20"/>
  <c r="H24" i="20" s="1"/>
  <c r="F28" i="2"/>
  <c r="F56" i="2" s="1"/>
  <c r="F58" i="2" s="1"/>
  <c r="J14" i="40" l="1"/>
  <c r="J21" i="40" s="1"/>
  <c r="J23" i="40" s="1"/>
  <c r="J25" i="40" s="1"/>
  <c r="N39" i="37"/>
  <c r="R39" i="37"/>
  <c r="R40" i="37"/>
  <c r="N40" i="37" l="1"/>
  <c r="R41" i="37" l="1"/>
  <c r="N41" i="37"/>
  <c r="R42" i="37" l="1"/>
  <c r="N42" i="37"/>
  <c r="N43" i="37" l="1"/>
  <c r="R43" i="37"/>
  <c r="R44" i="37" l="1"/>
  <c r="N44" i="37"/>
  <c r="R45" i="37" l="1"/>
  <c r="N45" i="37"/>
  <c r="R46" i="37" l="1"/>
  <c r="N46" i="37"/>
  <c r="N47" i="37" l="1"/>
  <c r="R47" i="37"/>
  <c r="R48" i="37" l="1"/>
  <c r="N48" i="37"/>
  <c r="R49" i="37" l="1"/>
  <c r="N49" i="37"/>
  <c r="N51" i="37" l="1"/>
  <c r="R50" i="37"/>
  <c r="R51" i="37" s="1"/>
  <c r="F51" i="37"/>
  <c r="F14" i="37" s="1"/>
  <c r="F15" i="37" l="1"/>
  <c r="I15" i="37" l="1"/>
  <c r="K15" i="37"/>
  <c r="L14" i="37" s="1"/>
  <c r="N14" i="37" s="1"/>
  <c r="L13" i="37" l="1"/>
  <c r="L15" i="37" l="1"/>
  <c r="K15" i="4" l="1"/>
  <c r="K20" i="4" l="1"/>
  <c r="K25" i="4" s="1"/>
  <c r="K28" i="4" s="1"/>
  <c r="K32" i="4" s="1"/>
  <c r="M32" i="4" s="1"/>
  <c r="F38" i="14" l="1"/>
  <c r="F53" i="14"/>
  <c r="F55" i="14" s="1"/>
  <c r="O36" i="14"/>
  <c r="F37" i="14"/>
  <c r="O38" i="14" l="1"/>
  <c r="O53" i="14"/>
  <c r="O55" i="14" s="1"/>
  <c r="O37" i="14"/>
  <c r="J29" i="40" l="1"/>
  <c r="J31" i="40" s="1"/>
  <c r="J33" i="40" s="1"/>
  <c r="N13" i="37" l="1"/>
</calcChain>
</file>

<file path=xl/sharedStrings.xml><?xml version="1.0" encoding="utf-8"?>
<sst xmlns="http://schemas.openxmlformats.org/spreadsheetml/2006/main" count="951" uniqueCount="654">
  <si>
    <t>Line</t>
  </si>
  <si>
    <t>No.</t>
  </si>
  <si>
    <t>Amount</t>
  </si>
  <si>
    <t>Total</t>
  </si>
  <si>
    <t>Annual Cost ($/kW/Yr)</t>
  </si>
  <si>
    <t>(3)</t>
  </si>
  <si>
    <t>Transmission</t>
  </si>
  <si>
    <t xml:space="preserve">  a. Transmission charges for all transmission transactions </t>
  </si>
  <si>
    <t xml:space="preserve">  c. Transmission charges from Schedules associated with Attachment GG  (Note X)</t>
  </si>
  <si>
    <t xml:space="preserve">  d. Transmission charges from Schedules associated with Attachment MM  (Note Z)</t>
  </si>
  <si>
    <t>EIA-412</t>
  </si>
  <si>
    <t>Schedule 2</t>
  </si>
  <si>
    <t>ELECTRIC BALANCE SHEET</t>
  </si>
  <si>
    <t>AMOUNT</t>
  </si>
  <si>
    <t>ASSETS and OTHER DEBITS</t>
  </si>
  <si>
    <t>(Dollars)</t>
  </si>
  <si>
    <t>No</t>
  </si>
  <si>
    <t>LIABILITIES and OTHER CREDITS</t>
  </si>
  <si>
    <t>ELECTRIC PLANT</t>
  </si>
  <si>
    <t>PROPIETARY CAPITAL</t>
  </si>
  <si>
    <t>Electric Plant &amp; Adjustments</t>
  </si>
  <si>
    <t>(101-106,114,116)</t>
  </si>
  <si>
    <t>Investment of Municipality (208)</t>
  </si>
  <si>
    <t xml:space="preserve">Construction Work In Progress (107) </t>
  </si>
  <si>
    <t>Miscellaneous Capital (211, 219, 219.1)</t>
  </si>
  <si>
    <t>(Less) Accumulated Provision for</t>
  </si>
  <si>
    <t xml:space="preserve">Depreciation, Amortization and </t>
  </si>
  <si>
    <t>Retained Earnings</t>
  </si>
  <si>
    <t>Depletion (108,111,115)</t>
  </si>
  <si>
    <t>(215, 215.1, 216)</t>
  </si>
  <si>
    <t xml:space="preserve">Net Electric Plant </t>
  </si>
  <si>
    <t>TOTAL PROPRIETARY CAPITAL</t>
  </si>
  <si>
    <t>Nuclear Fuel (120.1-120.4, 120.6)</t>
  </si>
  <si>
    <t>LONG TERM DEBT</t>
  </si>
  <si>
    <t>Amortization of Nuclear Fuel</t>
  </si>
  <si>
    <t>Assemblies (120.5)</t>
  </si>
  <si>
    <t>Bonds (221, 222)</t>
  </si>
  <si>
    <t>Net Electric Plant including Nuclear</t>
  </si>
  <si>
    <t>Advances from Municipality and Other</t>
  </si>
  <si>
    <t xml:space="preserve">Fuel </t>
  </si>
  <si>
    <t>Long Term Debt (223, 224)</t>
  </si>
  <si>
    <t>OTHER PROPERTY &amp; INVESTMENTS</t>
  </si>
  <si>
    <t xml:space="preserve">Unamortized Premium on Long Term </t>
  </si>
  <si>
    <t>Non-Electric Plant Property (121)</t>
  </si>
  <si>
    <t>Debt (225)</t>
  </si>
  <si>
    <t>(Less) Unamortized Discount on Long</t>
  </si>
  <si>
    <t>Depreciation and Amortization (122)</t>
  </si>
  <si>
    <t>Term Debt (226)</t>
  </si>
  <si>
    <t>Investment in Associated Enterprises</t>
  </si>
  <si>
    <t>(123-123.1)</t>
  </si>
  <si>
    <t>Total Long Term Debt</t>
  </si>
  <si>
    <t>Investments &amp; Special Funds (124-129)</t>
  </si>
  <si>
    <t>Total Other Property and Investments</t>
  </si>
  <si>
    <t>OTHER NONCURRENT LIABILITIES</t>
  </si>
  <si>
    <t>CURRENT &amp; ACCRUED ASSETS</t>
  </si>
  <si>
    <t>Accumulated Operating Provisions (228.1-.4)</t>
  </si>
  <si>
    <t>Cash, Working Funds &amp; Investments</t>
  </si>
  <si>
    <t>Accumulated Provisions for Rate Refunds</t>
  </si>
  <si>
    <t>(131-136)</t>
  </si>
  <si>
    <t>Total Other Non Current Liabilities</t>
  </si>
  <si>
    <t>Notes &amp; Other Receivables</t>
  </si>
  <si>
    <t>(141, 143, 145, 146, 172)</t>
  </si>
  <si>
    <t>CURRENT AND ACCRUED LIABILITIES</t>
  </si>
  <si>
    <t>Customer Accounts Recevable (142)</t>
  </si>
  <si>
    <t>Notes Payable (231)</t>
  </si>
  <si>
    <t>Uncollectible Accounts (144)</t>
  </si>
  <si>
    <t>Accounts Payable (232)</t>
  </si>
  <si>
    <t>Fuel Stock &amp; Expenses Undistributed</t>
  </si>
  <si>
    <t>Notes and Accounts Payable to</t>
  </si>
  <si>
    <t>(151-152)</t>
  </si>
  <si>
    <t>Associated Enterprises (233, 234)</t>
  </si>
  <si>
    <t>Plant Materials &amp; Operating Supplies (154)</t>
  </si>
  <si>
    <t>Customer Deposits (235)</t>
  </si>
  <si>
    <t>Other Supplies &amp; Misc (153, 155-163)</t>
  </si>
  <si>
    <t>Accrued taxes (236)</t>
  </si>
  <si>
    <t>Prepayments (165)</t>
  </si>
  <si>
    <t>Accrued Interest payable (237)</t>
  </si>
  <si>
    <t xml:space="preserve">Accrued revenues (173) </t>
  </si>
  <si>
    <t>Misc Curr &amp; Accr Liabilities (239-245)</t>
  </si>
  <si>
    <t>Misc Current &amp; Accrued Assets (171, 174)</t>
  </si>
  <si>
    <t>Total Current &amp; Accrued Liabilities</t>
  </si>
  <si>
    <t>Total Current &amp; Accrued Assets</t>
  </si>
  <si>
    <t>DEFERRED CREDITS</t>
  </si>
  <si>
    <t>DEFERRED DEBITS</t>
  </si>
  <si>
    <t>Customer Advances for Construction</t>
  </si>
  <si>
    <t>Unamortized Debt Expense (181)</t>
  </si>
  <si>
    <t>(252)</t>
  </si>
  <si>
    <t>Extraordinary Property Losses, Study Costs,</t>
  </si>
  <si>
    <t xml:space="preserve">Other Deferred Credits </t>
  </si>
  <si>
    <t>and Charges (182.1, 182.2, 182.3, 183)</t>
  </si>
  <si>
    <t>(253, 256, 281-283)</t>
  </si>
  <si>
    <t xml:space="preserve">Miscellaneous Debt, Research and </t>
  </si>
  <si>
    <t>Development Expenses &amp; Unamortized</t>
  </si>
  <si>
    <t xml:space="preserve">Unamortized gain on Reacquired Debt </t>
  </si>
  <si>
    <t>Losses (184-191)</t>
  </si>
  <si>
    <t>(257)</t>
  </si>
  <si>
    <t xml:space="preserve">Total Deferred Debits </t>
  </si>
  <si>
    <t>Total Deferred Credits</t>
  </si>
  <si>
    <t>TOTAL ASSETS &amp; OTHER DEBITS</t>
  </si>
  <si>
    <t>TOTAL LIABILITIES &amp; OTHER CREDITS</t>
  </si>
  <si>
    <t>Schedule 3</t>
  </si>
  <si>
    <t>ELECTRIC INCOME STATEMENT</t>
  </si>
  <si>
    <t>Electric Operating Revenues (400)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</si>
  <si>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</si>
  <si>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</si>
  <si>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</si>
  <si>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</si>
  <si>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</si>
  <si>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</si>
  <si>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</si>
  <si>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</si>
  <si>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</si>
  <si>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</si>
  <si>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</si>
  <si>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</si>
  <si>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</si>
  <si>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</si>
  <si>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</si>
  <si>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</si>
  <si>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</si>
  <si>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</si>
  <si>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</si>
  <si>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</si>
  <si>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</si>
  <si>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</si>
  <si>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>Schedule 4</t>
  </si>
  <si>
    <t xml:space="preserve">Beginning </t>
  </si>
  <si>
    <t>Ending</t>
  </si>
  <si>
    <t>Accumulated</t>
  </si>
  <si>
    <t>Balance</t>
  </si>
  <si>
    <t>Additions</t>
  </si>
  <si>
    <t>Retirements</t>
  </si>
  <si>
    <t>Transfers</t>
  </si>
  <si>
    <t>Depreciation</t>
  </si>
  <si>
    <t>Expense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</si>
  <si>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</si>
  <si>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</si>
  <si>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</si>
  <si>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</si>
  <si>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</si>
  <si>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</si>
  <si>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</si>
  <si>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</si>
  <si>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</si>
  <si>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</si>
  <si>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</si>
  <si>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</si>
  <si>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</si>
  <si>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</si>
  <si>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</si>
  <si>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>Schedule 7</t>
  </si>
  <si>
    <t>ELECTRIC OPERATION AND MAINTENANCE EXPENSES (Dollars)</t>
  </si>
  <si>
    <t>Fuel Cost</t>
  </si>
  <si>
    <t>Operation</t>
  </si>
  <si>
    <t>Maintenance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</si>
  <si>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</si>
  <si>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</si>
  <si>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</si>
  <si>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</si>
  <si>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</si>
  <si>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</si>
  <si>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</si>
  <si>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</si>
  <si>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</si>
  <si>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</si>
  <si>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</si>
  <si>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</si>
  <si>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</si>
  <si>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XXXXXXXXXXXXX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</si>
  <si>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</si>
  <si>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</si>
  <si>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</si>
  <si>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</si>
  <si>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</si>
  <si>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</si>
  <si>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</si>
  <si>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</si>
  <si>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</si>
  <si>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</si>
  <si>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</si>
  <si>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</si>
  <si>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Schedule 5</t>
  </si>
  <si>
    <t xml:space="preserve">Line </t>
  </si>
  <si>
    <t>Taxes other than Income Taxes, Operating Income</t>
  </si>
  <si>
    <t>Payment In Lieu of Taxes (Transfer)</t>
  </si>
  <si>
    <t>Distribution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</si>
  <si>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</si>
  <si>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</si>
  <si>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</si>
  <si>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</si>
  <si>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</si>
  <si>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</si>
  <si>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</si>
  <si>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</si>
  <si>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</si>
  <si>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</si>
  <si>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</si>
  <si>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</si>
  <si>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Attachment O Workpapers </t>
  </si>
  <si>
    <t>Line No.</t>
  </si>
  <si>
    <t xml:space="preserve">Month </t>
  </si>
  <si>
    <t>Year</t>
  </si>
  <si>
    <t>12 Month Average</t>
  </si>
  <si>
    <t>Gross Plant in Service</t>
  </si>
  <si>
    <t>Production</t>
  </si>
  <si>
    <t xml:space="preserve">General </t>
  </si>
  <si>
    <t>Intangible</t>
  </si>
  <si>
    <t>Common</t>
  </si>
  <si>
    <t>Total Gross Plant in Service</t>
  </si>
  <si>
    <t>13 Month Average</t>
  </si>
  <si>
    <t>Attachment O, Page 2</t>
  </si>
  <si>
    <t>Line 1</t>
  </si>
  <si>
    <t>Line 2</t>
  </si>
  <si>
    <t>Line 3</t>
  </si>
  <si>
    <t>Line 4</t>
  </si>
  <si>
    <t>Line 5</t>
  </si>
  <si>
    <t>Accumulated Depreciation</t>
  </si>
  <si>
    <t>Total Accumulated Depreciation</t>
  </si>
  <si>
    <t>Line 7</t>
  </si>
  <si>
    <t>Line 9</t>
  </si>
  <si>
    <t>Line 10</t>
  </si>
  <si>
    <t>Line 11</t>
  </si>
  <si>
    <t>Net Plant</t>
  </si>
  <si>
    <t>Total Net Plant in Service</t>
  </si>
  <si>
    <t>Adjustments to Rate Base</t>
  </si>
  <si>
    <t>Account 281 (enter as negative)</t>
  </si>
  <si>
    <t>Account 282  (enter as negative)</t>
  </si>
  <si>
    <t>Account 283  (enter as negative)</t>
  </si>
  <si>
    <t>Account 190</t>
  </si>
  <si>
    <t>Account 255  (enter as negative)</t>
  </si>
  <si>
    <t>Total Adjustments to Rate Base</t>
  </si>
  <si>
    <t>Transmission Related Land Held for Future Use</t>
  </si>
  <si>
    <t>Line 27</t>
  </si>
  <si>
    <t>Line 28</t>
  </si>
  <si>
    <t>Attachment O Workpapers - Capital Structure</t>
  </si>
  <si>
    <t>Outstanding Long-term Debt</t>
  </si>
  <si>
    <t>560 – Operation Supervision and Engineering</t>
  </si>
  <si>
    <t>561 – Load Dispatching</t>
  </si>
  <si>
    <t>561.1 – Load Dispatch – Reliability</t>
  </si>
  <si>
    <t>Attachment O, page 4, line 7</t>
  </si>
  <si>
    <t>561.2 – Load Dispatch – Monitor and Operate Transmission System</t>
  </si>
  <si>
    <t>561.3 – Load Dispatch – Transmission Service and Scheduling</t>
  </si>
  <si>
    <t>561.4 – Scheduling, System Control and Dispatch Services</t>
  </si>
  <si>
    <t>Attachment O, page 3, line 1a</t>
  </si>
  <si>
    <t>561.5 – Reliability, Planning and Standards Development</t>
  </si>
  <si>
    <t>561.6 – Transmission Service Studies</t>
  </si>
  <si>
    <t>561.7 – Generation Interconnection Studies</t>
  </si>
  <si>
    <t>561.8 – Reliability, Planning and Standards Development Service</t>
  </si>
  <si>
    <t>562 – Station Expenses</t>
  </si>
  <si>
    <t>563 – Overhead Lines Expenses</t>
  </si>
  <si>
    <t>564 – Underground Lines Expenses</t>
  </si>
  <si>
    <t>565 – Transmission of Electricity by Others</t>
  </si>
  <si>
    <t>Attachment O, page 3, line 2</t>
  </si>
  <si>
    <t>566 – Miscellaneous Transmission Expenses</t>
  </si>
  <si>
    <t>567 – Rents</t>
  </si>
  <si>
    <t>568 – Maintenance Supervision and Engineering</t>
  </si>
  <si>
    <t>569 – Maintenance of Structures</t>
  </si>
  <si>
    <t>569.1 – Maintenance of Computer Hardware</t>
  </si>
  <si>
    <t>569.2 – Maintenance of Computer Software</t>
  </si>
  <si>
    <t>569.3 – Maintenance of Communication Equipment</t>
  </si>
  <si>
    <t>569.4 – Maintenance of Miscellaneous Regional Transmission Plant</t>
  </si>
  <si>
    <t>570 – Maintenance of Station Equipment</t>
  </si>
  <si>
    <t>571 – Maintenance of Overhead Lines</t>
  </si>
  <si>
    <t>572 – Maintenance of Underground Lines</t>
  </si>
  <si>
    <t>573 – Maintenance of Miscellaneous Transmission Plant</t>
  </si>
  <si>
    <t>Attachment O, page 3, line 1 and EIA 412, Schd 7, line 8</t>
  </si>
  <si>
    <t>920 – Administrative and General Salaries</t>
  </si>
  <si>
    <t>921 – Office Supplies and Expenses</t>
  </si>
  <si>
    <t>922 – Administrative Expenses Transferred Credit</t>
  </si>
  <si>
    <t>923 – Outside Services Employed</t>
  </si>
  <si>
    <t>924 – Property Insurance</t>
  </si>
  <si>
    <t>925 – Injuries and Damages</t>
  </si>
  <si>
    <t>926 – Employee Pension and Benefits</t>
  </si>
  <si>
    <t>927 – Franchise Requirements</t>
  </si>
  <si>
    <t>928 – Regulatory Commission Expenses</t>
  </si>
  <si>
    <t>929 – Duplicate Charges Credit</t>
  </si>
  <si>
    <t>930.1 – General Advertising Expenses</t>
  </si>
  <si>
    <t>930.2 – Miscellaneous General Expenses</t>
  </si>
  <si>
    <t>931 – Rents</t>
  </si>
  <si>
    <t>935 – Maintenance of General Plant</t>
  </si>
  <si>
    <t>Administrative and General Expenses</t>
  </si>
  <si>
    <t>Attachment O Workpapers - Transmission Materials &amp; Supplies and Total Prepayments</t>
  </si>
  <si>
    <t>Transmission Materials and Supplies</t>
  </si>
  <si>
    <t>Total Prepayments - Account 165</t>
  </si>
  <si>
    <t>Total Transmission O&amp;M Expense</t>
  </si>
  <si>
    <t>Please provide the following information:</t>
  </si>
  <si>
    <t>What line of the audited financial statements includes the Transmission O&amp;M Expense?</t>
  </si>
  <si>
    <t>Provide a brief but descriptive list of the items and associated amounts reflected in that line of the financial statements</t>
  </si>
  <si>
    <t>If you report zero for accounts 561.4 &amp; 561.8 - please provide a brief written statement indicating that you do not have</t>
  </si>
  <si>
    <t>any of these expenses.</t>
  </si>
  <si>
    <t>If you report zero for account 565 - please provide a brief written statement indicating that you do not have</t>
  </si>
  <si>
    <t>If you have account 565 expenses - provide brief but descriptive detail of the 565 expenses</t>
  </si>
  <si>
    <t>Customer Accounts Expenses</t>
  </si>
  <si>
    <t>901 – Supervision</t>
  </si>
  <si>
    <t>902 – Meter Reading Expenses</t>
  </si>
  <si>
    <t>903 – Customer Records and Collection Expenses</t>
  </si>
  <si>
    <t>904 – Uncollectible Accounts</t>
  </si>
  <si>
    <t>905 – Miscellaneous Customer Accounts Expenses</t>
  </si>
  <si>
    <t>Total Customer Accounts Expense</t>
  </si>
  <si>
    <t>EIA 412, Sch 7, line 10</t>
  </si>
  <si>
    <t>Customer Service and Informational Expenses</t>
  </si>
  <si>
    <t>907 – Supervision</t>
  </si>
  <si>
    <t>908 – Customer Assistance Expenses</t>
  </si>
  <si>
    <t>909 – Informational and Instructional Expenses</t>
  </si>
  <si>
    <t>910 – Miscellaneous Customer Service and Informational Expenses</t>
  </si>
  <si>
    <t>Total Customer Service and Informational Expenses</t>
  </si>
  <si>
    <t>EIA 412, Sch 7, line 11</t>
  </si>
  <si>
    <t>Sales Expenses</t>
  </si>
  <si>
    <t>911 – Supervision</t>
  </si>
  <si>
    <t>912 – Demonstrating and Selling Expenses</t>
  </si>
  <si>
    <t>913 – Advertising Expenses</t>
  </si>
  <si>
    <t>916 – Miscellaneous Sales Expenses</t>
  </si>
  <si>
    <t>EIA 412, Sch 7, line 112</t>
  </si>
  <si>
    <t>Attach O, page 3, line 3 and EAI 412, Sch 7, line 13</t>
  </si>
  <si>
    <t>What line of the audited financial statements includes the A&amp;G Expense?</t>
  </si>
  <si>
    <t>What line of the audited financial statements includes the Customer Account, Customer Service, and Sales Expense?</t>
  </si>
  <si>
    <t>Account</t>
  </si>
  <si>
    <t>FERC fees recorded to expense during the year</t>
  </si>
  <si>
    <t>Charged</t>
  </si>
  <si>
    <t>FERC fees payable to FERC</t>
  </si>
  <si>
    <t>FERC fees paid to MISO via Schedule 10-FERC</t>
  </si>
  <si>
    <t>Other FERC fees paid</t>
  </si>
  <si>
    <t>EPRI Costs</t>
  </si>
  <si>
    <t>Fuel adjustment clause docket XX</t>
  </si>
  <si>
    <t>Non Safety Advertising (provide a brief but descriptive list of charges</t>
  </si>
  <si>
    <t>Xxxxxxxx</t>
  </si>
  <si>
    <t>Taxes Other Than Income Taxes</t>
  </si>
  <si>
    <t>Payroll</t>
  </si>
  <si>
    <t>Attachment O, page 3, line 13</t>
  </si>
  <si>
    <t>Highway &amp; Vehicle</t>
  </si>
  <si>
    <t>Attachment O, page 3, line 14</t>
  </si>
  <si>
    <t>Property</t>
  </si>
  <si>
    <t>Attachment O, page 3, line 16</t>
  </si>
  <si>
    <t>Gross</t>
  </si>
  <si>
    <t>Attachment O, page 3, line 17</t>
  </si>
  <si>
    <t>Attachment O, page 3, line 18</t>
  </si>
  <si>
    <t>Fed &amp; State income Tax</t>
  </si>
  <si>
    <t>Not reported on Attach O</t>
  </si>
  <si>
    <t>Should tie to a line item on the audited</t>
  </si>
  <si>
    <t xml:space="preserve">  financial statements -   provide explanation and</t>
  </si>
  <si>
    <t xml:space="preserve">reconciliation if it doesn't.  Also indicate what line of the </t>
  </si>
  <si>
    <t>audited financials includes the above amounts.</t>
  </si>
  <si>
    <t>Account 454 (Rent from Electric Property)</t>
  </si>
  <si>
    <t>Property Description</t>
  </si>
  <si>
    <t>XXXXX</t>
  </si>
  <si>
    <t>Includes income related only to transmission facilities,</t>
  </si>
  <si>
    <t>such as pole attachments, rentals and special use.</t>
  </si>
  <si>
    <t>Should tie to a financial statement line item - if not please</t>
  </si>
  <si>
    <t xml:space="preserve">and indicate what other items are included in that financial statement line item </t>
  </si>
  <si>
    <t>by providing a brief but descriptive explanation</t>
  </si>
  <si>
    <t>Account 456.1</t>
  </si>
  <si>
    <t>Revenue</t>
  </si>
  <si>
    <t>MISO Schedule 1</t>
  </si>
  <si>
    <t>MISO Schedule 2</t>
  </si>
  <si>
    <t>MISO Schedule 24</t>
  </si>
  <si>
    <t>MISO Schedule 26 (NUC)</t>
  </si>
  <si>
    <t>MISO Schedule 26-A (MVP)</t>
  </si>
  <si>
    <t xml:space="preserve">  b. Transmission charges for all transmission transactions included in Divisor on Page 1</t>
  </si>
  <si>
    <t>Attachment O, pg. 4, Line 32</t>
  </si>
  <si>
    <t>Total of (a)-(b)-(c)-(d)</t>
  </si>
  <si>
    <t>6a</t>
  </si>
  <si>
    <t>Total Operation Expense</t>
  </si>
  <si>
    <t>Total Maintenance Expense</t>
  </si>
  <si>
    <t>EIA Form 412</t>
  </si>
  <si>
    <t>Schedule 2, Line  33</t>
  </si>
  <si>
    <t>Schedule 2, Line  36</t>
  </si>
  <si>
    <t>Rochester Public Utilities</t>
  </si>
  <si>
    <t>Report on Attachment O, page 4, line 12</t>
  </si>
  <si>
    <t>Report on Attachment O, page 4, line 13</t>
  </si>
  <si>
    <t>Report on Attachment O, page 4, line 14</t>
  </si>
  <si>
    <t>Other _1/</t>
  </si>
  <si>
    <t>Report on Attachment O, page 4, line 15</t>
  </si>
  <si>
    <t>Does this tie to a line item on the audited f/s?</t>
  </si>
  <si>
    <t>reconciling to the audited financial statements</t>
  </si>
  <si>
    <t>_1/  Other is to include salaries charged to administer customer accounts 901 - 916 as defined by the</t>
  </si>
  <si>
    <t>USofA</t>
  </si>
  <si>
    <t>Non-Labor</t>
  </si>
  <si>
    <t>Labor</t>
  </si>
  <si>
    <t>Total O&amp;M</t>
  </si>
  <si>
    <t xml:space="preserve">Purchased Power </t>
  </si>
  <si>
    <t>Customer Service &amp; Information Expenses</t>
  </si>
  <si>
    <t xml:space="preserve">   Total Other Expenses</t>
  </si>
  <si>
    <t xml:space="preserve"> Proprietary Capital</t>
  </si>
  <si>
    <t>Regional Market Expenses</t>
  </si>
  <si>
    <t>Note for Line 8: Other Utility Plant account 118</t>
  </si>
  <si>
    <t xml:space="preserve">Note for Line 9: Accumulated provision for depreciation and amortization of Other Utility Plant account 119 </t>
  </si>
  <si>
    <t xml:space="preserve">Note for Line 11: Includes Other Utility Operating Income account 414 </t>
  </si>
  <si>
    <t xml:space="preserve">Note for Line 12: Includes Donations account 426.1 and Expenditure For Certain Civic, Political and Related Activities account 426.4 </t>
  </si>
  <si>
    <t>Note for Line 4 - Combustion Turbine</t>
  </si>
  <si>
    <t>9575-576)</t>
  </si>
  <si>
    <t>Transmission pole attachment fees charged to telecommunications provider</t>
  </si>
  <si>
    <t>Distribution pole attachment fees charged to telecommunications provider</t>
  </si>
  <si>
    <t>Total Rent from Utility Property on Income Statement</t>
  </si>
  <si>
    <t>Admin &amp; General Advertising</t>
  </si>
  <si>
    <t>recorded in USofA account 930.1, reflected in I/S in Admin &amp; General O&amp;M exp</t>
  </si>
  <si>
    <t>Amortization of Prepaid Lease Revenue from SMMPA for a RPU Transmission Line</t>
  </si>
  <si>
    <t>Attachment O Transmission</t>
  </si>
  <si>
    <t>Attachment GG Transmission</t>
  </si>
  <si>
    <t>Att GG Page 2</t>
  </si>
  <si>
    <t>Line 1a</t>
  </si>
  <si>
    <t>Total Transmission</t>
  </si>
  <si>
    <t>RPU does not have any EPRI costs.</t>
  </si>
  <si>
    <t>A&amp;G expenses are included in Income Statement lines Operation Expenses and Maintenance Expenses</t>
  </si>
  <si>
    <t>These expenses are included in Income Statement line Operation Expenses</t>
  </si>
  <si>
    <t>Transmission expenses are included in Income Statement lines Operation Expenses and Maintenance Expenses</t>
  </si>
  <si>
    <t>SMMPA Power Sales Contract</t>
  </si>
  <si>
    <t>Midcontinent Independent System Operator</t>
  </si>
  <si>
    <t>Schedule 2, Line  35</t>
  </si>
  <si>
    <t>Attachment O, Page 4</t>
  </si>
  <si>
    <t>Line 22</t>
  </si>
  <si>
    <t>Line 23</t>
  </si>
  <si>
    <t>Schedule 2, Line  32</t>
  </si>
  <si>
    <t>Page 1 of 2</t>
  </si>
  <si>
    <t>Page 2 of 2</t>
  </si>
  <si>
    <t>Pricing Zone</t>
  </si>
  <si>
    <t>Actual</t>
  </si>
  <si>
    <t>-</t>
  </si>
  <si>
    <t>Formula Rate Template</t>
  </si>
  <si>
    <t>Attachment O Allocable Gross Transmission Plant in-service</t>
  </si>
  <si>
    <t xml:space="preserve">Zone 20 (SMMPA) </t>
  </si>
  <si>
    <t xml:space="preserve">Zone 16 (NSP) </t>
  </si>
  <si>
    <t>Base</t>
  </si>
  <si>
    <t>Zone 20 Total</t>
  </si>
  <si>
    <t>Zone 16 Total</t>
  </si>
  <si>
    <t>less: Attachment GG Xmsn</t>
  </si>
  <si>
    <t>Zone 16  Attachment O Total</t>
  </si>
  <si>
    <t>Calculation of Inter-zonal allocation of RPU ATRR</t>
  </si>
  <si>
    <t>Month</t>
  </si>
  <si>
    <t>Allocation Percent</t>
  </si>
  <si>
    <t>(a)</t>
  </si>
  <si>
    <t>(b)</t>
  </si>
  <si>
    <t>( c)</t>
  </si>
  <si>
    <t>(d)</t>
  </si>
  <si>
    <t>(e)</t>
  </si>
  <si>
    <t>16 (NSP)</t>
  </si>
  <si>
    <t>20 (SMMPA)</t>
  </si>
  <si>
    <t>Total Zonal Gross Plant (1)</t>
  </si>
  <si>
    <t xml:space="preserve">     value on Attachment O, p 2 of 5, line 2, col 5</t>
  </si>
  <si>
    <t xml:space="preserve">Remove Reconciliation Adjustment for 12 months ended </t>
  </si>
  <si>
    <t xml:space="preserve">&lt;===  Error indicates mismatch with gross transmission plant </t>
  </si>
  <si>
    <t>DO NOT MODIFY THE FOLLOWING BLOCK</t>
  </si>
  <si>
    <t xml:space="preserve"> including True-up for 12 months ended </t>
  </si>
  <si>
    <t>Attachment GG Gross Plant (1)</t>
  </si>
  <si>
    <t>Less: transmission plant included in OATT Ancillary Services</t>
  </si>
  <si>
    <t>Gross Plant in Service for Rate Base (2)
(a) - (b)</t>
  </si>
  <si>
    <t>Gross Plant Net of Plant under Ancillaries and Attachment GG (c) - (d )</t>
  </si>
  <si>
    <t>Allocated ATRR    Amount</t>
  </si>
  <si>
    <t>(f)</t>
  </si>
  <si>
    <t>(g)</t>
  </si>
  <si>
    <t>(1) 13 month Avg Gross Book Value from Page 2 of 2, line 14</t>
  </si>
  <si>
    <t>Total Zonal Gross Plant</t>
  </si>
  <si>
    <t>No Zone - CIAC adjustment (3)</t>
  </si>
  <si>
    <t xml:space="preserve">Actual Transmission Revenue Collected for 12 months ended </t>
  </si>
  <si>
    <t xml:space="preserve">Reconciliation Adjustment for 12 months ended </t>
  </si>
  <si>
    <t>(3) Contributions in Aid of Construction (CIACs) include:</t>
  </si>
  <si>
    <t>Chester-Silver Lake 161 kV Substation contribution from NSP</t>
  </si>
  <si>
    <t>MNDOT US52 transmission relocation contribution</t>
  </si>
  <si>
    <t xml:space="preserve">      Chester-Silver Lake 161 kV Substation contribution from NSP</t>
  </si>
  <si>
    <t xml:space="preserve">      MNDOT US52 transmission relocation contribution</t>
  </si>
  <si>
    <t>(1) Contributions in Aid of Construction (CIACs) include:</t>
  </si>
  <si>
    <t>Error</t>
  </si>
  <si>
    <t>Forward Looking Attachment O under Docket Nos ER14-2154 and ER15-277 filings at FERC</t>
  </si>
  <si>
    <t>recorded in USofA account ________, reflected in I/S in _________ exp</t>
  </si>
  <si>
    <t>recorded in USofA account ________, reflected in I/S in ________ exp</t>
  </si>
  <si>
    <r>
      <t xml:space="preserve">Confirm that the above does not contain any capitalized wages. </t>
    </r>
    <r>
      <rPr>
        <b/>
        <sz val="12"/>
        <color theme="1"/>
        <rFont val="Times New Roman"/>
        <family val="1"/>
      </rPr>
      <t xml:space="preserve"> Correct.</t>
    </r>
  </si>
  <si>
    <t>SMMPA Settlement Payment</t>
  </si>
  <si>
    <t>Unamortized Premium on Long-term Debt</t>
  </si>
  <si>
    <t>Unamortized Discount on Long-term Debt</t>
  </si>
  <si>
    <t>(2) From "Monthly Rate (Annual % / 365dx # days in month)" column for the noted months on the following web page:
(Annual % / 365dx # days in month) 1
(Annual % / 365dx # days in month) 1</t>
  </si>
  <si>
    <t>http://www.ferc.gov/enforcement/acct-matts/interest-rates.asp</t>
  </si>
  <si>
    <t>(3) Average of daily rates for one month maturities from the following web page:
(Annual % / 365dx # days in month) 1
(Annual % / 365dx # days in month) 1</t>
  </si>
  <si>
    <t>https://research.stlouisfed.org/fred2/series/USD1MTD156N</t>
  </si>
  <si>
    <t>(4) Interest calculated on RPU over-collections using average of monthly FERC refund rates for the noted months</t>
  </si>
  <si>
    <t>Rate for Over Collection (4)</t>
  </si>
  <si>
    <t>Rate for Under Collection (5)</t>
  </si>
  <si>
    <t>(1) The Interest Rate for True-up will be the average of the most recent Interest Rates at the time of the True-up calculation</t>
  </si>
  <si>
    <t xml:space="preserve">Actual Gross ATRR for 12 months ended </t>
  </si>
  <si>
    <t xml:space="preserve">True-up Under/(Over) Adjustment from True-up Attachment O for 12 months ended </t>
  </si>
  <si>
    <t>Attachment O Workpapers - RPU System Load Calculation</t>
  </si>
  <si>
    <t>Historic Year Actual Divisor</t>
  </si>
  <si>
    <t>Historic Year Projected Annual Cost ($/kW/Yr)</t>
  </si>
  <si>
    <t>Historic Year Divisor True-up</t>
  </si>
  <si>
    <t>Calculation of Effective Interest Rate</t>
  </si>
  <si>
    <t>Notes</t>
  </si>
  <si>
    <t>True-up year ATRR True-up Amount                                         (Line 1 - Line 2)</t>
  </si>
  <si>
    <t>True-up year Actual divisor                                                                          (3)</t>
  </si>
  <si>
    <t>True-up Year Projected Divisor                                                                    (4)</t>
  </si>
  <si>
    <t>True-up Year Projected Annual Cost ($/kW/Yr)                                          (5)</t>
  </si>
  <si>
    <t>Total True-up Amount                                                               (Line 3 + Line 8)</t>
  </si>
  <si>
    <t>Monthly Interest Rate--Final FERC or LIBOR rate                                     (6)</t>
  </si>
  <si>
    <t>Interest on True-Up Amount                                    (Line 9 * Line 10 * Line 11)</t>
  </si>
  <si>
    <t>Number of Months being Trued Up                                                             (7)</t>
  </si>
  <si>
    <t xml:space="preserve">(5) Interest calculated on RPU under-collections using the lesser of the average of 1 month LIBOR Rates or </t>
  </si>
  <si>
    <t xml:space="preserve">     the average of the FERC Refund rates for the noted months</t>
  </si>
  <si>
    <r>
      <t xml:space="preserve">(6) For over-collections, the applicable interest rate shall be the average of the FERC refund rate listed on the FERC website at  </t>
    </r>
    <r>
      <rPr>
        <sz val="12"/>
        <color theme="4" tint="-0.24994659260841701"/>
        <rFont val="Times New Roman"/>
        <family val="1"/>
      </rPr>
      <t/>
    </r>
  </si>
  <si>
    <t>Transmission CIAC adjustment (1)</t>
  </si>
  <si>
    <t>Transmission CIAC adjustment</t>
  </si>
  <si>
    <t>Interest</t>
  </si>
  <si>
    <t>Total RPU Transmission-related Rental income                         (Total of Lines 1 through 4)</t>
  </si>
  <si>
    <r>
      <t>If a zero is reported</t>
    </r>
    <r>
      <rPr>
        <b/>
        <u/>
        <sz val="12"/>
        <color theme="1"/>
        <rFont val="Times New Roman"/>
        <family val="1"/>
      </rPr>
      <t xml:space="preserve"> for any category above</t>
    </r>
    <r>
      <rPr>
        <b/>
        <sz val="12"/>
        <color theme="1"/>
        <rFont val="Times New Roman"/>
        <family val="1"/>
      </rPr>
      <t>, please provide a brief explanation as to why.</t>
    </r>
  </si>
  <si>
    <t>Attachment O Workpapers - Land held for Future Transmission Use</t>
  </si>
  <si>
    <t>Attachment O Work Papers - True-up Interest Calculation</t>
  </si>
  <si>
    <t xml:space="preserve">Attachment O Workpapers - Calculation of Zonal Allocation Factor </t>
  </si>
  <si>
    <t>Attachment O Workpapers - Monthly Plant Balances</t>
  </si>
  <si>
    <t>Attachment O Workpapers - Adjustments to Rate Base</t>
  </si>
  <si>
    <t>Attachment O Workpapers - Transmission O&amp;M Expense Amounts</t>
  </si>
  <si>
    <t>Transmission O&amp;M Expenses by Account</t>
  </si>
  <si>
    <t>Customer Accts &amp; Admin and General Expense Amounts</t>
  </si>
  <si>
    <t>Attachment O Workpapers - Customer Accts and Administrative &amp; General Expenses</t>
  </si>
  <si>
    <t>Attachment O Workpapers - Functionalized Wage &amp; Salary Amounts</t>
  </si>
  <si>
    <t>Source for Attachment O, page 4, lines 12 - 15</t>
  </si>
  <si>
    <t>Source for: Attachment O, page 3, line 4</t>
  </si>
  <si>
    <t>Attachment O Workpapers - Applicable FERC Fees</t>
  </si>
  <si>
    <t>Sources for: Attachment O, page 3, lines 5 and 5a</t>
  </si>
  <si>
    <t>Attachment O Workpapers - Applicable EPRI and non-Safety-Related Advertising</t>
  </si>
  <si>
    <t>Attachment O Workpapers - Taxes Other than Income Taxes</t>
  </si>
  <si>
    <t>Attachment O Workpapers - Other Electric Revenues - Transmission-related (Acct 456.1)</t>
  </si>
  <si>
    <t xml:space="preserve">Regulatory Commission Expense (provide a brief but descriptive list of charges)  </t>
  </si>
  <si>
    <t>Indicate by yellow highlight if Transmission Related</t>
  </si>
  <si>
    <t>Goes to Attachment O, Page 3, Line 5a; recorded in UsofA account 928, reflected in I/S in Admin &amp; General O&amp;M exp</t>
  </si>
  <si>
    <t>MISO Schedule 7 &amp; 8 revenue received (1)</t>
  </si>
  <si>
    <t>MISO Schedule 9 (1)</t>
  </si>
  <si>
    <t>Difference in Divisor                                                                     (line 5 - line 4)</t>
  </si>
  <si>
    <t>Interest on Attachment O Amounts</t>
  </si>
  <si>
    <t>True-up year actual Att GG ATRR Amount                                                 (8)</t>
  </si>
  <si>
    <t>True-up year Att GG ATRR True-up Amount                        (Line 13 - Line 14)</t>
  </si>
  <si>
    <t>Interest on True-Up Amount                                   (Line 15 * Line 16 * Line 17)</t>
  </si>
  <si>
    <t>True-up year Actual ATRR Amount                                                               (1)</t>
  </si>
  <si>
    <t>True-up Year Projected ATRR Amount                                                         (2)</t>
  </si>
  <si>
    <t>Template Use Notes:</t>
  </si>
  <si>
    <t>The date entered in cell K3 on the ATT O_RPU tab is the base for all dates shown in the workbook</t>
  </si>
  <si>
    <t xml:space="preserve">Entering a value greater than zero in cell I19 (Line 6a) will cause all page headings other than </t>
  </si>
  <si>
    <t xml:space="preserve">    the Att O, Att GG, Deprec, and the EIA 412 format pages headings to be set to "FLTY Forecast"</t>
  </si>
  <si>
    <t xml:space="preserve">Entering a value of zero in cell I19 (Line 6a) will cause all page headings other than </t>
  </si>
  <si>
    <t xml:space="preserve">    the Att O, Att GG, Deprec, and the EIA 412 format pages headings to be set to "True-up Actual"</t>
  </si>
  <si>
    <t>Schedule 11 Pass-through Adjustments to Attachment GG Revenues</t>
  </si>
  <si>
    <t>Transmission CIAC adjustment (2)</t>
  </si>
  <si>
    <t>Total Transmission (2)</t>
  </si>
  <si>
    <t>Total Transmission Accum. Depreciation</t>
  </si>
  <si>
    <t>Accum. Depreciation for CIAC facilities</t>
  </si>
  <si>
    <t>Att O_RPU, P 2 of 5, Line 8</t>
  </si>
  <si>
    <t>Attachment O, pg. 4, Line 31</t>
  </si>
  <si>
    <t>Attachment O, pg. 4, Line 32a</t>
  </si>
  <si>
    <t>Attachment O, pg. 4, Line 32b</t>
  </si>
  <si>
    <t>Should match value on Attachment O, pg. 4, Line 33</t>
  </si>
  <si>
    <t>Goes to Att O_RPU, page 4 of 5, line 30</t>
  </si>
  <si>
    <t>Formula Rate Work Papers - True-up Interest Calculation</t>
  </si>
  <si>
    <t>Attachment O, page 4, line 30</t>
  </si>
  <si>
    <t>Attachment O Workpapers - Rental Income from Electric Property (Acct 454)</t>
  </si>
  <si>
    <t>indicate what line of the audited financials reflects Pre Payments</t>
  </si>
  <si>
    <t>recorded in USofA account ________, reflected in I/S in _______ exp</t>
  </si>
  <si>
    <r>
      <t xml:space="preserve">Confirm that the above does not contain any A&amp;G related wages  . </t>
    </r>
    <r>
      <rPr>
        <b/>
        <sz val="12"/>
        <color theme="1"/>
        <rFont val="Times New Roman"/>
        <family val="1"/>
      </rPr>
      <t>Correct.</t>
    </r>
  </si>
  <si>
    <t xml:space="preserve">If not, please provide an explanation and a workpaper </t>
  </si>
  <si>
    <t xml:space="preserve">(2) Accumulated Depreciation for Attachment O Transmission is 13 month average of total Transmission Accumulated Depreciation less Accumulated Depreciation for CIAC facilities </t>
  </si>
  <si>
    <t xml:space="preserve">    used throughout the workbook and should not be modified or deleted </t>
  </si>
  <si>
    <t>(9) See Acct 456.1 tab, line 6 + line 6a</t>
  </si>
  <si>
    <t>20 Month Average</t>
  </si>
  <si>
    <t>Other (describe)</t>
  </si>
  <si>
    <t>Total Revenue (2)</t>
  </si>
  <si>
    <t xml:space="preserve">          Account 456.1 amount shown on RPU financial statements</t>
  </si>
  <si>
    <t xml:space="preserve">(2)  RPU financial statements supporting Account 456.1 incorrectly included ARR revenue allocated to RPU load.      </t>
  </si>
  <si>
    <t xml:space="preserve">      Adjustment to tie 456.1 amount to RPU financial statements is:</t>
  </si>
  <si>
    <t xml:space="preserve">          RPU Account 456.1 revenue</t>
  </si>
  <si>
    <t>(c)</t>
  </si>
  <si>
    <t>Projected</t>
  </si>
  <si>
    <t>Actual-Projected</t>
  </si>
  <si>
    <t xml:space="preserve">Account 561.1    </t>
  </si>
  <si>
    <t xml:space="preserve">Account 561.2   </t>
  </si>
  <si>
    <t xml:space="preserve">Account 561.3    </t>
  </si>
  <si>
    <t xml:space="preserve">     Subtotal         </t>
  </si>
  <si>
    <t>Schedule 1 Net Expenses</t>
  </si>
  <si>
    <t>Divisor kW (sum lines 8-14)</t>
  </si>
  <si>
    <t>True-Up Adjustment Principal Under(Over) Recovery</t>
  </si>
  <si>
    <t>Number of Months</t>
  </si>
  <si>
    <t>True-Up Adjustment Interest Under(Over) Recovery</t>
  </si>
  <si>
    <t xml:space="preserve">Total True-Up Adjustment Principal &amp; Interest Under(Over) Recovery </t>
  </si>
  <si>
    <r>
      <t>Account 561.BA for Schedule 24</t>
    </r>
    <r>
      <rPr>
        <vertAlign val="superscript"/>
        <sz val="12"/>
        <rFont val="Times New Roman"/>
        <family val="1"/>
      </rPr>
      <t>2</t>
    </r>
  </si>
  <si>
    <r>
      <t>Account 561 Available excluding revenue credits</t>
    </r>
    <r>
      <rPr>
        <vertAlign val="superscript"/>
        <sz val="12"/>
        <rFont val="Times New Roman"/>
        <family val="1"/>
      </rPr>
      <t>3</t>
    </r>
  </si>
  <si>
    <t>See Account Value on Transmission O&amp;M tab (1)</t>
  </si>
  <si>
    <t>Page 1 of 3</t>
  </si>
  <si>
    <t>Calculation of True-up Amounts and Interest for Attachment O and Attachment GG</t>
  </si>
  <si>
    <t>Attachment O Work Papers - Schedule 1</t>
  </si>
  <si>
    <t>RPU has no Acct 561.BA Expenses</t>
  </si>
  <si>
    <t>(1) Form 1 or similar source document page references are for actual year for which there is a Form 1 or similar source documents. Inputs in whole dollars.</t>
  </si>
  <si>
    <t>(1) Utilized by forward-looking Transmission Owners. Line 21 will be supported by a True-Up Worksheet.</t>
  </si>
  <si>
    <t>(Line 1 + Line 2 + Line 3)</t>
  </si>
  <si>
    <r>
      <t>INPUT 1: Account 561 Available excluding revenue credits</t>
    </r>
    <r>
      <rPr>
        <b/>
        <vertAlign val="superscript"/>
        <sz val="12"/>
        <rFont val="Times New Roman"/>
        <family val="1"/>
      </rPr>
      <t>3</t>
    </r>
  </si>
  <si>
    <t>Input 2:  True-Up Adjustment Principal &amp; Interest Under(Over) Recovery</t>
  </si>
  <si>
    <t>Schedule 1 Net Expenses including True-Up Adjustment</t>
  </si>
  <si>
    <t>(2)  Source references may vary by company; page references are to each company's source document; analogous figures would be provided for projected year.  Inputs in whole dollars.</t>
  </si>
  <si>
    <t>(3)  Revenue collected by the Transmission Owner or ITC under this Schedule 1 for firm transactions of less than 1 year, all non-firm transactions, and any other transactions</t>
  </si>
  <si>
    <t xml:space="preserve">      whose loads are not included in the Attachment O Zonal Rate Divisor for the zone.</t>
  </si>
  <si>
    <t xml:space="preserve">      This revenue credit is derived from the MISO MR Settlements file by subtracting Schedule 9 revenues related to Schedule 1 from the total Schedule 1 revenues,</t>
  </si>
  <si>
    <t xml:space="preserve">      which results in the total revenue credit for Schedule 1.</t>
  </si>
  <si>
    <r>
      <t xml:space="preserve">Input 3: Revenue Credits </t>
    </r>
    <r>
      <rPr>
        <sz val="9"/>
        <rFont val="Times New Roman"/>
        <family val="1"/>
      </rPr>
      <t>(Current year Schedule 1 Revenue Credits, excluding True-Up Adjustment)</t>
    </r>
    <r>
      <rPr>
        <sz val="12"/>
        <rFont val="Times New Roman"/>
        <family val="1"/>
      </rPr>
      <t xml:space="preserve">  (2), (3)</t>
    </r>
  </si>
  <si>
    <t>(Line 4 - Line 5)</t>
  </si>
  <si>
    <t>Calculation of True-up Amount and Interest for Schedule 1</t>
  </si>
  <si>
    <t>See Attachment O, pg 1, line 15</t>
  </si>
  <si>
    <t>(Line 11 - Line 12)</t>
  </si>
  <si>
    <t>Line 10, col. (d)</t>
  </si>
  <si>
    <t xml:space="preserve">    Difference in Divisor</t>
  </si>
  <si>
    <t>Line 13 * Line 14</t>
  </si>
  <si>
    <t>Line 8, col. (e) + Line 15</t>
  </si>
  <si>
    <t>Line 16 * Line 17 * Line 18</t>
  </si>
  <si>
    <t>Line 15 + Line 19</t>
  </si>
  <si>
    <t>(2) Scheduling, Control, and Dispatch Service--Balancing Authority.</t>
  </si>
  <si>
    <t>(3) Scheduling, Control, and Dispatch Service--Transmission.</t>
  </si>
  <si>
    <t>True-up Year Divisor True-up Amount                                      (Line 6 * Line 7)</t>
  </si>
  <si>
    <r>
      <t xml:space="preserve">      http://www.ferc.gov/enforcement/acct-matts/interest-rates.asp </t>
    </r>
    <r>
      <rPr>
        <sz val="12"/>
        <rFont val="Times New Roman"/>
        <family val="1"/>
      </rPr>
      <t xml:space="preserve">for the appropriate Months.  For under-collections, the </t>
    </r>
  </si>
  <si>
    <t xml:space="preserve">       applicable interest rate shall be calculated based on the annual average of the one-month London Interbank Offer Rate </t>
  </si>
  <si>
    <t xml:space="preserve">      (“LIBOR”) capped at the annual average of the applicable refund interest rates as provided in 18 C.F.R. § 35.19a.</t>
  </si>
  <si>
    <t>See Account 456.1 tab, line 3</t>
  </si>
  <si>
    <t xml:space="preserve">   "True-up Interest" tab, page 2 of 3, line 19</t>
  </si>
  <si>
    <t>Twenty (20) Month Average Interest Rate</t>
  </si>
  <si>
    <t>(c )</t>
  </si>
  <si>
    <t>RPU 12 CP Load Amounts</t>
  </si>
  <si>
    <t>RPU Total Load         (c )+(d)</t>
  </si>
  <si>
    <t>Column (e) amount goes to Att O_RPU, page 1, line 8</t>
  </si>
  <si>
    <t>(1) RPU Schedule 7, 8 or 9 revenues for calendar 2015, "Catch-up" payment from SMMPA for settlement in</t>
  </si>
  <si>
    <t xml:space="preserve">    Sched 9 amount was $184,142.03.</t>
  </si>
  <si>
    <t xml:space="preserve">    ER14-2154 received in 2016 but reported in 2015. Principal amount for Sched 7 &amp; 8 was $46,117.73, for </t>
  </si>
  <si>
    <t xml:space="preserve">             plus Sched 7 &amp; 8 reported in 2015</t>
  </si>
  <si>
    <t xml:space="preserve">             plus Sched 9 reported in 2015</t>
  </si>
  <si>
    <t>RPU Load below contract rate of delivery</t>
  </si>
  <si>
    <t>RPU Load above contract rate of delivery</t>
  </si>
  <si>
    <t>2016 Depreciation</t>
  </si>
  <si>
    <t>The contents of the block B30:F42 contain headings and date calculations</t>
  </si>
  <si>
    <t>Other utility plant depreciation expense</t>
  </si>
  <si>
    <t>Total Depreciation Expense</t>
  </si>
  <si>
    <t>Other Materials and Supplies</t>
  </si>
  <si>
    <t>Total Materials and Supplies</t>
  </si>
  <si>
    <t>EIA Sched 2, Line 18</t>
  </si>
  <si>
    <t>2016 Days of the month Weightings</t>
  </si>
  <si>
    <t>Settlement in ER14-2154 was implemented in projected rates in 5/1/16 and this needs to be factored into the percentages used to prorate the 2016 projected revenue requirement.  For the True-up the Settlement is in effect for all of 2016 since it was approved to be effective from 12/1/2014 forward.</t>
  </si>
  <si>
    <t>Total Days</t>
  </si>
  <si>
    <t>In Month</t>
  </si>
  <si>
    <t>RPU Projection</t>
  </si>
  <si>
    <t>Proj'd Yr Divisor for Transmission Owner (Projected Attach O, Pg 1, Line 15)</t>
  </si>
  <si>
    <t>(Line 6 - Line 7)</t>
  </si>
  <si>
    <t>FERC Refund Rate
(2)</t>
  </si>
  <si>
    <t>1 month LIBOR Interest Rate
(3)</t>
  </si>
  <si>
    <t>See Page 2 of 3</t>
  </si>
  <si>
    <t>True-up Actual for 12 Months Ended December 31, 2016</t>
  </si>
  <si>
    <t>For the 12 months ended 12/31/16</t>
  </si>
  <si>
    <t>True-up Actual for 13 Months Ended December 31, 2016</t>
  </si>
  <si>
    <r>
      <t>Historic Year Projected Divisor</t>
    </r>
    <r>
      <rPr>
        <vertAlign val="superscript"/>
        <sz val="12"/>
        <rFont val="Times New Roman"/>
        <family val="1"/>
      </rPr>
      <t>5</t>
    </r>
  </si>
  <si>
    <t>(5) Projected Divisor is weighted for settlement in ER14-2154 effective 5/1/2016 using 205,717 kW for January 1 to April 30 (121 days) and 214,833 kW 
       for May 1 to December 31 (245 days).</t>
  </si>
  <si>
    <r>
      <t xml:space="preserve">Revenue Credits </t>
    </r>
    <r>
      <rPr>
        <sz val="12"/>
        <rFont val="Times New Roman"/>
        <family val="1"/>
      </rPr>
      <t>(Schedule 1 Revenue Credits, excluding True-Up Adj)</t>
    </r>
    <r>
      <rPr>
        <vertAlign val="superscript"/>
        <sz val="12"/>
        <rFont val="Times New Roman"/>
        <family val="1"/>
      </rPr>
      <t>4</t>
    </r>
  </si>
  <si>
    <t>(4)  Revenue collected by the Transmission Owner or ITC under this Schedule 1 for firm transactions of less than 1 year, all non-firm transactions, and any other transactions
     whose loads are not included in the Attachment O Zonal Rate Divisor for the zone.  This revenue credit is derived from the MISO MR Settlements file by subtracting 
     Schedule 1 revenues related to Schedule 9 from the total Schedule 1 revenues, which results in the total revenue credit for Schedule 1.</t>
  </si>
  <si>
    <t>Schedule 1 revenue credit derviation:</t>
  </si>
  <si>
    <t>Total Schedule 1 Revenue Distribution</t>
  </si>
  <si>
    <t>Less: Schedule 1 Revenue Distribution for Schedule 9 loads</t>
  </si>
  <si>
    <t>Schedule 1 revenue credit</t>
  </si>
  <si>
    <r>
      <t>See Account Value on Transmission O&amp;M tab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</si>
</sst>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&quot;$&quot;#,##0.00"/>
    <numFmt numFmtId="167" formatCode="_(&quot;$&quot;* #,##0_);_(&quot;$&quot;* \(#,##0\);_(&quot;$&quot;* &quot;-&quot;??_);_(@_)"/>
    <numFmt numFmtId="168" formatCode="_(* #,##0_);_(* \(#,##0\);_(* &quot;-&quot;??_);_(@_)"/>
    <numFmt numFmtId="169" formatCode="#,##0.0"/>
    <numFmt numFmtId="170" formatCode="0.00_)"/>
    <numFmt numFmtId="171" formatCode="_(* #,##0.000_);_(* \(#,##0.000\);_(* &quot;-&quot;??_);_(@_)"/>
    <numFmt numFmtId="172" formatCode="General_)"/>
    <numFmt numFmtId="173" formatCode="0.000"/>
    <numFmt numFmtId="174" formatCode="0.0000%"/>
    <numFmt numFmtId="175" formatCode="[$$-409]#,##0_);\([$$-409]#,##0\)"/>
    <numFmt numFmtId="176" formatCode="_(&quot;$&quot;* #,##0.00000000_);_(&quot;$&quot;* \(#,##0.00000000\);_(&quot;$&quot;* &quot;-&quot;??_);_(@_)"/>
  </numFmts>
  <fonts count="143">
    <font>
      <sz val="12"/>
      <name val="Arial MT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Arial MT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i/>
      <sz val="16"/>
      <name val="Helv"/>
    </font>
    <font>
      <sz val="10"/>
      <name val="Helv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MT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Helv"/>
    </font>
    <font>
      <b/>
      <sz val="14"/>
      <color theme="1"/>
      <name val="Times New Roman"/>
      <family val="1"/>
    </font>
    <font>
      <sz val="12"/>
      <color rgb="FFFF0000"/>
      <name val="Helvetica"/>
      <family val="2"/>
    </font>
    <font>
      <sz val="11"/>
      <color rgb="FF0070C0"/>
      <name val="Calibri"/>
      <family val="2"/>
      <scheme val="minor"/>
    </font>
    <font>
      <b/>
      <sz val="12"/>
      <color indexed="12"/>
      <name val="Arial"/>
      <family val="2"/>
    </font>
    <font>
      <b/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9" tint="-0.249977111117893"/>
      <name val="Calibri"/>
      <family val="2"/>
      <scheme val="minor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 MT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Accounting"/>
      <sz val="11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u/>
      <sz val="12"/>
      <color theme="10"/>
      <name val="Arial MT"/>
    </font>
    <font>
      <u/>
      <sz val="12"/>
      <color theme="10"/>
      <name val="Times New Roman"/>
      <family val="1"/>
    </font>
    <font>
      <sz val="12"/>
      <color theme="9" tint="-0.249977111117893"/>
      <name val="Times New Roman"/>
      <family val="1"/>
    </font>
    <font>
      <sz val="12"/>
      <color rgb="FF008000"/>
      <name val="Times New Roman"/>
      <family val="1"/>
    </font>
    <font>
      <sz val="12"/>
      <color theme="4" tint="-0.24994659260841701"/>
      <name val="Times New Roman"/>
      <family val="1"/>
    </font>
    <font>
      <sz val="12"/>
      <color theme="10"/>
      <name val="Times New Roman"/>
      <family val="1"/>
    </font>
    <font>
      <sz val="11"/>
      <color rgb="FF008000"/>
      <name val="Calibri"/>
      <family val="2"/>
      <scheme val="minor"/>
    </font>
    <font>
      <u val="singleAccounting"/>
      <sz val="12"/>
      <color theme="1"/>
      <name val="Times New Roman"/>
      <family val="1"/>
    </font>
    <font>
      <sz val="11"/>
      <color rgb="FF008000"/>
      <name val="Times New Roman"/>
      <family val="1"/>
    </font>
    <font>
      <sz val="10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0"/>
      <color rgb="FF008000"/>
      <name val="Times New Roman"/>
      <family val="1"/>
    </font>
    <font>
      <sz val="12"/>
      <color rgb="FF008000"/>
      <name val="Arial MT"/>
    </font>
    <font>
      <sz val="12"/>
      <name val="Gill Sans MT"/>
      <family val="2"/>
    </font>
    <font>
      <u val="doubleAccounting"/>
      <sz val="12"/>
      <color theme="1"/>
      <name val="Times New Roman"/>
      <family val="1"/>
    </font>
    <font>
      <sz val="10"/>
      <name val="Courier"/>
      <family val="3"/>
    </font>
    <font>
      <sz val="12"/>
      <name val="Garamond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u/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0"/>
      <color rgb="FFFF0000"/>
      <name val="Calibri"/>
      <family val="2"/>
      <scheme val="minor"/>
    </font>
    <font>
      <sz val="9"/>
      <color rgb="FFFF0000"/>
      <name val="Arial MT"/>
    </font>
    <font>
      <sz val="10"/>
      <color rgb="FF008000"/>
      <name val="Calibri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2">
    <xf numFmtId="166" fontId="0" fillId="0" borderId="0" applyProtection="0"/>
    <xf numFmtId="43" fontId="1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3" fillId="0" borderId="0"/>
    <xf numFmtId="166" fontId="17" fillId="0" borderId="0" applyProtection="0"/>
    <xf numFmtId="166" fontId="26" fillId="0" borderId="0" applyFill="0"/>
    <xf numFmtId="166" fontId="26" fillId="0" borderId="0">
      <alignment horizontal="center"/>
    </xf>
    <xf numFmtId="0" fontId="26" fillId="0" borderId="0" applyFill="0">
      <alignment horizontal="center"/>
    </xf>
    <xf numFmtId="166" fontId="27" fillId="0" borderId="30" applyFill="0"/>
    <xf numFmtId="0" fontId="20" fillId="0" borderId="0" applyFont="0" applyAlignment="0"/>
    <xf numFmtId="0" fontId="28" fillId="0" borderId="0" applyFill="0">
      <alignment vertical="top"/>
    </xf>
    <xf numFmtId="0" fontId="27" fillId="0" borderId="0" applyFill="0">
      <alignment horizontal="left" vertical="top"/>
    </xf>
    <xf numFmtId="166" fontId="19" fillId="0" borderId="9" applyFill="0"/>
    <xf numFmtId="0" fontId="20" fillId="0" borderId="0" applyNumberFormat="0" applyFont="0" applyAlignment="0"/>
    <xf numFmtId="0" fontId="28" fillId="0" borderId="0" applyFill="0">
      <alignment wrapText="1"/>
    </xf>
    <xf numFmtId="0" fontId="27" fillId="0" borderId="0" applyFill="0">
      <alignment horizontal="left" vertical="top" wrapText="1"/>
    </xf>
    <xf numFmtId="166" fontId="22" fillId="0" borderId="0" applyFill="0"/>
    <xf numFmtId="0" fontId="29" fillId="0" borderId="0" applyNumberFormat="0" applyFont="0" applyAlignment="0">
      <alignment horizontal="center"/>
    </xf>
    <xf numFmtId="0" fontId="30" fillId="0" borderId="0" applyFill="0">
      <alignment vertical="top" wrapText="1"/>
    </xf>
    <xf numFmtId="0" fontId="19" fillId="0" borderId="0" applyFill="0">
      <alignment horizontal="left" vertical="top" wrapText="1"/>
    </xf>
    <xf numFmtId="166" fontId="20" fillId="0" borderId="0" applyFill="0"/>
    <xf numFmtId="0" fontId="29" fillId="0" borderId="0" applyNumberFormat="0" applyFont="0" applyAlignment="0">
      <alignment horizontal="center"/>
    </xf>
    <xf numFmtId="0" fontId="31" fillId="0" borderId="0" applyFill="0">
      <alignment vertical="center" wrapText="1"/>
    </xf>
    <xf numFmtId="0" fontId="21" fillId="0" borderId="0">
      <alignment horizontal="left" vertical="center" wrapText="1"/>
    </xf>
    <xf numFmtId="166" fontId="32" fillId="0" borderId="0" applyFill="0"/>
    <xf numFmtId="0" fontId="29" fillId="0" borderId="0" applyNumberFormat="0" applyFont="0" applyAlignment="0">
      <alignment horizontal="center"/>
    </xf>
    <xf numFmtId="0" fontId="33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6" fontId="34" fillId="0" borderId="0" applyFill="0"/>
    <xf numFmtId="0" fontId="29" fillId="0" borderId="0" applyNumberFormat="0" applyFont="0" applyAlignment="0">
      <alignment horizontal="center"/>
    </xf>
    <xf numFmtId="0" fontId="35" fillId="0" borderId="0" applyFill="0">
      <alignment horizontal="center" vertical="center" wrapText="1"/>
    </xf>
    <xf numFmtId="0" fontId="36" fillId="0" borderId="0" applyFill="0">
      <alignment horizontal="center" vertical="center" wrapText="1"/>
    </xf>
    <xf numFmtId="166" fontId="37" fillId="0" borderId="0" applyFill="0"/>
    <xf numFmtId="0" fontId="29" fillId="0" borderId="0" applyNumberFormat="0" applyFont="0" applyAlignment="0">
      <alignment horizontal="center"/>
    </xf>
    <xf numFmtId="0" fontId="38" fillId="0" borderId="0">
      <alignment horizontal="center" wrapText="1"/>
    </xf>
    <xf numFmtId="0" fontId="34" fillId="0" borderId="0" applyFill="0">
      <alignment horizontal="center" wrapText="1"/>
    </xf>
    <xf numFmtId="39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0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0" fillId="0" borderId="0" applyFont="0" applyFill="0" applyBorder="0" applyAlignment="0" applyProtection="0"/>
    <xf numFmtId="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5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8" fontId="26" fillId="2" borderId="0" applyNumberFormat="0" applyBorder="0" applyAlignment="0" applyProtection="0"/>
    <xf numFmtId="0" fontId="40" fillId="0" borderId="1"/>
    <xf numFmtId="0" fontId="41" fillId="0" borderId="0"/>
    <xf numFmtId="10" fontId="26" fillId="3" borderId="14" applyNumberFormat="0" applyBorder="0" applyAlignment="0" applyProtection="0"/>
    <xf numFmtId="170" fontId="42" fillId="0" borderId="0"/>
    <xf numFmtId="0" fontId="25" fillId="0" borderId="0"/>
    <xf numFmtId="39" fontId="43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44" fillId="0" borderId="0"/>
    <xf numFmtId="0" fontId="13" fillId="0" borderId="0"/>
    <xf numFmtId="0" fontId="13" fillId="0" borderId="0"/>
    <xf numFmtId="0" fontId="17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20" fillId="0" borderId="0">
      <alignment horizontal="left" vertical="top"/>
    </xf>
    <xf numFmtId="0" fontId="46" fillId="0" borderId="1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20" fillId="0" borderId="0">
      <alignment horizontal="right" vertical="top"/>
    </xf>
    <xf numFmtId="41" fontId="21" fillId="2" borderId="13" applyFill="0"/>
    <xf numFmtId="0" fontId="47" fillId="0" borderId="0">
      <alignment horizontal="left" indent="7"/>
    </xf>
    <xf numFmtId="41" fontId="21" fillId="0" borderId="13" applyFill="0">
      <alignment horizontal="left" indent="2"/>
    </xf>
    <xf numFmtId="166" fontId="48" fillId="0" borderId="4" applyFill="0">
      <alignment horizontal="right"/>
    </xf>
    <xf numFmtId="0" fontId="23" fillId="0" borderId="14" applyNumberFormat="0" applyFont="0" applyBorder="0">
      <alignment horizontal="right"/>
    </xf>
    <xf numFmtId="0" fontId="49" fillId="0" borderId="0" applyFill="0"/>
    <xf numFmtId="0" fontId="19" fillId="0" borderId="0" applyFill="0"/>
    <xf numFmtId="4" fontId="48" fillId="0" borderId="4" applyFill="0"/>
    <xf numFmtId="0" fontId="20" fillId="0" borderId="0" applyNumberFormat="0" applyFont="0" applyBorder="0" applyAlignment="0"/>
    <xf numFmtId="0" fontId="30" fillId="0" borderId="0" applyFill="0">
      <alignment horizontal="left" indent="1"/>
    </xf>
    <xf numFmtId="0" fontId="50" fillId="0" borderId="0" applyFill="0">
      <alignment horizontal="left" indent="1"/>
    </xf>
    <xf numFmtId="4" fontId="32" fillId="0" borderId="0" applyFill="0"/>
    <xf numFmtId="0" fontId="20" fillId="0" borderId="0" applyNumberFormat="0" applyFont="0" applyFill="0" applyBorder="0" applyAlignment="0"/>
    <xf numFmtId="0" fontId="30" fillId="0" borderId="0" applyFill="0">
      <alignment horizontal="left" indent="2"/>
    </xf>
    <xf numFmtId="0" fontId="19" fillId="0" borderId="0" applyFill="0">
      <alignment horizontal="left" indent="2"/>
    </xf>
    <xf numFmtId="4" fontId="32" fillId="0" borderId="0" applyFill="0"/>
    <xf numFmtId="0" fontId="20" fillId="0" borderId="0" applyNumberFormat="0" applyFont="0" applyBorder="0" applyAlignment="0"/>
    <xf numFmtId="0" fontId="51" fillId="0" borderId="0">
      <alignment horizontal="left" indent="3"/>
    </xf>
    <xf numFmtId="0" fontId="52" fillId="0" borderId="0" applyFill="0">
      <alignment horizontal="left" indent="3"/>
    </xf>
    <xf numFmtId="4" fontId="32" fillId="0" borderId="0" applyFill="0"/>
    <xf numFmtId="0" fontId="20" fillId="0" borderId="0" applyNumberFormat="0" applyFont="0" applyBorder="0" applyAlignment="0"/>
    <xf numFmtId="0" fontId="33" fillId="0" borderId="0">
      <alignment horizontal="left" indent="4"/>
    </xf>
    <xf numFmtId="0" fontId="20" fillId="0" borderId="0" applyFill="0">
      <alignment horizontal="left" indent="4"/>
    </xf>
    <xf numFmtId="4" fontId="34" fillId="0" borderId="0" applyFill="0"/>
    <xf numFmtId="0" fontId="20" fillId="0" borderId="0" applyNumberFormat="0" applyFont="0" applyBorder="0" applyAlignment="0"/>
    <xf numFmtId="0" fontId="35" fillId="0" borderId="0">
      <alignment horizontal="left" indent="5"/>
    </xf>
    <xf numFmtId="0" fontId="36" fillId="0" borderId="0" applyFill="0">
      <alignment horizontal="left" indent="5"/>
    </xf>
    <xf numFmtId="4" fontId="37" fillId="0" borderId="0" applyFill="0"/>
    <xf numFmtId="0" fontId="20" fillId="0" borderId="0" applyNumberFormat="0" applyFont="0" applyFill="0" applyBorder="0" applyAlignment="0"/>
    <xf numFmtId="0" fontId="38" fillId="0" borderId="0" applyFill="0">
      <alignment horizontal="left" indent="6"/>
    </xf>
    <xf numFmtId="0" fontId="34" fillId="0" borderId="0" applyFill="0">
      <alignment horizontal="left" indent="6"/>
    </xf>
    <xf numFmtId="0" fontId="45" fillId="0" borderId="0" applyNumberFormat="0" applyBorder="0" applyAlignment="0"/>
    <xf numFmtId="0" fontId="53" fillId="0" borderId="0" applyNumberFormat="0" applyBorder="0" applyAlignment="0"/>
    <xf numFmtId="0" fontId="54" fillId="0" borderId="0" applyNumberFormat="0" applyBorder="0" applyAlignment="0"/>
    <xf numFmtId="0" fontId="45" fillId="0" borderId="0" applyNumberFormat="0" applyBorder="0" applyAlignment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72" fillId="0" borderId="0"/>
    <xf numFmtId="44" fontId="18" fillId="0" borderId="0" applyFont="0" applyFill="0" applyBorder="0" applyAlignment="0" applyProtection="0"/>
    <xf numFmtId="0" fontId="18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83" fillId="0" borderId="0" applyNumberFormat="0" applyFill="0" applyBorder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6" fillId="0" borderId="33" applyNumberFormat="0" applyFill="0" applyAlignment="0" applyProtection="0"/>
    <xf numFmtId="0" fontId="86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88" fillId="7" borderId="0" applyNumberFormat="0" applyBorder="0" applyAlignment="0" applyProtection="0"/>
    <xf numFmtId="0" fontId="89" fillId="8" borderId="0" applyNumberFormat="0" applyBorder="0" applyAlignment="0" applyProtection="0"/>
    <xf numFmtId="0" fontId="90" fillId="9" borderId="34" applyNumberFormat="0" applyAlignment="0" applyProtection="0"/>
    <xf numFmtId="0" fontId="91" fillId="10" borderId="35" applyNumberFormat="0" applyAlignment="0" applyProtection="0"/>
    <xf numFmtId="0" fontId="92" fillId="10" borderId="34" applyNumberFormat="0" applyAlignment="0" applyProtection="0"/>
    <xf numFmtId="0" fontId="93" fillId="0" borderId="36" applyNumberFormat="0" applyFill="0" applyAlignment="0" applyProtection="0"/>
    <xf numFmtId="0" fontId="94" fillId="11" borderId="37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39" applyNumberFormat="0" applyFill="0" applyAlignment="0" applyProtection="0"/>
    <xf numFmtId="0" fontId="9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98" fillId="36" borderId="0" applyNumberFormat="0" applyBorder="0" applyAlignment="0" applyProtection="0"/>
    <xf numFmtId="0" fontId="18" fillId="0" borderId="0"/>
    <xf numFmtId="0" fontId="18" fillId="0" borderId="0"/>
    <xf numFmtId="0" fontId="8" fillId="12" borderId="3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02" fillId="0" borderId="0"/>
    <xf numFmtId="9" fontId="18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 applyFont="0" applyAlignment="0"/>
    <xf numFmtId="0" fontId="18" fillId="0" borderId="0" applyNumberFormat="0" applyFont="0" applyAlignment="0"/>
    <xf numFmtId="166" fontId="18" fillId="0" borderId="0" applyFill="0"/>
    <xf numFmtId="0" fontId="18" fillId="0" borderId="0" applyFill="0">
      <alignment horizontal="center" vertical="center" wrapText="1"/>
    </xf>
    <xf numFmtId="3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/>
    <xf numFmtId="0" fontId="4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18" fillId="0" borderId="0">
      <alignment horizontal="left" vertical="top"/>
    </xf>
    <xf numFmtId="3" fontId="18" fillId="0" borderId="0">
      <alignment horizontal="right" vertical="top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 applyFill="0">
      <alignment horizontal="left" indent="4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38" applyNumberFormat="0" applyFont="0" applyAlignment="0" applyProtection="0"/>
    <xf numFmtId="0" fontId="18" fillId="0" borderId="0"/>
    <xf numFmtId="0" fontId="4" fillId="0" borderId="0"/>
    <xf numFmtId="0" fontId="13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2" borderId="38" applyNumberFormat="0" applyFont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0" borderId="0"/>
    <xf numFmtId="0" fontId="18" fillId="0" borderId="0" applyFont="0" applyAlignment="0"/>
    <xf numFmtId="0" fontId="18" fillId="0" borderId="0" applyNumberFormat="0" applyFont="0" applyAlignment="0"/>
    <xf numFmtId="166" fontId="18" fillId="0" borderId="0" applyFill="0"/>
    <xf numFmtId="0" fontId="18" fillId="0" borderId="0" applyFill="0">
      <alignment horizontal="center" vertical="center" wrapText="1"/>
    </xf>
    <xf numFmtId="3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/>
    <xf numFmtId="0" fontId="4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18" fillId="0" borderId="0">
      <alignment horizontal="left" vertical="top"/>
    </xf>
    <xf numFmtId="3" fontId="18" fillId="0" borderId="0">
      <alignment horizontal="right" vertical="top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 applyFill="0">
      <alignment horizontal="left" indent="4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38" applyNumberFormat="0" applyFont="0" applyAlignment="0" applyProtection="0"/>
    <xf numFmtId="0" fontId="18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2" borderId="38" applyNumberFormat="0" applyFont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3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2" borderId="38" applyNumberFormat="0" applyFont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3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2" borderId="38" applyNumberFormat="0" applyFont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3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2" borderId="38" applyNumberFormat="0" applyFont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2" borderId="38" applyNumberFormat="0" applyFont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2" borderId="38" applyNumberFormat="0" applyFont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2" borderId="38" applyNumberFormat="0" applyFont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11">
    <xf numFmtId="166" fontId="0" fillId="0" borderId="0" xfId="0" applyAlignment="1"/>
    <xf numFmtId="166" fontId="14" fillId="0" borderId="0" xfId="0" applyFont="1" applyAlignment="1"/>
    <xf numFmtId="0" fontId="14" fillId="0" borderId="0" xfId="0" applyNumberFormat="1" applyFont="1"/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166" fontId="15" fillId="0" borderId="0" xfId="0" applyFont="1" applyAlignment="1">
      <alignment horizontal="center"/>
    </xf>
    <xf numFmtId="0" fontId="15" fillId="0" borderId="0" xfId="0" applyNumberFormat="1" applyFont="1" applyAlignment="1"/>
    <xf numFmtId="0" fontId="14" fillId="0" borderId="0" xfId="0" applyNumberFormat="1" applyFont="1" applyFill="1" applyAlignment="1"/>
    <xf numFmtId="166" fontId="14" fillId="0" borderId="0" xfId="0" applyFont="1" applyFill="1" applyAlignment="1"/>
    <xf numFmtId="166" fontId="14" fillId="0" borderId="0" xfId="0" applyFont="1" applyAlignment="1">
      <alignment horizontal="right"/>
    </xf>
    <xf numFmtId="0" fontId="14" fillId="0" borderId="0" xfId="0" applyNumberFormat="1" applyFont="1" applyFill="1"/>
    <xf numFmtId="0" fontId="20" fillId="0" borderId="0" xfId="2" applyFont="1"/>
    <xf numFmtId="0" fontId="18" fillId="0" borderId="0" xfId="2"/>
    <xf numFmtId="0" fontId="18" fillId="0" borderId="11" xfId="2" applyBorder="1" applyAlignment="1">
      <alignment horizontal="center"/>
    </xf>
    <xf numFmtId="0" fontId="18" fillId="0" borderId="3" xfId="2" applyBorder="1"/>
    <xf numFmtId="0" fontId="18" fillId="0" borderId="3" xfId="2" applyBorder="1" applyAlignment="1">
      <alignment horizontal="center"/>
    </xf>
    <xf numFmtId="0" fontId="18" fillId="0" borderId="12" xfId="2" applyBorder="1" applyAlignment="1">
      <alignment horizontal="center"/>
    </xf>
    <xf numFmtId="0" fontId="18" fillId="0" borderId="5" xfId="2" applyBorder="1" applyAlignment="1">
      <alignment horizontal="center"/>
    </xf>
    <xf numFmtId="0" fontId="18" fillId="0" borderId="5" xfId="2" applyFill="1" applyBorder="1" applyAlignment="1">
      <alignment horizontal="center"/>
    </xf>
    <xf numFmtId="0" fontId="18" fillId="0" borderId="13" xfId="2" applyBorder="1" applyAlignment="1">
      <alignment horizontal="center"/>
    </xf>
    <xf numFmtId="0" fontId="23" fillId="0" borderId="11" xfId="2" applyFont="1" applyBorder="1" applyAlignment="1">
      <alignment horizontal="center"/>
    </xf>
    <xf numFmtId="43" fontId="0" fillId="0" borderId="11" xfId="3" applyFont="1" applyFill="1" applyBorder="1"/>
    <xf numFmtId="0" fontId="18" fillId="0" borderId="11" xfId="2" applyFill="1" applyBorder="1" applyAlignment="1">
      <alignment horizontal="center"/>
    </xf>
    <xf numFmtId="0" fontId="23" fillId="0" borderId="11" xfId="2" applyFont="1" applyFill="1" applyBorder="1" applyAlignment="1">
      <alignment horizontal="center"/>
    </xf>
    <xf numFmtId="0" fontId="18" fillId="0" borderId="13" xfId="2" applyBorder="1"/>
    <xf numFmtId="37" fontId="0" fillId="0" borderId="13" xfId="3" applyNumberFormat="1" applyFont="1" applyFill="1" applyBorder="1"/>
    <xf numFmtId="0" fontId="18" fillId="0" borderId="13" xfId="2" applyFill="1" applyBorder="1" applyAlignment="1">
      <alignment horizontal="center"/>
    </xf>
    <xf numFmtId="0" fontId="18" fillId="0" borderId="13" xfId="2" applyFill="1" applyBorder="1"/>
    <xf numFmtId="0" fontId="18" fillId="0" borderId="12" xfId="2" applyBorder="1" applyAlignment="1">
      <alignment horizontal="left" indent="1"/>
    </xf>
    <xf numFmtId="167" fontId="24" fillId="0" borderId="12" xfId="4" applyNumberFormat="1" applyFont="1" applyFill="1" applyBorder="1"/>
    <xf numFmtId="0" fontId="18" fillId="0" borderId="12" xfId="2" applyFill="1" applyBorder="1" applyAlignment="1">
      <alignment horizontal="center"/>
    </xf>
    <xf numFmtId="0" fontId="18" fillId="0" borderId="12" xfId="2" applyFill="1" applyBorder="1"/>
    <xf numFmtId="0" fontId="18" fillId="0" borderId="14" xfId="2" applyBorder="1" applyAlignment="1">
      <alignment horizontal="center"/>
    </xf>
    <xf numFmtId="0" fontId="18" fillId="0" borderId="14" xfId="2" applyBorder="1"/>
    <xf numFmtId="0" fontId="18" fillId="0" borderId="14" xfId="2" applyFill="1" applyBorder="1" applyAlignment="1">
      <alignment horizontal="center"/>
    </xf>
    <xf numFmtId="0" fontId="18" fillId="0" borderId="14" xfId="2" applyFill="1" applyBorder="1"/>
    <xf numFmtId="0" fontId="18" fillId="0" borderId="13" xfId="2" applyBorder="1" applyAlignment="1">
      <alignment horizontal="left" indent="1"/>
    </xf>
    <xf numFmtId="37" fontId="24" fillId="0" borderId="13" xfId="3" applyNumberFormat="1" applyFont="1" applyFill="1" applyBorder="1"/>
    <xf numFmtId="0" fontId="18" fillId="0" borderId="12" xfId="2" applyFill="1" applyBorder="1" applyAlignment="1">
      <alignment horizontal="left" indent="1"/>
    </xf>
    <xf numFmtId="0" fontId="23" fillId="0" borderId="15" xfId="2" applyFont="1" applyFill="1" applyBorder="1"/>
    <xf numFmtId="37" fontId="23" fillId="0" borderId="16" xfId="3" applyNumberFormat="1" applyFont="1" applyFill="1" applyBorder="1"/>
    <xf numFmtId="0" fontId="18" fillId="0" borderId="17" xfId="2" applyFill="1" applyBorder="1" applyAlignment="1">
      <alignment horizontal="center"/>
    </xf>
    <xf numFmtId="0" fontId="23" fillId="0" borderId="18" xfId="2" applyFont="1" applyFill="1" applyBorder="1"/>
    <xf numFmtId="37" fontId="24" fillId="0" borderId="3" xfId="3" applyNumberFormat="1" applyFont="1" applyFill="1" applyBorder="1"/>
    <xf numFmtId="0" fontId="23" fillId="0" borderId="13" xfId="2" applyFont="1" applyFill="1" applyBorder="1" applyAlignment="1">
      <alignment horizontal="center"/>
    </xf>
    <xf numFmtId="0" fontId="18" fillId="0" borderId="6" xfId="2" applyBorder="1"/>
    <xf numFmtId="0" fontId="18" fillId="0" borderId="3" xfId="2" applyFill="1" applyBorder="1" applyAlignment="1">
      <alignment horizontal="center"/>
    </xf>
    <xf numFmtId="0" fontId="18" fillId="0" borderId="9" xfId="2" applyBorder="1" applyAlignment="1">
      <alignment horizontal="center"/>
    </xf>
    <xf numFmtId="0" fontId="23" fillId="0" borderId="11" xfId="2" applyFont="1" applyBorder="1"/>
    <xf numFmtId="37" fontId="23" fillId="0" borderId="11" xfId="3" applyNumberFormat="1" applyFont="1" applyFill="1" applyBorder="1"/>
    <xf numFmtId="0" fontId="23" fillId="0" borderId="19" xfId="2" applyFont="1" applyBorder="1"/>
    <xf numFmtId="0" fontId="23" fillId="0" borderId="13" xfId="2" applyFont="1" applyBorder="1" applyAlignment="1">
      <alignment horizontal="center"/>
    </xf>
    <xf numFmtId="0" fontId="18" fillId="0" borderId="12" xfId="2" applyBorder="1"/>
    <xf numFmtId="168" fontId="24" fillId="0" borderId="12" xfId="3" applyNumberFormat="1" applyFont="1" applyFill="1" applyBorder="1"/>
    <xf numFmtId="168" fontId="0" fillId="0" borderId="13" xfId="3" applyNumberFormat="1" applyFont="1" applyFill="1" applyBorder="1"/>
    <xf numFmtId="0" fontId="23" fillId="0" borderId="7" xfId="2" applyFont="1" applyFill="1" applyBorder="1"/>
    <xf numFmtId="168" fontId="23" fillId="0" borderId="16" xfId="3" applyNumberFormat="1" applyFont="1" applyFill="1" applyBorder="1"/>
    <xf numFmtId="0" fontId="23" fillId="0" borderId="18" xfId="2" applyFont="1" applyBorder="1"/>
    <xf numFmtId="0" fontId="23" fillId="0" borderId="12" xfId="2" applyFont="1" applyFill="1" applyBorder="1" applyAlignment="1">
      <alignment horizontal="center"/>
    </xf>
    <xf numFmtId="0" fontId="18" fillId="0" borderId="0" xfId="2" applyFill="1"/>
    <xf numFmtId="0" fontId="18" fillId="0" borderId="12" xfId="2" quotePrefix="1" applyFill="1" applyBorder="1" applyAlignment="1">
      <alignment horizontal="left" indent="1"/>
    </xf>
    <xf numFmtId="0" fontId="23" fillId="0" borderId="13" xfId="2" applyFont="1" applyBorder="1"/>
    <xf numFmtId="168" fontId="23" fillId="0" borderId="13" xfId="3" applyNumberFormat="1" applyFont="1" applyFill="1" applyBorder="1"/>
    <xf numFmtId="0" fontId="18" fillId="0" borderId="20" xfId="2" applyBorder="1" applyAlignment="1">
      <alignment horizontal="center"/>
    </xf>
    <xf numFmtId="0" fontId="23" fillId="0" borderId="21" xfId="2" applyFont="1" applyBorder="1"/>
    <xf numFmtId="167" fontId="23" fillId="0" borderId="16" xfId="4" applyNumberFormat="1" applyFont="1" applyFill="1" applyBorder="1"/>
    <xf numFmtId="0" fontId="18" fillId="0" borderId="22" xfId="2" applyFill="1" applyBorder="1" applyAlignment="1">
      <alignment horizontal="center"/>
    </xf>
    <xf numFmtId="0" fontId="23" fillId="0" borderId="21" xfId="2" applyFont="1" applyFill="1" applyBorder="1"/>
    <xf numFmtId="0" fontId="18" fillId="0" borderId="0" xfId="2" applyBorder="1"/>
    <xf numFmtId="37" fontId="0" fillId="0" borderId="0" xfId="3" applyNumberFormat="1" applyFont="1" applyFill="1" applyBorder="1"/>
    <xf numFmtId="0" fontId="18" fillId="0" borderId="0" xfId="2" applyFill="1" applyBorder="1"/>
    <xf numFmtId="37" fontId="18" fillId="0" borderId="0" xfId="2" applyNumberFormat="1" applyFill="1" applyBorder="1"/>
    <xf numFmtId="37" fontId="18" fillId="0" borderId="0" xfId="2" applyNumberFormat="1" applyBorder="1"/>
    <xf numFmtId="0" fontId="21" fillId="0" borderId="0" xfId="2" applyFont="1" applyAlignment="1">
      <alignment horizontal="left"/>
    </xf>
    <xf numFmtId="14" fontId="21" fillId="0" borderId="0" xfId="2" applyNumberFormat="1" applyFont="1" applyAlignment="1">
      <alignment horizontal="left"/>
    </xf>
    <xf numFmtId="0" fontId="20" fillId="0" borderId="0" xfId="2" applyFont="1" applyAlignment="1">
      <alignment horizontal="left"/>
    </xf>
    <xf numFmtId="0" fontId="22" fillId="0" borderId="0" xfId="2" applyFont="1" applyBorder="1" applyAlignment="1">
      <alignment horizontal="left"/>
    </xf>
    <xf numFmtId="0" fontId="18" fillId="0" borderId="10" xfId="2" applyFill="1" applyBorder="1"/>
    <xf numFmtId="0" fontId="18" fillId="0" borderId="10" xfId="2" applyFill="1" applyBorder="1" applyAlignment="1">
      <alignment horizontal="center"/>
    </xf>
    <xf numFmtId="0" fontId="18" fillId="0" borderId="5" xfId="2" applyFill="1" applyBorder="1"/>
    <xf numFmtId="168" fontId="24" fillId="0" borderId="5" xfId="3" applyNumberFormat="1" applyFont="1" applyFill="1" applyBorder="1"/>
    <xf numFmtId="0" fontId="18" fillId="0" borderId="17" xfId="2" applyFill="1" applyBorder="1"/>
    <xf numFmtId="0" fontId="18" fillId="0" borderId="3" xfId="2" applyFill="1" applyBorder="1"/>
    <xf numFmtId="168" fontId="24" fillId="0" borderId="3" xfId="3" applyNumberFormat="1" applyFont="1" applyFill="1" applyBorder="1"/>
    <xf numFmtId="0" fontId="18" fillId="0" borderId="23" xfId="2" applyFill="1" applyBorder="1" applyAlignment="1">
      <alignment horizontal="center"/>
    </xf>
    <xf numFmtId="0" fontId="18" fillId="0" borderId="24" xfId="2" applyFill="1" applyBorder="1"/>
    <xf numFmtId="168" fontId="23" fillId="0" borderId="25" xfId="3" applyNumberFormat="1" applyFont="1" applyFill="1" applyBorder="1"/>
    <xf numFmtId="0" fontId="23" fillId="0" borderId="24" xfId="2" applyFont="1" applyFill="1" applyBorder="1"/>
    <xf numFmtId="0" fontId="20" fillId="0" borderId="23" xfId="2" applyFont="1" applyFill="1" applyBorder="1" applyAlignment="1">
      <alignment horizontal="center"/>
    </xf>
    <xf numFmtId="0" fontId="20" fillId="0" borderId="24" xfId="2" applyFont="1" applyFill="1" applyBorder="1"/>
    <xf numFmtId="167" fontId="23" fillId="0" borderId="26" xfId="4" applyNumberFormat="1" applyFont="1" applyFill="1" applyBorder="1"/>
    <xf numFmtId="37" fontId="18" fillId="0" borderId="0" xfId="2" applyNumberFormat="1"/>
    <xf numFmtId="0" fontId="21" fillId="0" borderId="0" xfId="2" applyFont="1" applyAlignment="1">
      <alignment horizontal="center"/>
    </xf>
    <xf numFmtId="0" fontId="23" fillId="0" borderId="0" xfId="2" applyFont="1"/>
    <xf numFmtId="14" fontId="21" fillId="0" borderId="0" xfId="2" applyNumberFormat="1" applyFont="1" applyAlignment="1">
      <alignment horizontal="center"/>
    </xf>
    <xf numFmtId="37" fontId="18" fillId="0" borderId="11" xfId="2" applyNumberFormat="1" applyBorder="1"/>
    <xf numFmtId="37" fontId="18" fillId="0" borderId="3" xfId="2" applyNumberFormat="1" applyBorder="1"/>
    <xf numFmtId="0" fontId="18" fillId="0" borderId="4" xfId="2" applyBorder="1"/>
    <xf numFmtId="0" fontId="18" fillId="0" borderId="4" xfId="2" applyFill="1" applyBorder="1" applyAlignment="1">
      <alignment horizontal="left" indent="1"/>
    </xf>
    <xf numFmtId="0" fontId="18" fillId="0" borderId="28" xfId="2" applyFill="1" applyBorder="1"/>
    <xf numFmtId="167" fontId="23" fillId="0" borderId="27" xfId="4" applyNumberFormat="1" applyFont="1" applyFill="1" applyBorder="1"/>
    <xf numFmtId="167" fontId="23" fillId="0" borderId="24" xfId="4" applyNumberFormat="1" applyFont="1" applyFill="1" applyBorder="1"/>
    <xf numFmtId="37" fontId="24" fillId="0" borderId="3" xfId="2" applyNumberFormat="1" applyFont="1" applyFill="1" applyBorder="1"/>
    <xf numFmtId="168" fontId="24" fillId="0" borderId="5" xfId="3" applyNumberFormat="1" applyFont="1" applyFill="1" applyBorder="1" applyAlignment="1">
      <alignment horizontal="right"/>
    </xf>
    <xf numFmtId="168" fontId="24" fillId="0" borderId="3" xfId="3" applyNumberFormat="1" applyFont="1" applyFill="1" applyBorder="1" applyAlignment="1">
      <alignment horizontal="right"/>
    </xf>
    <xf numFmtId="168" fontId="24" fillId="0" borderId="17" xfId="3" applyNumberFormat="1" applyFont="1" applyFill="1" applyBorder="1" applyAlignment="1">
      <alignment horizontal="right"/>
    </xf>
    <xf numFmtId="37" fontId="24" fillId="0" borderId="3" xfId="2" applyNumberFormat="1" applyFont="1" applyFill="1" applyBorder="1" applyAlignment="1">
      <alignment horizontal="right"/>
    </xf>
    <xf numFmtId="37" fontId="18" fillId="0" borderId="0" xfId="2" applyNumberFormat="1" applyFill="1"/>
    <xf numFmtId="0" fontId="20" fillId="0" borderId="0" xfId="2" applyFont="1" applyBorder="1"/>
    <xf numFmtId="0" fontId="20" fillId="0" borderId="5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37" fontId="20" fillId="0" borderId="3" xfId="2" applyNumberFormat="1" applyFont="1" applyBorder="1"/>
    <xf numFmtId="167" fontId="20" fillId="0" borderId="5" xfId="4" applyNumberFormat="1" applyFont="1" applyBorder="1"/>
    <xf numFmtId="168" fontId="20" fillId="0" borderId="5" xfId="3" applyNumberFormat="1" applyFont="1" applyBorder="1"/>
    <xf numFmtId="168" fontId="20" fillId="0" borderId="3" xfId="3" applyNumberFormat="1" applyFont="1" applyBorder="1"/>
    <xf numFmtId="0" fontId="20" fillId="0" borderId="5" xfId="2" applyFont="1" applyFill="1" applyBorder="1" applyAlignment="1">
      <alignment horizontal="center"/>
    </xf>
    <xf numFmtId="43" fontId="55" fillId="0" borderId="11" xfId="3" applyFont="1" applyFill="1" applyBorder="1"/>
    <xf numFmtId="37" fontId="55" fillId="0" borderId="13" xfId="3" applyNumberFormat="1" applyFont="1" applyFill="1" applyBorder="1"/>
    <xf numFmtId="37" fontId="55" fillId="0" borderId="14" xfId="3" applyNumberFormat="1" applyFont="1" applyFill="1" applyBorder="1"/>
    <xf numFmtId="168" fontId="55" fillId="0" borderId="13" xfId="3" applyNumberFormat="1" applyFont="1" applyFill="1" applyBorder="1"/>
    <xf numFmtId="168" fontId="55" fillId="0" borderId="12" xfId="3" applyNumberFormat="1" applyFont="1" applyFill="1" applyBorder="1"/>
    <xf numFmtId="168" fontId="55" fillId="0" borderId="0" xfId="3" applyNumberFormat="1" applyFont="1" applyFill="1" applyBorder="1"/>
    <xf numFmtId="43" fontId="55" fillId="0" borderId="0" xfId="3" applyFont="1" applyFill="1" applyBorder="1"/>
    <xf numFmtId="37" fontId="20" fillId="0" borderId="0" xfId="2" applyNumberFormat="1" applyFont="1" applyBorder="1"/>
    <xf numFmtId="43" fontId="55" fillId="0" borderId="0" xfId="3" applyFont="1" applyBorder="1"/>
    <xf numFmtId="43" fontId="20" fillId="0" borderId="0" xfId="2" applyNumberFormat="1" applyFont="1" applyBorder="1"/>
    <xf numFmtId="37" fontId="24" fillId="0" borderId="12" xfId="3" applyNumberFormat="1" applyFont="1" applyFill="1" applyBorder="1"/>
    <xf numFmtId="37" fontId="55" fillId="0" borderId="12" xfId="3" applyNumberFormat="1" applyFont="1" applyFill="1" applyBorder="1"/>
    <xf numFmtId="168" fontId="20" fillId="0" borderId="5" xfId="3" applyNumberFormat="1" applyFont="1" applyFill="1" applyBorder="1"/>
    <xf numFmtId="168" fontId="20" fillId="0" borderId="3" xfId="3" applyNumberFormat="1" applyFont="1" applyFill="1" applyBorder="1"/>
    <xf numFmtId="168" fontId="20" fillId="0" borderId="17" xfId="3" applyNumberFormat="1" applyFont="1" applyFill="1" applyBorder="1"/>
    <xf numFmtId="167" fontId="23" fillId="0" borderId="25" xfId="4" applyNumberFormat="1" applyFont="1" applyFill="1" applyBorder="1"/>
    <xf numFmtId="37" fontId="20" fillId="0" borderId="3" xfId="2" applyNumberFormat="1" applyFont="1" applyFill="1" applyBorder="1"/>
    <xf numFmtId="0" fontId="18" fillId="0" borderId="5" xfId="2" applyFill="1" applyBorder="1" applyAlignment="1">
      <alignment horizontal="left" indent="1"/>
    </xf>
    <xf numFmtId="168" fontId="55" fillId="0" borderId="5" xfId="3" applyNumberFormat="1" applyFont="1" applyFill="1" applyBorder="1"/>
    <xf numFmtId="168" fontId="55" fillId="0" borderId="3" xfId="3" applyNumberFormat="1" applyFont="1" applyFill="1" applyBorder="1"/>
    <xf numFmtId="37" fontId="20" fillId="0" borderId="0" xfId="2" applyNumberFormat="1" applyFont="1" applyFill="1"/>
    <xf numFmtId="0" fontId="18" fillId="0" borderId="7" xfId="2" applyFill="1" applyBorder="1"/>
    <xf numFmtId="37" fontId="18" fillId="0" borderId="4" xfId="2" applyNumberFormat="1" applyFill="1" applyBorder="1"/>
    <xf numFmtId="37" fontId="24" fillId="0" borderId="5" xfId="2" applyNumberFormat="1" applyFont="1" applyFill="1" applyBorder="1"/>
    <xf numFmtId="37" fontId="56" fillId="0" borderId="0" xfId="2" applyNumberFormat="1" applyFont="1" applyFill="1"/>
    <xf numFmtId="167" fontId="18" fillId="0" borderId="0" xfId="199" applyNumberFormat="1" applyFont="1"/>
    <xf numFmtId="168" fontId="18" fillId="0" borderId="0" xfId="1" applyNumberFormat="1" applyFont="1"/>
    <xf numFmtId="168" fontId="58" fillId="0" borderId="0" xfId="1" applyNumberFormat="1" applyFont="1"/>
    <xf numFmtId="0" fontId="58" fillId="0" borderId="0" xfId="2" applyFont="1"/>
    <xf numFmtId="0" fontId="58" fillId="0" borderId="0" xfId="2" applyFont="1" applyAlignment="1">
      <alignment horizontal="left"/>
    </xf>
    <xf numFmtId="0" fontId="58" fillId="0" borderId="11" xfId="2" applyFont="1" applyBorder="1" applyAlignment="1">
      <alignment horizontal="center"/>
    </xf>
    <xf numFmtId="0" fontId="58" fillId="0" borderId="10" xfId="2" applyFont="1" applyBorder="1" applyAlignment="1">
      <alignment horizontal="center"/>
    </xf>
    <xf numFmtId="0" fontId="58" fillId="0" borderId="12" xfId="2" applyFont="1" applyBorder="1" applyAlignment="1">
      <alignment horizontal="center"/>
    </xf>
    <xf numFmtId="0" fontId="58" fillId="0" borderId="5" xfId="2" applyFont="1" applyBorder="1" applyAlignment="1">
      <alignment horizontal="center"/>
    </xf>
    <xf numFmtId="0" fontId="58" fillId="0" borderId="13" xfId="2" applyFont="1" applyFill="1" applyBorder="1" applyAlignment="1">
      <alignment horizontal="center"/>
    </xf>
    <xf numFmtId="0" fontId="58" fillId="0" borderId="14" xfId="2" applyFont="1" applyBorder="1" applyAlignment="1">
      <alignment horizontal="center"/>
    </xf>
    <xf numFmtId="0" fontId="58" fillId="0" borderId="14" xfId="2" applyFont="1" applyBorder="1"/>
    <xf numFmtId="167" fontId="61" fillId="0" borderId="14" xfId="4" applyNumberFormat="1" applyFont="1" applyBorder="1"/>
    <xf numFmtId="167" fontId="62" fillId="0" borderId="14" xfId="4" applyNumberFormat="1" applyFont="1" applyBorder="1"/>
    <xf numFmtId="167" fontId="57" fillId="0" borderId="14" xfId="4" applyNumberFormat="1" applyFont="1" applyBorder="1"/>
    <xf numFmtId="168" fontId="62" fillId="0" borderId="14" xfId="3" applyNumberFormat="1" applyFont="1" applyBorder="1"/>
    <xf numFmtId="168" fontId="61" fillId="0" borderId="14" xfId="3" applyNumberFormat="1" applyFont="1" applyFill="1" applyBorder="1"/>
    <xf numFmtId="0" fontId="58" fillId="0" borderId="0" xfId="2" applyFont="1" applyFill="1"/>
    <xf numFmtId="167" fontId="58" fillId="0" borderId="14" xfId="4" applyNumberFormat="1" applyFont="1" applyFill="1" applyBorder="1"/>
    <xf numFmtId="168" fontId="61" fillId="0" borderId="11" xfId="3" applyNumberFormat="1" applyFont="1" applyFill="1" applyBorder="1"/>
    <xf numFmtId="167" fontId="58" fillId="0" borderId="11" xfId="4" applyNumberFormat="1" applyFont="1" applyFill="1" applyBorder="1"/>
    <xf numFmtId="0" fontId="62" fillId="0" borderId="18" xfId="2" applyFont="1" applyBorder="1"/>
    <xf numFmtId="167" fontId="62" fillId="0" borderId="27" xfId="4" applyNumberFormat="1" applyFont="1" applyFill="1" applyBorder="1"/>
    <xf numFmtId="167" fontId="62" fillId="0" borderId="23" xfId="4" applyNumberFormat="1" applyFont="1" applyFill="1" applyBorder="1"/>
    <xf numFmtId="167" fontId="62" fillId="0" borderId="26" xfId="4" applyNumberFormat="1" applyFont="1" applyFill="1" applyBorder="1"/>
    <xf numFmtId="167" fontId="62" fillId="0" borderId="16" xfId="4" applyNumberFormat="1" applyFont="1" applyFill="1" applyBorder="1"/>
    <xf numFmtId="0" fontId="62" fillId="0" borderId="14" xfId="2" applyFont="1" applyBorder="1"/>
    <xf numFmtId="167" fontId="62" fillId="0" borderId="12" xfId="4" applyNumberFormat="1" applyFont="1" applyFill="1" applyBorder="1"/>
    <xf numFmtId="167" fontId="58" fillId="0" borderId="0" xfId="4" applyNumberFormat="1" applyFont="1" applyFill="1"/>
    <xf numFmtId="167" fontId="58" fillId="0" borderId="0" xfId="2" applyNumberFormat="1" applyFont="1"/>
    <xf numFmtId="167" fontId="58" fillId="0" borderId="12" xfId="4" applyNumberFormat="1" applyFont="1" applyFill="1" applyBorder="1"/>
    <xf numFmtId="37" fontId="62" fillId="0" borderId="12" xfId="2" applyNumberFormat="1" applyFont="1" applyFill="1" applyBorder="1"/>
    <xf numFmtId="37" fontId="18" fillId="0" borderId="0" xfId="2" applyNumberFormat="1" applyFont="1" applyFill="1"/>
    <xf numFmtId="0" fontId="60" fillId="0" borderId="0" xfId="2" applyFont="1" applyBorder="1" applyAlignment="1">
      <alignment horizontal="left"/>
    </xf>
    <xf numFmtId="0" fontId="63" fillId="0" borderId="0" xfId="2" applyFont="1" applyAlignment="1">
      <alignment horizontal="left"/>
    </xf>
    <xf numFmtId="0" fontId="63" fillId="0" borderId="0" xfId="2" applyFont="1"/>
    <xf numFmtId="0" fontId="63" fillId="0" borderId="0" xfId="2" applyFont="1" applyFill="1" applyBorder="1"/>
    <xf numFmtId="0" fontId="63" fillId="0" borderId="0" xfId="2" applyFont="1" applyBorder="1"/>
    <xf numFmtId="37" fontId="63" fillId="0" borderId="0" xfId="2" applyNumberFormat="1" applyFont="1" applyBorder="1"/>
    <xf numFmtId="44" fontId="58" fillId="0" borderId="11" xfId="199" applyFont="1" applyFill="1" applyBorder="1"/>
    <xf numFmtId="44" fontId="58" fillId="0" borderId="0" xfId="199" applyFont="1" applyFill="1"/>
    <xf numFmtId="44" fontId="58" fillId="0" borderId="12" xfId="199" applyFont="1" applyFill="1" applyBorder="1"/>
    <xf numFmtId="0" fontId="65" fillId="0" borderId="0" xfId="204" applyFont="1"/>
    <xf numFmtId="0" fontId="66" fillId="0" borderId="0" xfId="204" applyFont="1"/>
    <xf numFmtId="0" fontId="11" fillId="0" borderId="0" xfId="204"/>
    <xf numFmtId="0" fontId="11" fillId="0" borderId="0" xfId="204" applyAlignment="1">
      <alignment vertical="center"/>
    </xf>
    <xf numFmtId="0" fontId="67" fillId="0" borderId="0" xfId="204" applyFont="1" applyAlignment="1">
      <alignment vertical="center"/>
    </xf>
    <xf numFmtId="0" fontId="67" fillId="0" borderId="0" xfId="204" applyFont="1" applyAlignment="1">
      <alignment horizontal="left" vertical="center"/>
    </xf>
    <xf numFmtId="0" fontId="64" fillId="0" borderId="4" xfId="204" applyFont="1" applyBorder="1" applyAlignment="1">
      <alignment horizontal="center" vertical="center" wrapText="1"/>
    </xf>
    <xf numFmtId="0" fontId="11" fillId="0" borderId="0" xfId="204" applyAlignment="1">
      <alignment horizontal="center" vertical="center" wrapText="1"/>
    </xf>
    <xf numFmtId="0" fontId="69" fillId="0" borderId="0" xfId="204" applyFont="1" applyAlignment="1">
      <alignment horizontal="center" vertical="center"/>
    </xf>
    <xf numFmtId="0" fontId="64" fillId="0" borderId="0" xfId="204" applyFont="1" applyAlignment="1">
      <alignment vertical="center"/>
    </xf>
    <xf numFmtId="167" fontId="0" fillId="0" borderId="0" xfId="206" applyNumberFormat="1" applyFont="1" applyAlignment="1">
      <alignment vertical="center"/>
    </xf>
    <xf numFmtId="167" fontId="0" fillId="0" borderId="4" xfId="206" applyNumberFormat="1" applyFont="1" applyBorder="1" applyAlignment="1">
      <alignment vertical="center"/>
    </xf>
    <xf numFmtId="167" fontId="70" fillId="0" borderId="0" xfId="206" applyNumberFormat="1" applyFont="1" applyAlignment="1">
      <alignment vertical="center"/>
    </xf>
    <xf numFmtId="0" fontId="71" fillId="0" borderId="0" xfId="204" applyFont="1" applyAlignment="1">
      <alignment horizontal="center" vertical="center"/>
    </xf>
    <xf numFmtId="167" fontId="11" fillId="0" borderId="0" xfId="204" applyNumberFormat="1" applyAlignment="1">
      <alignment vertical="center"/>
    </xf>
    <xf numFmtId="0" fontId="73" fillId="0" borderId="0" xfId="204" applyFont="1" applyAlignment="1">
      <alignment horizontal="center"/>
    </xf>
    <xf numFmtId="0" fontId="74" fillId="0" borderId="0" xfId="204" applyFont="1" applyAlignment="1">
      <alignment horizontal="center"/>
    </xf>
    <xf numFmtId="0" fontId="75" fillId="0" borderId="0" xfId="204" applyFont="1" applyAlignment="1">
      <alignment horizontal="left" indent="1"/>
    </xf>
    <xf numFmtId="0" fontId="11" fillId="0" borderId="0" xfId="204" applyAlignment="1"/>
    <xf numFmtId="0" fontId="75" fillId="0" borderId="0" xfId="204" applyFont="1" applyAlignment="1">
      <alignment horizontal="left" indent="2"/>
    </xf>
    <xf numFmtId="0" fontId="64" fillId="0" borderId="0" xfId="204" applyFont="1"/>
    <xf numFmtId="0" fontId="11" fillId="0" borderId="0" xfId="204" applyAlignment="1">
      <alignment horizontal="left" indent="1"/>
    </xf>
    <xf numFmtId="0" fontId="11" fillId="0" borderId="0" xfId="204" applyFont="1" applyAlignment="1">
      <alignment horizontal="left" indent="2"/>
    </xf>
    <xf numFmtId="0" fontId="11" fillId="0" borderId="0" xfId="204" applyFont="1" applyAlignment="1">
      <alignment horizontal="left" indent="1"/>
    </xf>
    <xf numFmtId="0" fontId="76" fillId="0" borderId="0" xfId="204" applyFont="1"/>
    <xf numFmtId="0" fontId="76" fillId="0" borderId="0" xfId="204" applyFont="1" applyAlignment="1">
      <alignment horizontal="left" indent="1"/>
    </xf>
    <xf numFmtId="0" fontId="11" fillId="0" borderId="0" xfId="204" applyFont="1"/>
    <xf numFmtId="0" fontId="64" fillId="0" borderId="0" xfId="204" applyFont="1" applyAlignment="1">
      <alignment horizontal="center"/>
    </xf>
    <xf numFmtId="0" fontId="11" fillId="0" borderId="0" xfId="204" applyAlignment="1">
      <alignment horizontal="center"/>
    </xf>
    <xf numFmtId="0" fontId="65" fillId="0" borderId="0" xfId="204" applyFont="1" applyAlignment="1"/>
    <xf numFmtId="172" fontId="77" fillId="0" borderId="0" xfId="208" applyFont="1" applyAlignment="1"/>
    <xf numFmtId="0" fontId="14" fillId="0" borderId="0" xfId="204" applyNumberFormat="1" applyFont="1" applyAlignment="1" applyProtection="1">
      <alignment horizontal="center"/>
      <protection locked="0"/>
    </xf>
    <xf numFmtId="0" fontId="14" fillId="0" borderId="0" xfId="204" applyNumberFormat="1" applyFont="1" applyAlignment="1" applyProtection="1">
      <protection locked="0"/>
    </xf>
    <xf numFmtId="0" fontId="14" fillId="0" borderId="0" xfId="204" applyNumberFormat="1" applyFont="1" applyBorder="1" applyAlignment="1" applyProtection="1">
      <protection locked="0"/>
    </xf>
    <xf numFmtId="0" fontId="14" fillId="0" borderId="0" xfId="204" applyNumberFormat="1" applyFont="1" applyFill="1" applyAlignment="1" applyProtection="1">
      <alignment horizontal="center"/>
      <protection locked="0"/>
    </xf>
    <xf numFmtId="0" fontId="14" fillId="0" borderId="0" xfId="204" applyNumberFormat="1" applyFont="1" applyFill="1" applyBorder="1" applyAlignment="1" applyProtection="1">
      <protection locked="0"/>
    </xf>
    <xf numFmtId="0" fontId="76" fillId="0" borderId="0" xfId="204" applyFont="1" applyAlignment="1">
      <alignment horizontal="left" indent="2"/>
    </xf>
    <xf numFmtId="0" fontId="10" fillId="0" borderId="0" xfId="211"/>
    <xf numFmtId="43" fontId="79" fillId="0" borderId="0" xfId="208" applyNumberFormat="1" applyFont="1" applyFill="1" applyBorder="1"/>
    <xf numFmtId="0" fontId="80" fillId="0" borderId="0" xfId="211" applyFont="1"/>
    <xf numFmtId="168" fontId="10" fillId="0" borderId="0" xfId="211" applyNumberFormat="1"/>
    <xf numFmtId="0" fontId="18" fillId="0" borderId="0" xfId="2" applyAlignment="1">
      <alignment horizontal="left"/>
    </xf>
    <xf numFmtId="0" fontId="80" fillId="0" borderId="0" xfId="204" applyFont="1" applyAlignment="1">
      <alignment horizontal="center" vertical="center" wrapText="1"/>
    </xf>
    <xf numFmtId="173" fontId="80" fillId="0" borderId="0" xfId="204" applyNumberFormat="1" applyFont="1" applyAlignment="1">
      <alignment vertical="center"/>
    </xf>
    <xf numFmtId="166" fontId="18" fillId="0" borderId="0" xfId="0" applyFont="1" applyBorder="1"/>
    <xf numFmtId="166" fontId="0" fillId="0" borderId="0" xfId="0"/>
    <xf numFmtId="166" fontId="0" fillId="0" borderId="11" xfId="0" applyBorder="1"/>
    <xf numFmtId="168" fontId="24" fillId="0" borderId="11" xfId="3" applyNumberFormat="1" applyFont="1" applyBorder="1" applyAlignment="1">
      <alignment horizontal="right"/>
    </xf>
    <xf numFmtId="168" fontId="0" fillId="0" borderId="11" xfId="3" applyNumberFormat="1" applyFont="1" applyBorder="1"/>
    <xf numFmtId="166" fontId="0" fillId="0" borderId="12" xfId="0" applyBorder="1"/>
    <xf numFmtId="166" fontId="0" fillId="0" borderId="5" xfId="0" applyBorder="1"/>
    <xf numFmtId="166" fontId="0" fillId="0" borderId="0" xfId="0" applyBorder="1"/>
    <xf numFmtId="166" fontId="0" fillId="0" borderId="0" xfId="0" applyBorder="1" applyAlignment="1">
      <alignment horizontal="left" indent="1"/>
    </xf>
    <xf numFmtId="167" fontId="0" fillId="0" borderId="0" xfId="0" applyNumberFormat="1"/>
    <xf numFmtId="43" fontId="82" fillId="0" borderId="0" xfId="3" applyFont="1" applyFill="1"/>
    <xf numFmtId="43" fontId="0" fillId="0" borderId="0" xfId="3" applyFont="1" applyBorder="1"/>
    <xf numFmtId="0" fontId="99" fillId="0" borderId="0" xfId="204" applyFont="1" applyAlignment="1"/>
    <xf numFmtId="0" fontId="100" fillId="0" borderId="0" xfId="211" applyFont="1" applyAlignment="1">
      <alignment horizontal="left" indent="2"/>
    </xf>
    <xf numFmtId="0" fontId="101" fillId="0" borderId="0" xfId="211" applyFont="1"/>
    <xf numFmtId="164" fontId="80" fillId="0" borderId="0" xfId="211" applyNumberFormat="1" applyFont="1"/>
    <xf numFmtId="164" fontId="80" fillId="0" borderId="9" xfId="211" applyNumberFormat="1" applyFont="1" applyBorder="1"/>
    <xf numFmtId="0" fontId="71" fillId="0" borderId="0" xfId="204" applyFont="1" applyFill="1" applyAlignment="1">
      <alignment horizontal="center" vertical="center"/>
    </xf>
    <xf numFmtId="0" fontId="10" fillId="0" borderId="0" xfId="204" applyFont="1" applyAlignment="1">
      <alignment vertical="center"/>
    </xf>
    <xf numFmtId="167" fontId="0" fillId="0" borderId="0" xfId="206" applyNumberFormat="1" applyFont="1" applyFill="1" applyAlignment="1">
      <alignment vertical="center"/>
    </xf>
    <xf numFmtId="167" fontId="63" fillId="0" borderId="0" xfId="199" applyNumberFormat="1" applyFont="1"/>
    <xf numFmtId="166" fontId="0" fillId="0" borderId="0" xfId="0" applyFont="1" applyFill="1" applyBorder="1" applyAlignment="1"/>
    <xf numFmtId="167" fontId="103" fillId="0" borderId="0" xfId="204" applyNumberFormat="1" applyFont="1" applyBorder="1" applyAlignment="1">
      <alignment horizontal="center" vertical="center" wrapText="1"/>
    </xf>
    <xf numFmtId="0" fontId="105" fillId="0" borderId="0" xfId="0" applyNumberFormat="1" applyFont="1" applyAlignment="1">
      <alignment horizontal="right"/>
    </xf>
    <xf numFmtId="166" fontId="105" fillId="0" borderId="0" xfId="0" applyFont="1" applyAlignment="1"/>
    <xf numFmtId="0" fontId="106" fillId="0" borderId="0" xfId="204" applyFont="1" applyAlignment="1">
      <alignment horizontal="center" vertical="center"/>
    </xf>
    <xf numFmtId="166" fontId="0" fillId="0" borderId="0" xfId="0" applyFill="1" applyAlignment="1"/>
    <xf numFmtId="166" fontId="14" fillId="0" borderId="0" xfId="0" quotePrefix="1" applyFont="1" applyAlignment="1"/>
    <xf numFmtId="166" fontId="105" fillId="0" borderId="0" xfId="0" applyFont="1" applyAlignment="1">
      <alignment horizontal="right"/>
    </xf>
    <xf numFmtId="166" fontId="14" fillId="0" borderId="0" xfId="0" applyFont="1" applyFill="1" applyBorder="1" applyAlignment="1"/>
    <xf numFmtId="166" fontId="105" fillId="0" borderId="0" xfId="0" applyFont="1" applyFill="1" applyAlignment="1"/>
    <xf numFmtId="166" fontId="0" fillId="0" borderId="0" xfId="0" applyFont="1" applyAlignment="1"/>
    <xf numFmtId="0" fontId="107" fillId="0" borderId="0" xfId="0" applyNumberFormat="1" applyFont="1" applyFill="1"/>
    <xf numFmtId="166" fontId="0" fillId="0" borderId="0" xfId="0" applyFill="1" applyBorder="1" applyAlignment="1" applyProtection="1">
      <protection hidden="1"/>
    </xf>
    <xf numFmtId="166" fontId="0" fillId="0" borderId="0" xfId="0" applyFill="1" applyBorder="1" applyAlignment="1"/>
    <xf numFmtId="1" fontId="0" fillId="0" borderId="0" xfId="0" applyNumberFormat="1" applyFill="1" applyBorder="1" applyAlignment="1">
      <alignment horizontal="center"/>
    </xf>
    <xf numFmtId="0" fontId="67" fillId="0" borderId="0" xfId="204" applyFont="1" applyAlignment="1">
      <alignment horizontal="center" vertical="center"/>
    </xf>
    <xf numFmtId="1" fontId="65" fillId="0" borderId="0" xfId="204" applyNumberFormat="1" applyFont="1" applyFill="1" applyAlignment="1">
      <alignment horizontal="left"/>
    </xf>
    <xf numFmtId="166" fontId="14" fillId="0" borderId="4" xfId="0" applyFont="1" applyFill="1" applyBorder="1" applyAlignment="1">
      <alignment horizontal="center" wrapText="1"/>
    </xf>
    <xf numFmtId="166" fontId="0" fillId="0" borderId="0" xfId="0" applyFont="1" applyFill="1" applyAlignment="1"/>
    <xf numFmtId="0" fontId="0" fillId="0" borderId="0" xfId="0" applyNumberFormat="1" applyFont="1" applyFill="1"/>
    <xf numFmtId="0" fontId="0" fillId="0" borderId="9" xfId="0" applyNumberFormat="1" applyFont="1" applyFill="1" applyBorder="1"/>
    <xf numFmtId="166" fontId="0" fillId="0" borderId="9" xfId="0" applyFont="1" applyFill="1" applyBorder="1" applyAlignment="1"/>
    <xf numFmtId="0" fontId="0" fillId="0" borderId="0" xfId="0" applyNumberFormat="1" applyFont="1" applyFill="1" applyBorder="1"/>
    <xf numFmtId="166" fontId="104" fillId="0" borderId="4" xfId="0" applyFont="1" applyBorder="1" applyAlignment="1">
      <alignment horizontal="center" wrapText="1"/>
    </xf>
    <xf numFmtId="168" fontId="14" fillId="0" borderId="0" xfId="1" applyNumberFormat="1" applyFont="1" applyFill="1" applyBorder="1" applyAlignment="1"/>
    <xf numFmtId="0" fontId="6" fillId="0" borderId="0" xfId="204" applyFont="1" applyBorder="1" applyAlignment="1">
      <alignment horizontal="center" vertical="center" wrapText="1"/>
    </xf>
    <xf numFmtId="0" fontId="64" fillId="0" borderId="4" xfId="262" applyFont="1" applyFill="1" applyBorder="1" applyAlignment="1">
      <alignment horizontal="center" vertical="center" wrapText="1"/>
    </xf>
    <xf numFmtId="0" fontId="6" fillId="0" borderId="0" xfId="204" applyFont="1" applyAlignment="1">
      <alignment horizontal="center" vertical="center"/>
    </xf>
    <xf numFmtId="168" fontId="0" fillId="0" borderId="0" xfId="1" applyNumberFormat="1" applyFont="1" applyFill="1" applyAlignment="1">
      <alignment vertical="center"/>
    </xf>
    <xf numFmtId="0" fontId="6" fillId="0" borderId="0" xfId="204" applyFont="1" applyAlignment="1">
      <alignment vertical="center"/>
    </xf>
    <xf numFmtId="0" fontId="6" fillId="0" borderId="0" xfId="204" applyFont="1" applyFill="1" applyAlignment="1">
      <alignment vertical="center"/>
    </xf>
    <xf numFmtId="167" fontId="70" fillId="0" borderId="0" xfId="206" applyNumberFormat="1" applyFont="1" applyFill="1" applyAlignment="1">
      <alignment vertical="center"/>
    </xf>
    <xf numFmtId="0" fontId="64" fillId="0" borderId="4" xfId="204" applyFont="1" applyFill="1" applyBorder="1" applyAlignment="1">
      <alignment horizontal="center" vertical="center" wrapText="1"/>
    </xf>
    <xf numFmtId="43" fontId="0" fillId="0" borderId="0" xfId="1" applyFont="1" applyFill="1" applyAlignment="1">
      <alignment vertical="center"/>
    </xf>
    <xf numFmtId="0" fontId="6" fillId="0" borderId="40" xfId="204" applyFont="1" applyBorder="1" applyAlignment="1">
      <alignment vertical="center"/>
    </xf>
    <xf numFmtId="0" fontId="6" fillId="0" borderId="41" xfId="204" applyFont="1" applyBorder="1" applyAlignment="1">
      <alignment vertical="center"/>
    </xf>
    <xf numFmtId="167" fontId="6" fillId="0" borderId="25" xfId="262" applyNumberFormat="1" applyFont="1" applyBorder="1" applyAlignment="1">
      <alignment vertical="center"/>
    </xf>
    <xf numFmtId="167" fontId="6" fillId="0" borderId="0" xfId="262" applyNumberFormat="1" applyFont="1" applyBorder="1" applyAlignment="1">
      <alignment vertical="center"/>
    </xf>
    <xf numFmtId="0" fontId="63" fillId="0" borderId="0" xfId="262" applyFont="1" applyAlignment="1">
      <alignment vertical="center"/>
    </xf>
    <xf numFmtId="0" fontId="63" fillId="0" borderId="0" xfId="262" applyFont="1" applyAlignment="1">
      <alignment horizontal="right" vertical="center"/>
    </xf>
    <xf numFmtId="167" fontId="63" fillId="0" borderId="9" xfId="262" applyNumberFormat="1" applyFont="1" applyBorder="1" applyAlignment="1">
      <alignment vertical="center"/>
    </xf>
    <xf numFmtId="1" fontId="6" fillId="0" borderId="0" xfId="204" applyNumberFormat="1" applyFont="1" applyBorder="1" applyAlignment="1">
      <alignment horizontal="center" vertical="center" wrapText="1"/>
    </xf>
    <xf numFmtId="1" fontId="6" fillId="0" borderId="0" xfId="204" applyNumberFormat="1" applyFont="1" applyAlignment="1">
      <alignment horizontal="center" vertical="center"/>
    </xf>
    <xf numFmtId="167" fontId="63" fillId="5" borderId="0" xfId="263" applyNumberFormat="1" applyFont="1" applyFill="1" applyAlignment="1">
      <alignment vertical="center"/>
    </xf>
    <xf numFmtId="37" fontId="63" fillId="5" borderId="0" xfId="263" applyNumberFormat="1" applyFont="1" applyFill="1" applyAlignment="1">
      <alignment vertical="center"/>
    </xf>
    <xf numFmtId="167" fontId="61" fillId="0" borderId="14" xfId="4" applyNumberFormat="1" applyFont="1" applyFill="1" applyBorder="1"/>
    <xf numFmtId="167" fontId="57" fillId="0" borderId="14" xfId="4" applyNumberFormat="1" applyFont="1" applyFill="1" applyBorder="1"/>
    <xf numFmtId="168" fontId="61" fillId="5" borderId="14" xfId="3" applyNumberFormat="1" applyFont="1" applyFill="1" applyBorder="1"/>
    <xf numFmtId="168" fontId="61" fillId="5" borderId="11" xfId="3" applyNumberFormat="1" applyFont="1" applyFill="1" applyBorder="1"/>
    <xf numFmtId="167" fontId="61" fillId="5" borderId="14" xfId="4" applyNumberFormat="1" applyFont="1" applyFill="1" applyBorder="1"/>
    <xf numFmtId="167" fontId="58" fillId="5" borderId="14" xfId="4" applyNumberFormat="1" applyFont="1" applyFill="1" applyBorder="1"/>
    <xf numFmtId="167" fontId="58" fillId="5" borderId="11" xfId="4" applyNumberFormat="1" applyFont="1" applyFill="1" applyBorder="1"/>
    <xf numFmtId="167" fontId="24" fillId="5" borderId="12" xfId="4" applyNumberFormat="1" applyFont="1" applyFill="1" applyBorder="1"/>
    <xf numFmtId="167" fontId="24" fillId="5" borderId="5" xfId="4" applyNumberFormat="1" applyFont="1" applyFill="1" applyBorder="1"/>
    <xf numFmtId="168" fontId="24" fillId="5" borderId="12" xfId="3" applyNumberFormat="1" applyFont="1" applyFill="1" applyBorder="1"/>
    <xf numFmtId="168" fontId="24" fillId="5" borderId="5" xfId="3" applyNumberFormat="1" applyFont="1" applyFill="1" applyBorder="1"/>
    <xf numFmtId="168" fontId="24" fillId="5" borderId="13" xfId="3" applyNumberFormat="1" applyFont="1" applyFill="1" applyBorder="1"/>
    <xf numFmtId="168" fontId="24" fillId="5" borderId="3" xfId="3" applyNumberFormat="1" applyFont="1" applyFill="1" applyBorder="1"/>
    <xf numFmtId="168" fontId="24" fillId="5" borderId="14" xfId="3" applyNumberFormat="1" applyFont="1" applyFill="1" applyBorder="1"/>
    <xf numFmtId="168" fontId="24" fillId="5" borderId="17" xfId="3" applyNumberFormat="1" applyFont="1" applyFill="1" applyBorder="1"/>
    <xf numFmtId="168" fontId="24" fillId="5" borderId="20" xfId="3" applyNumberFormat="1" applyFont="1" applyFill="1" applyBorder="1"/>
    <xf numFmtId="168" fontId="24" fillId="5" borderId="11" xfId="3" applyNumberFormat="1" applyFont="1" applyFill="1" applyBorder="1"/>
    <xf numFmtId="167" fontId="14" fillId="5" borderId="0" xfId="206" applyNumberFormat="1" applyFont="1" applyFill="1"/>
    <xf numFmtId="37" fontId="14" fillId="5" borderId="0" xfId="205" applyNumberFormat="1" applyFont="1" applyFill="1"/>
    <xf numFmtId="37" fontId="14" fillId="0" borderId="0" xfId="205" applyNumberFormat="1" applyFont="1"/>
    <xf numFmtId="37" fontId="109" fillId="0" borderId="28" xfId="205" applyNumberFormat="1" applyFont="1" applyBorder="1"/>
    <xf numFmtId="37" fontId="110" fillId="0" borderId="0" xfId="205" applyNumberFormat="1" applyFont="1"/>
    <xf numFmtId="0" fontId="109" fillId="0" borderId="0" xfId="204" applyFont="1"/>
    <xf numFmtId="164" fontId="80" fillId="5" borderId="0" xfId="211" applyNumberFormat="1" applyFont="1" applyFill="1"/>
    <xf numFmtId="167" fontId="14" fillId="0" borderId="4" xfId="199" applyNumberFormat="1" applyFont="1" applyBorder="1"/>
    <xf numFmtId="167" fontId="14" fillId="0" borderId="0" xfId="199" applyNumberFormat="1" applyFont="1"/>
    <xf numFmtId="3" fontId="61" fillId="5" borderId="14" xfId="4" applyNumberFormat="1" applyFont="1" applyFill="1" applyBorder="1"/>
    <xf numFmtId="3" fontId="58" fillId="0" borderId="0" xfId="2" applyNumberFormat="1" applyFont="1"/>
    <xf numFmtId="3" fontId="58" fillId="0" borderId="0" xfId="2" applyNumberFormat="1" applyFont="1" applyFill="1"/>
    <xf numFmtId="44" fontId="58" fillId="5" borderId="14" xfId="199" applyFont="1" applyFill="1" applyBorder="1"/>
    <xf numFmtId="44" fontId="58" fillId="5" borderId="11" xfId="199" applyFont="1" applyFill="1" applyBorder="1"/>
    <xf numFmtId="167" fontId="14" fillId="0" borderId="0" xfId="212" applyNumberFormat="1" applyFont="1"/>
    <xf numFmtId="0" fontId="75" fillId="0" borderId="0" xfId="211" applyFont="1"/>
    <xf numFmtId="0" fontId="75" fillId="0" borderId="0" xfId="211" applyFont="1" applyAlignment="1">
      <alignment horizontal="left" indent="1"/>
    </xf>
    <xf numFmtId="0" fontId="16" fillId="0" borderId="0" xfId="211" applyFont="1"/>
    <xf numFmtId="0" fontId="75" fillId="0" borderId="0" xfId="211" applyFont="1" applyFill="1"/>
    <xf numFmtId="0" fontId="75" fillId="0" borderId="0" xfId="211" applyFont="1" applyAlignment="1">
      <alignment horizontal="left" indent="2"/>
    </xf>
    <xf numFmtId="168" fontId="75" fillId="0" borderId="0" xfId="211" applyNumberFormat="1" applyFont="1"/>
    <xf numFmtId="0" fontId="14" fillId="0" borderId="0" xfId="211" applyFont="1"/>
    <xf numFmtId="0" fontId="15" fillId="0" borderId="0" xfId="211" applyFont="1" applyAlignment="1">
      <alignment horizontal="center"/>
    </xf>
    <xf numFmtId="168" fontId="14" fillId="0" borderId="0" xfId="213" applyNumberFormat="1" applyFont="1" applyFill="1" applyBorder="1"/>
    <xf numFmtId="168" fontId="14" fillId="0" borderId="9" xfId="211" applyNumberFormat="1" applyFont="1" applyBorder="1"/>
    <xf numFmtId="0" fontId="14" fillId="0" borderId="0" xfId="211" applyFont="1" applyFill="1"/>
    <xf numFmtId="167" fontId="14" fillId="0" borderId="0" xfId="212" applyNumberFormat="1" applyFont="1" applyFill="1" applyBorder="1"/>
    <xf numFmtId="168" fontId="14" fillId="0" borderId="4" xfId="213" applyNumberFormat="1" applyFont="1" applyFill="1" applyBorder="1"/>
    <xf numFmtId="168" fontId="14" fillId="5" borderId="0" xfId="213" applyNumberFormat="1" applyFont="1" applyFill="1" applyBorder="1"/>
    <xf numFmtId="1" fontId="14" fillId="0" borderId="0" xfId="0" applyNumberFormat="1" applyFont="1" applyAlignment="1">
      <alignment horizontal="center"/>
    </xf>
    <xf numFmtId="166" fontId="14" fillId="0" borderId="4" xfId="0" applyFont="1" applyBorder="1" applyAlignment="1">
      <alignment horizontal="center" wrapText="1"/>
    </xf>
    <xf numFmtId="166" fontId="14" fillId="0" borderId="0" xfId="0" applyFont="1" applyAlignment="1"/>
    <xf numFmtId="0" fontId="111" fillId="0" borderId="0" xfId="204" applyFont="1" applyAlignment="1">
      <alignment horizontal="center"/>
    </xf>
    <xf numFmtId="167" fontId="14" fillId="0" borderId="0" xfId="206" applyNumberFormat="1" applyFont="1"/>
    <xf numFmtId="37" fontId="14" fillId="0" borderId="9" xfId="205" applyNumberFormat="1" applyFont="1" applyBorder="1"/>
    <xf numFmtId="43" fontId="14" fillId="0" borderId="0" xfId="205" applyFont="1"/>
    <xf numFmtId="167" fontId="14" fillId="0" borderId="14" xfId="206" applyNumberFormat="1" applyFont="1" applyFill="1" applyBorder="1"/>
    <xf numFmtId="167" fontId="109" fillId="0" borderId="14" xfId="204" applyNumberFormat="1" applyFont="1" applyFill="1" applyBorder="1"/>
    <xf numFmtId="0" fontId="76" fillId="0" borderId="0" xfId="204" applyFont="1" applyAlignment="1">
      <alignment vertical="center"/>
    </xf>
    <xf numFmtId="0" fontId="76" fillId="0" borderId="0" xfId="204" applyFont="1" applyAlignment="1">
      <alignment horizontal="left" vertical="center"/>
    </xf>
    <xf numFmtId="0" fontId="109" fillId="0" borderId="0" xfId="204" applyFont="1" applyAlignment="1">
      <alignment vertical="center"/>
    </xf>
    <xf numFmtId="0" fontId="112" fillId="0" borderId="4" xfId="204" applyFont="1" applyBorder="1" applyAlignment="1">
      <alignment horizontal="center" vertical="center" wrapText="1"/>
    </xf>
    <xf numFmtId="0" fontId="109" fillId="0" borderId="0" xfId="204" applyFont="1" applyBorder="1" applyAlignment="1">
      <alignment horizontal="center" vertical="center" wrapText="1"/>
    </xf>
    <xf numFmtId="167" fontId="109" fillId="5" borderId="0" xfId="206" applyNumberFormat="1" applyFont="1" applyFill="1" applyBorder="1" applyAlignment="1">
      <alignment horizontal="center" vertical="center" wrapText="1"/>
    </xf>
    <xf numFmtId="167" fontId="109" fillId="5" borderId="9" xfId="206" applyNumberFormat="1" applyFont="1" applyFill="1" applyBorder="1" applyAlignment="1">
      <alignment horizontal="center" vertical="center" wrapText="1"/>
    </xf>
    <xf numFmtId="0" fontId="109" fillId="0" borderId="0" xfId="204" applyFont="1" applyAlignment="1">
      <alignment horizontal="center" vertical="center"/>
    </xf>
    <xf numFmtId="37" fontId="109" fillId="5" borderId="0" xfId="206" applyNumberFormat="1" applyFont="1" applyFill="1" applyBorder="1" applyAlignment="1">
      <alignment horizontal="right" vertical="center" wrapText="1"/>
    </xf>
    <xf numFmtId="168" fontId="109" fillId="5" borderId="0" xfId="1" applyNumberFormat="1" applyFont="1" applyFill="1" applyBorder="1" applyAlignment="1">
      <alignment horizontal="center" vertical="center" wrapText="1"/>
    </xf>
    <xf numFmtId="0" fontId="75" fillId="0" borderId="0" xfId="204" applyFont="1" applyAlignment="1">
      <alignment horizontal="center" vertical="center"/>
    </xf>
    <xf numFmtId="37" fontId="109" fillId="5" borderId="4" xfId="206" applyNumberFormat="1" applyFont="1" applyFill="1" applyBorder="1" applyAlignment="1">
      <alignment horizontal="right" vertical="center" wrapText="1"/>
    </xf>
    <xf numFmtId="168" fontId="109" fillId="5" borderId="4" xfId="1" applyNumberFormat="1" applyFont="1" applyFill="1" applyBorder="1" applyAlignment="1">
      <alignment horizontal="center" vertical="center" wrapText="1"/>
    </xf>
    <xf numFmtId="0" fontId="76" fillId="0" borderId="0" xfId="204" applyFont="1" applyAlignment="1">
      <alignment horizontal="center" vertical="center"/>
    </xf>
    <xf numFmtId="0" fontId="112" fillId="0" borderId="0" xfId="204" applyFont="1" applyAlignment="1">
      <alignment vertical="center"/>
    </xf>
    <xf numFmtId="167" fontId="113" fillId="0" borderId="0" xfId="206" applyNumberFormat="1" applyFont="1" applyAlignment="1">
      <alignment vertical="center"/>
    </xf>
    <xf numFmtId="167" fontId="109" fillId="0" borderId="0" xfId="204" applyNumberFormat="1" applyFont="1" applyAlignment="1">
      <alignment vertical="center"/>
    </xf>
    <xf numFmtId="1" fontId="109" fillId="0" borderId="0" xfId="204" applyNumberFormat="1" applyFont="1" applyBorder="1" applyAlignment="1">
      <alignment horizontal="center" vertical="center" wrapText="1"/>
    </xf>
    <xf numFmtId="1" fontId="109" fillId="0" borderId="0" xfId="204" applyNumberFormat="1" applyFont="1" applyAlignment="1">
      <alignment horizontal="center" vertical="center"/>
    </xf>
    <xf numFmtId="1" fontId="75" fillId="0" borderId="0" xfId="204" applyNumberFormat="1" applyFont="1" applyBorder="1" applyAlignment="1">
      <alignment horizontal="center" vertical="center" wrapText="1"/>
    </xf>
    <xf numFmtId="1" fontId="75" fillId="0" borderId="0" xfId="204" applyNumberFormat="1" applyFont="1" applyAlignment="1">
      <alignment horizontal="center" vertical="center"/>
    </xf>
    <xf numFmtId="0" fontId="75" fillId="0" borderId="0" xfId="204" applyFont="1" applyAlignment="1">
      <alignment horizontal="center" vertical="center" wrapText="1"/>
    </xf>
    <xf numFmtId="0" fontId="75" fillId="0" borderId="0" xfId="204" applyFont="1" applyBorder="1" applyAlignment="1">
      <alignment horizontal="center" vertical="center" wrapText="1"/>
    </xf>
    <xf numFmtId="167" fontId="75" fillId="0" borderId="0" xfId="206" applyNumberFormat="1" applyFont="1" applyBorder="1" applyAlignment="1">
      <alignment horizontal="center" vertical="center" wrapText="1"/>
    </xf>
    <xf numFmtId="0" fontId="75" fillId="0" borderId="0" xfId="204" applyFont="1" applyAlignment="1">
      <alignment vertical="center"/>
    </xf>
    <xf numFmtId="167" fontId="75" fillId="0" borderId="4" xfId="206" applyNumberFormat="1" applyFont="1" applyBorder="1" applyAlignment="1">
      <alignment horizontal="center" vertical="center" wrapText="1"/>
    </xf>
    <xf numFmtId="167" fontId="76" fillId="0" borderId="0" xfId="206" applyNumberFormat="1" applyFont="1" applyAlignment="1">
      <alignment vertical="center"/>
    </xf>
    <xf numFmtId="167" fontId="14" fillId="0" borderId="0" xfId="206" applyNumberFormat="1" applyFont="1" applyAlignment="1">
      <alignment vertical="center"/>
    </xf>
    <xf numFmtId="167" fontId="14" fillId="0" borderId="4" xfId="206" applyNumberFormat="1" applyFont="1" applyBorder="1" applyAlignment="1">
      <alignment vertical="center"/>
    </xf>
    <xf numFmtId="0" fontId="76" fillId="0" borderId="0" xfId="204" applyFont="1" applyBorder="1" applyAlignment="1">
      <alignment horizontal="left" vertical="center" wrapText="1"/>
    </xf>
    <xf numFmtId="0" fontId="75" fillId="0" borderId="0" xfId="204" applyFont="1" applyAlignment="1">
      <alignment horizontal="left" vertical="center"/>
    </xf>
    <xf numFmtId="0" fontId="75" fillId="0" borderId="9" xfId="204" applyFont="1" applyBorder="1" applyAlignment="1">
      <alignment vertical="center"/>
    </xf>
    <xf numFmtId="168" fontId="114" fillId="0" borderId="0" xfId="204" applyNumberFormat="1" applyFont="1" applyAlignment="1">
      <alignment vertical="center"/>
    </xf>
    <xf numFmtId="0" fontId="14" fillId="0" borderId="0" xfId="204" applyNumberFormat="1" applyFont="1"/>
    <xf numFmtId="0" fontId="14" fillId="0" borderId="0" xfId="2" applyFont="1" applyAlignment="1">
      <alignment horizontal="center"/>
    </xf>
    <xf numFmtId="0" fontId="14" fillId="0" borderId="0" xfId="2" applyFont="1"/>
    <xf numFmtId="0" fontId="14" fillId="0" borderId="4" xfId="2" applyFont="1" applyBorder="1" applyAlignment="1">
      <alignment horizontal="center"/>
    </xf>
    <xf numFmtId="0" fontId="76" fillId="0" borderId="4" xfId="204" applyFont="1" applyBorder="1" applyAlignment="1">
      <alignment horizontal="center" wrapText="1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Font="1" applyAlignment="1">
      <alignment horizontal="center"/>
    </xf>
    <xf numFmtId="166" fontId="14" fillId="0" borderId="0" xfId="0" applyFont="1" applyFill="1" applyAlignment="1">
      <alignment horizontal="center"/>
    </xf>
    <xf numFmtId="0" fontId="116" fillId="0" borderId="0" xfId="264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Alignment="1"/>
    <xf numFmtId="0" fontId="0" fillId="0" borderId="0" xfId="0" applyNumberFormat="1" applyFont="1" applyAlignment="1"/>
    <xf numFmtId="0" fontId="75" fillId="0" borderId="0" xfId="204" applyFont="1"/>
    <xf numFmtId="167" fontId="75" fillId="0" borderId="0" xfId="204" applyNumberFormat="1" applyFont="1" applyFill="1" applyBorder="1"/>
    <xf numFmtId="0" fontId="109" fillId="0" borderId="0" xfId="204" applyFont="1" applyAlignment="1"/>
    <xf numFmtId="172" fontId="15" fillId="0" borderId="0" xfId="208" applyFont="1" applyAlignment="1"/>
    <xf numFmtId="0" fontId="109" fillId="0" borderId="0" xfId="204" applyFont="1" applyAlignment="1">
      <alignment horizontal="center"/>
    </xf>
    <xf numFmtId="0" fontId="112" fillId="0" borderId="0" xfId="204" applyFont="1"/>
    <xf numFmtId="0" fontId="111" fillId="0" borderId="0" xfId="204" applyFont="1" applyAlignment="1">
      <alignment horizontal="left"/>
    </xf>
    <xf numFmtId="0" fontId="109" fillId="0" borderId="0" xfId="211" applyFont="1" applyFill="1"/>
    <xf numFmtId="0" fontId="109" fillId="0" borderId="0" xfId="211" applyFont="1"/>
    <xf numFmtId="0" fontId="76" fillId="0" borderId="0" xfId="204" applyFont="1" applyAlignment="1">
      <alignment horizontal="center"/>
    </xf>
    <xf numFmtId="0" fontId="78" fillId="0" borderId="0" xfId="204" applyFont="1" applyAlignment="1">
      <alignment horizontal="center"/>
    </xf>
    <xf numFmtId="0" fontId="75" fillId="0" borderId="0" xfId="204" applyFont="1" applyAlignment="1">
      <alignment horizontal="center"/>
    </xf>
    <xf numFmtId="0" fontId="75" fillId="0" borderId="4" xfId="204" applyFont="1" applyBorder="1" applyAlignment="1">
      <alignment horizontal="center"/>
    </xf>
    <xf numFmtId="0" fontId="75" fillId="0" borderId="0" xfId="204" applyFont="1" applyAlignment="1"/>
    <xf numFmtId="0" fontId="15" fillId="0" borderId="0" xfId="204" quotePrefix="1" applyFont="1" applyAlignment="1">
      <alignment horizontal="center"/>
    </xf>
    <xf numFmtId="0" fontId="15" fillId="0" borderId="4" xfId="204" quotePrefix="1" applyFont="1" applyBorder="1" applyAlignment="1">
      <alignment horizontal="center"/>
    </xf>
    <xf numFmtId="44" fontId="14" fillId="0" borderId="28" xfId="206" applyFont="1" applyBorder="1" applyAlignment="1"/>
    <xf numFmtId="44" fontId="14" fillId="0" borderId="0" xfId="206" applyFont="1" applyBorder="1" applyAlignment="1"/>
    <xf numFmtId="44" fontId="14" fillId="0" borderId="0" xfId="206" applyFont="1" applyAlignment="1"/>
    <xf numFmtId="44" fontId="14" fillId="0" borderId="9" xfId="206" applyFont="1" applyBorder="1" applyAlignment="1"/>
    <xf numFmtId="0" fontId="117" fillId="0" borderId="0" xfId="204" applyFont="1" applyAlignment="1"/>
    <xf numFmtId="3" fontId="75" fillId="0" borderId="0" xfId="204" applyNumberFormat="1" applyFont="1" applyAlignment="1"/>
    <xf numFmtId="0" fontId="112" fillId="0" borderId="0" xfId="204" applyFont="1" applyAlignment="1">
      <alignment horizontal="center"/>
    </xf>
    <xf numFmtId="0" fontId="76" fillId="0" borderId="0" xfId="204" applyFont="1" applyAlignment="1">
      <alignment horizontal="center" vertical="center"/>
    </xf>
    <xf numFmtId="168" fontId="75" fillId="0" borderId="0" xfId="204" applyNumberFormat="1" applyFont="1" applyAlignment="1">
      <alignment vertical="center"/>
    </xf>
    <xf numFmtId="0" fontId="75" fillId="0" borderId="0" xfId="204" applyFont="1" applyBorder="1" applyAlignment="1">
      <alignment horizontal="center" vertical="center"/>
    </xf>
    <xf numFmtId="0" fontId="76" fillId="0" borderId="0" xfId="204" applyFont="1" applyBorder="1" applyAlignment="1">
      <alignment horizontal="center" wrapText="1"/>
    </xf>
    <xf numFmtId="0" fontId="75" fillId="0" borderId="0" xfId="204" applyFont="1" applyBorder="1" applyAlignment="1">
      <alignment vertical="center"/>
    </xf>
    <xf numFmtId="0" fontId="76" fillId="0" borderId="0" xfId="204" quotePrefix="1" applyFont="1" applyBorder="1" applyAlignment="1">
      <alignment horizontal="center" wrapText="1"/>
    </xf>
    <xf numFmtId="0" fontId="68" fillId="0" borderId="0" xfId="204" applyFont="1" applyAlignment="1">
      <alignment vertical="center"/>
    </xf>
    <xf numFmtId="14" fontId="0" fillId="5" borderId="0" xfId="0" applyNumberFormat="1" applyFont="1" applyFill="1" applyBorder="1" applyAlignment="1" applyProtection="1"/>
    <xf numFmtId="0" fontId="0" fillId="5" borderId="0" xfId="0" applyNumberFormat="1" applyFont="1" applyFill="1" applyBorder="1" applyAlignment="1" applyProtection="1"/>
    <xf numFmtId="166" fontId="0" fillId="5" borderId="0" xfId="0" applyFont="1" applyFill="1" applyAlignment="1"/>
    <xf numFmtId="0" fontId="0" fillId="5" borderId="0" xfId="0" applyNumberFormat="1" applyFont="1" applyFill="1" applyBorder="1" applyAlignment="1" applyProtection="1">
      <alignment horizontal="right"/>
    </xf>
    <xf numFmtId="4" fontId="14" fillId="5" borderId="42" xfId="0" applyNumberFormat="1" applyFont="1" applyFill="1" applyBorder="1" applyAlignment="1"/>
    <xf numFmtId="3" fontId="14" fillId="5" borderId="42" xfId="0" applyNumberFormat="1" applyFont="1" applyFill="1" applyBorder="1" applyAlignment="1"/>
    <xf numFmtId="174" fontId="14" fillId="0" borderId="0" xfId="198" applyNumberFormat="1" applyFont="1" applyAlignment="1"/>
    <xf numFmtId="168" fontId="14" fillId="0" borderId="0" xfId="1" applyNumberFormat="1" applyFont="1" applyAlignment="1"/>
    <xf numFmtId="0" fontId="76" fillId="0" borderId="0" xfId="204" applyFont="1" applyAlignment="1">
      <alignment horizontal="center" vertical="center"/>
    </xf>
    <xf numFmtId="0" fontId="75" fillId="0" borderId="0" xfId="211" applyFont="1" applyAlignment="1">
      <alignment horizontal="center"/>
    </xf>
    <xf numFmtId="0" fontId="75" fillId="0" borderId="0" xfId="204" applyFont="1" applyAlignment="1">
      <alignment horizontal="center"/>
    </xf>
    <xf numFmtId="167" fontId="109" fillId="0" borderId="29" xfId="211" applyNumberFormat="1" applyFont="1" applyBorder="1"/>
    <xf numFmtId="0" fontId="118" fillId="0" borderId="0" xfId="204" applyFont="1"/>
    <xf numFmtId="0" fontId="118" fillId="0" borderId="0" xfId="204" applyFont="1" applyAlignment="1">
      <alignment horizontal="left"/>
    </xf>
    <xf numFmtId="37" fontId="14" fillId="0" borderId="0" xfId="0" applyNumberFormat="1" applyFont="1" applyAlignment="1"/>
    <xf numFmtId="7" fontId="14" fillId="0" borderId="0" xfId="0" applyNumberFormat="1" applyFont="1" applyAlignment="1"/>
    <xf numFmtId="7" fontId="14" fillId="0" borderId="43" xfId="0" applyNumberFormat="1" applyFont="1" applyBorder="1" applyAlignment="1"/>
    <xf numFmtId="7" fontId="14" fillId="0" borderId="0" xfId="0" applyNumberFormat="1" applyFont="1" applyBorder="1" applyAlignment="1"/>
    <xf numFmtId="7" fontId="15" fillId="0" borderId="43" xfId="0" applyNumberFormat="1" applyFont="1" applyBorder="1" applyAlignment="1"/>
    <xf numFmtId="37" fontId="109" fillId="5" borderId="0" xfId="206" applyNumberFormat="1" applyFont="1" applyFill="1" applyBorder="1" applyAlignment="1">
      <alignment horizontal="center" vertical="center" wrapText="1"/>
    </xf>
    <xf numFmtId="5" fontId="113" fillId="0" borderId="0" xfId="206" applyNumberFormat="1" applyFont="1" applyAlignment="1">
      <alignment horizontal="center" vertical="center"/>
    </xf>
    <xf numFmtId="0" fontId="121" fillId="0" borderId="0" xfId="204" applyFont="1"/>
    <xf numFmtId="0" fontId="118" fillId="0" borderId="0" xfId="211" applyFont="1"/>
    <xf numFmtId="0" fontId="118" fillId="0" borderId="0" xfId="211" applyFont="1" applyAlignment="1">
      <alignment horizontal="left" indent="1"/>
    </xf>
    <xf numFmtId="168" fontId="14" fillId="0" borderId="0" xfId="1" applyNumberFormat="1" applyFont="1"/>
    <xf numFmtId="168" fontId="122" fillId="0" borderId="0" xfId="1" applyNumberFormat="1" applyFont="1"/>
    <xf numFmtId="167" fontId="122" fillId="0" borderId="0" xfId="199" applyNumberFormat="1" applyFont="1"/>
    <xf numFmtId="168" fontId="75" fillId="0" borderId="0" xfId="1" applyNumberFormat="1" applyFont="1"/>
    <xf numFmtId="167" fontId="75" fillId="0" borderId="0" xfId="204" applyNumberFormat="1" applyFont="1"/>
    <xf numFmtId="0" fontId="75" fillId="5" borderId="0" xfId="204" applyFont="1" applyFill="1" applyAlignment="1">
      <alignment horizontal="left" indent="1"/>
    </xf>
    <xf numFmtId="167" fontId="75" fillId="0" borderId="0" xfId="199" applyNumberFormat="1" applyFont="1"/>
    <xf numFmtId="0" fontId="109" fillId="0" borderId="0" xfId="204" applyFont="1" applyFill="1"/>
    <xf numFmtId="0" fontId="105" fillId="0" borderId="0" xfId="2" applyFont="1"/>
    <xf numFmtId="168" fontId="14" fillId="0" borderId="4" xfId="205" applyNumberFormat="1" applyFont="1" applyBorder="1"/>
    <xf numFmtId="0" fontId="123" fillId="0" borderId="0" xfId="204" applyFont="1"/>
    <xf numFmtId="3" fontId="118" fillId="0" borderId="0" xfId="204" applyNumberFormat="1" applyFont="1" applyAlignment="1"/>
    <xf numFmtId="166" fontId="14" fillId="0" borderId="0" xfId="0" applyFont="1" applyAlignment="1"/>
    <xf numFmtId="0" fontId="109" fillId="0" borderId="4" xfId="204" quotePrefix="1" applyFont="1" applyBorder="1" applyAlignment="1">
      <alignment horizontal="center"/>
    </xf>
    <xf numFmtId="7" fontId="14" fillId="5" borderId="0" xfId="206" applyNumberFormat="1" applyFont="1" applyFill="1" applyAlignment="1"/>
    <xf numFmtId="39" fontId="14" fillId="5" borderId="0" xfId="206" applyNumberFormat="1" applyFont="1" applyFill="1" applyAlignment="1"/>
    <xf numFmtId="0" fontId="75" fillId="0" borderId="0" xfId="204" quotePrefix="1" applyFont="1"/>
    <xf numFmtId="167" fontId="14" fillId="5" borderId="0" xfId="212" applyNumberFormat="1" applyFont="1" applyFill="1"/>
    <xf numFmtId="168" fontId="14" fillId="5" borderId="0" xfId="205" applyNumberFormat="1" applyFont="1" applyFill="1"/>
    <xf numFmtId="168" fontId="75" fillId="5" borderId="0" xfId="205" applyNumberFormat="1" applyFont="1" applyFill="1"/>
    <xf numFmtId="167" fontId="75" fillId="5" borderId="14" xfId="204" applyNumberFormat="1" applyFont="1" applyFill="1" applyBorder="1"/>
    <xf numFmtId="167" fontId="109" fillId="5" borderId="0" xfId="4" applyNumberFormat="1" applyFont="1" applyFill="1" applyBorder="1"/>
    <xf numFmtId="175" fontId="109" fillId="5" borderId="0" xfId="199" applyNumberFormat="1" applyFont="1" applyFill="1" applyBorder="1" applyAlignment="1">
      <alignment horizontal="center" vertical="center" wrapText="1"/>
    </xf>
    <xf numFmtId="167" fontId="0" fillId="5" borderId="0" xfId="206" applyNumberFormat="1" applyFont="1" applyFill="1" applyAlignment="1">
      <alignment vertical="center"/>
    </xf>
    <xf numFmtId="168" fontId="0" fillId="5" borderId="0" xfId="1" applyNumberFormat="1" applyFont="1" applyFill="1" applyAlignment="1">
      <alignment vertical="center"/>
    </xf>
    <xf numFmtId="167" fontId="0" fillId="5" borderId="0" xfId="263" applyNumberFormat="1" applyFont="1" applyFill="1" applyAlignment="1">
      <alignment vertical="center"/>
    </xf>
    <xf numFmtId="0" fontId="124" fillId="0" borderId="0" xfId="204" applyFont="1" applyFill="1" applyAlignment="1">
      <alignment horizontal="center" vertical="center"/>
    </xf>
    <xf numFmtId="0" fontId="124" fillId="0" borderId="0" xfId="204" applyFont="1" applyAlignment="1">
      <alignment horizontal="center" vertical="center"/>
    </xf>
    <xf numFmtId="3" fontId="75" fillId="5" borderId="0" xfId="204" applyNumberFormat="1" applyFont="1" applyFill="1" applyAlignment="1">
      <alignment horizontal="center" vertical="center"/>
    </xf>
    <xf numFmtId="3" fontId="75" fillId="5" borderId="4" xfId="204" applyNumberFormat="1" applyFont="1" applyFill="1" applyBorder="1" applyAlignment="1">
      <alignment horizontal="center" vertical="center"/>
    </xf>
    <xf numFmtId="0" fontId="125" fillId="0" borderId="0" xfId="204" applyFont="1" applyAlignment="1">
      <alignment vertical="center"/>
    </xf>
    <xf numFmtId="37" fontId="14" fillId="0" borderId="0" xfId="2" applyNumberFormat="1" applyFont="1" applyFill="1"/>
    <xf numFmtId="37" fontId="24" fillId="5" borderId="14" xfId="3" applyNumberFormat="1" applyFont="1" applyFill="1" applyBorder="1"/>
    <xf numFmtId="37" fontId="24" fillId="5" borderId="13" xfId="3" applyNumberFormat="1" applyFont="1" applyFill="1" applyBorder="1"/>
    <xf numFmtId="168" fontId="24" fillId="5" borderId="13" xfId="3" quotePrefix="1" applyNumberFormat="1" applyFont="1" applyFill="1" applyBorder="1"/>
    <xf numFmtId="37" fontId="24" fillId="5" borderId="12" xfId="3" applyNumberFormat="1" applyFont="1" applyFill="1" applyBorder="1"/>
    <xf numFmtId="37" fontId="24" fillId="5" borderId="20" xfId="3" applyNumberFormat="1" applyFont="1" applyFill="1" applyBorder="1"/>
    <xf numFmtId="0" fontId="126" fillId="0" borderId="0" xfId="204" applyFont="1" applyAlignment="1">
      <alignment horizontal="center" vertical="center"/>
    </xf>
    <xf numFmtId="0" fontId="126" fillId="0" borderId="0" xfId="204" applyFont="1" applyFill="1" applyAlignment="1">
      <alignment horizontal="center" vertical="center"/>
    </xf>
    <xf numFmtId="166" fontId="127" fillId="0" borderId="0" xfId="0" quotePrefix="1" applyFont="1" applyAlignment="1"/>
    <xf numFmtId="4" fontId="14" fillId="5" borderId="4" xfId="0" applyNumberFormat="1" applyFont="1" applyFill="1" applyBorder="1" applyAlignment="1"/>
    <xf numFmtId="168" fontId="14" fillId="5" borderId="0" xfId="205" applyNumberFormat="1" applyFont="1" applyFill="1" applyBorder="1"/>
    <xf numFmtId="166" fontId="14" fillId="0" borderId="0" xfId="0" applyFont="1" applyAlignment="1"/>
    <xf numFmtId="166" fontId="14" fillId="0" borderId="0" xfId="0" applyFont="1" applyAlignment="1"/>
    <xf numFmtId="0" fontId="14" fillId="0" borderId="0" xfId="0" applyNumberFormat="1" applyFont="1" applyFill="1" applyAlignment="1">
      <alignment horizontal="center"/>
    </xf>
    <xf numFmtId="0" fontId="14" fillId="0" borderId="4" xfId="0" applyNumberFormat="1" applyFont="1" applyFill="1" applyBorder="1" applyAlignment="1">
      <alignment horizontal="center" wrapText="1"/>
    </xf>
    <xf numFmtId="167" fontId="14" fillId="0" borderId="0" xfId="0" applyNumberFormat="1" applyFont="1" applyFill="1"/>
    <xf numFmtId="44" fontId="14" fillId="0" borderId="0" xfId="199" applyFont="1" applyFill="1" applyAlignment="1"/>
    <xf numFmtId="10" fontId="14" fillId="0" borderId="0" xfId="198" applyNumberFormat="1" applyFont="1" applyFill="1" applyAlignment="1">
      <alignment horizontal="center"/>
    </xf>
    <xf numFmtId="167" fontId="15" fillId="0" borderId="0" xfId="199" applyNumberFormat="1" applyFont="1" applyFill="1"/>
    <xf numFmtId="168" fontId="14" fillId="0" borderId="4" xfId="1" applyNumberFormat="1" applyFont="1" applyFill="1" applyBorder="1"/>
    <xf numFmtId="168" fontId="14" fillId="0" borderId="4" xfId="1" applyNumberFormat="1" applyFont="1" applyFill="1" applyBorder="1" applyAlignment="1"/>
    <xf numFmtId="10" fontId="14" fillId="0" borderId="4" xfId="198" applyNumberFormat="1" applyFont="1" applyFill="1" applyBorder="1" applyAlignment="1">
      <alignment horizontal="center"/>
    </xf>
    <xf numFmtId="168" fontId="15" fillId="0" borderId="4" xfId="1" applyNumberFormat="1" applyFont="1" applyFill="1" applyBorder="1"/>
    <xf numFmtId="167" fontId="14" fillId="0" borderId="9" xfId="0" applyNumberFormat="1" applyFont="1" applyFill="1" applyBorder="1"/>
    <xf numFmtId="167" fontId="15" fillId="0" borderId="0" xfId="199" applyNumberFormat="1" applyFont="1" applyFill="1" applyAlignment="1">
      <alignment horizontal="left"/>
    </xf>
    <xf numFmtId="166" fontId="14" fillId="0" borderId="0" xfId="0" quotePrefix="1" applyFont="1" applyFill="1" applyAlignment="1"/>
    <xf numFmtId="0" fontId="128" fillId="0" borderId="0" xfId="0" applyNumberFormat="1" applyFont="1" applyFill="1"/>
    <xf numFmtId="0" fontId="14" fillId="0" borderId="9" xfId="0" applyNumberFormat="1" applyFont="1" applyFill="1" applyBorder="1"/>
    <xf numFmtId="0" fontId="14" fillId="0" borderId="0" xfId="206" applyNumberFormat="1" applyFont="1" applyFill="1" applyAlignment="1">
      <alignment vertical="center"/>
    </xf>
    <xf numFmtId="0" fontId="76" fillId="0" borderId="0" xfId="204" applyFont="1" applyBorder="1" applyAlignment="1">
      <alignment horizontal="center" vertical="center" wrapText="1"/>
    </xf>
    <xf numFmtId="0" fontId="76" fillId="0" borderId="0" xfId="204" applyFont="1" applyFill="1" applyBorder="1" applyAlignment="1">
      <alignment vertical="center" wrapText="1"/>
    </xf>
    <xf numFmtId="0" fontId="76" fillId="0" borderId="4" xfId="204" applyFont="1" applyFill="1" applyBorder="1" applyAlignment="1">
      <alignment horizontal="center" wrapText="1"/>
    </xf>
    <xf numFmtId="1" fontId="75" fillId="0" borderId="0" xfId="204" applyNumberFormat="1" applyFont="1" applyFill="1" applyAlignment="1">
      <alignment horizontal="center" vertical="center"/>
    </xf>
    <xf numFmtId="167" fontId="75" fillId="0" borderId="0" xfId="199" applyNumberFormat="1" applyFont="1" applyFill="1" applyBorder="1" applyAlignment="1">
      <alignment horizontal="center" vertical="center" wrapText="1"/>
    </xf>
    <xf numFmtId="167" fontId="14" fillId="0" borderId="0" xfId="206" applyNumberFormat="1" applyFont="1" applyFill="1" applyAlignment="1">
      <alignment vertical="center"/>
    </xf>
    <xf numFmtId="168" fontId="75" fillId="0" borderId="0" xfId="1" applyNumberFormat="1" applyFont="1" applyFill="1" applyAlignment="1">
      <alignment horizontal="center" vertical="center"/>
    </xf>
    <xf numFmtId="168" fontId="75" fillId="0" borderId="0" xfId="1" applyNumberFormat="1" applyFont="1" applyFill="1" applyBorder="1" applyAlignment="1">
      <alignment horizontal="center" vertical="center"/>
    </xf>
    <xf numFmtId="167" fontId="129" fillId="0" borderId="0" xfId="206" applyNumberFormat="1" applyFont="1" applyFill="1" applyAlignment="1">
      <alignment vertical="center"/>
    </xf>
    <xf numFmtId="167" fontId="129" fillId="0" borderId="0" xfId="206" applyNumberFormat="1" applyFont="1" applyFill="1" applyBorder="1" applyAlignment="1">
      <alignment vertical="center"/>
    </xf>
    <xf numFmtId="167" fontId="15" fillId="0" borderId="0" xfId="0" applyNumberFormat="1" applyFont="1" applyAlignment="1"/>
    <xf numFmtId="167" fontId="15" fillId="0" borderId="2" xfId="0" applyNumberFormat="1" applyFont="1" applyBorder="1" applyAlignment="1"/>
    <xf numFmtId="167" fontId="15" fillId="0" borderId="0" xfId="0" applyNumberFormat="1" applyFont="1" applyFill="1" applyAlignment="1"/>
    <xf numFmtId="0" fontId="75" fillId="0" borderId="0" xfId="0" applyNumberFormat="1" applyFont="1"/>
    <xf numFmtId="0" fontId="75" fillId="0" borderId="0" xfId="0" applyNumberFormat="1" applyFont="1" applyAlignment="1">
      <alignment horizontal="left"/>
    </xf>
    <xf numFmtId="168" fontId="75" fillId="0" borderId="4" xfId="1" applyNumberFormat="1" applyFont="1" applyFill="1" applyBorder="1" applyAlignment="1">
      <alignment horizontal="center" vertical="center"/>
    </xf>
    <xf numFmtId="0" fontId="5" fillId="0" borderId="0" xfId="204" applyFont="1" applyAlignment="1">
      <alignment horizontal="right"/>
    </xf>
    <xf numFmtId="166" fontId="0" fillId="0" borderId="47" xfId="0" applyFill="1" applyBorder="1" applyAlignment="1" applyProtection="1">
      <protection hidden="1"/>
    </xf>
    <xf numFmtId="166" fontId="0" fillId="0" borderId="48" xfId="0" applyFill="1" applyBorder="1" applyAlignment="1" applyProtection="1">
      <protection hidden="1"/>
    </xf>
    <xf numFmtId="166" fontId="0" fillId="0" borderId="48" xfId="0" applyFill="1" applyBorder="1" applyAlignment="1"/>
    <xf numFmtId="166" fontId="0" fillId="0" borderId="49" xfId="0" applyFill="1" applyBorder="1" applyAlignment="1"/>
    <xf numFmtId="166" fontId="0" fillId="0" borderId="50" xfId="0" quotePrefix="1" applyFill="1" applyBorder="1" applyAlignment="1" applyProtection="1">
      <protection hidden="1"/>
    </xf>
    <xf numFmtId="166" fontId="0" fillId="0" borderId="44" xfId="0" applyFill="1" applyBorder="1" applyAlignment="1"/>
    <xf numFmtId="166" fontId="0" fillId="0" borderId="50" xfId="0" applyFill="1" applyBorder="1" applyAlignment="1" applyProtection="1">
      <protection hidden="1"/>
    </xf>
    <xf numFmtId="14" fontId="0" fillId="0" borderId="50" xfId="0" applyNumberFormat="1" applyFill="1" applyBorder="1" applyAlignment="1" applyProtection="1">
      <protection hidden="1"/>
    </xf>
    <xf numFmtId="166" fontId="0" fillId="0" borderId="45" xfId="0" applyFill="1" applyBorder="1" applyAlignment="1"/>
    <xf numFmtId="166" fontId="0" fillId="0" borderId="1" xfId="0" applyFill="1" applyBorder="1" applyAlignment="1"/>
    <xf numFmtId="166" fontId="0" fillId="0" borderId="46" xfId="0" applyFill="1" applyBorder="1" applyAlignment="1"/>
    <xf numFmtId="166" fontId="0" fillId="0" borderId="50" xfId="0" applyFill="1" applyBorder="1" applyAlignment="1"/>
    <xf numFmtId="14" fontId="0" fillId="0" borderId="48" xfId="0" applyNumberFormat="1" applyFill="1" applyBorder="1" applyAlignment="1"/>
    <xf numFmtId="166" fontId="14" fillId="0" borderId="0" xfId="0" quotePrefix="1" applyFont="1" applyAlignment="1">
      <alignment wrapText="1"/>
    </xf>
    <xf numFmtId="0" fontId="75" fillId="0" borderId="0" xfId="204" applyFont="1" applyAlignment="1">
      <alignment horizontal="center"/>
    </xf>
    <xf numFmtId="0" fontId="4" fillId="0" borderId="0" xfId="204" applyFont="1"/>
    <xf numFmtId="43" fontId="56" fillId="0" borderId="0" xfId="1" applyFont="1"/>
    <xf numFmtId="165" fontId="14" fillId="0" borderId="42" xfId="0" applyNumberFormat="1" applyFont="1" applyFill="1" applyBorder="1" applyAlignment="1"/>
    <xf numFmtId="3" fontId="14" fillId="0" borderId="0" xfId="0" applyNumberFormat="1" applyFont="1" applyFill="1" applyAlignment="1"/>
    <xf numFmtId="166" fontId="14" fillId="0" borderId="0" xfId="0" applyFont="1" applyFill="1" applyAlignment="1"/>
    <xf numFmtId="0" fontId="63" fillId="0" borderId="0" xfId="321" applyFont="1" applyAlignment="1">
      <alignment vertical="center"/>
    </xf>
    <xf numFmtId="167" fontId="63" fillId="0" borderId="0" xfId="380" applyNumberFormat="1" applyFont="1" applyAlignment="1">
      <alignment vertical="center"/>
    </xf>
    <xf numFmtId="0" fontId="63" fillId="0" borderId="0" xfId="321" applyFont="1" applyAlignment="1">
      <alignment horizontal="right" vertical="center"/>
    </xf>
    <xf numFmtId="0" fontId="63" fillId="0" borderId="0" xfId="262" quotePrefix="1" applyFont="1" applyAlignment="1">
      <alignment vertical="center"/>
    </xf>
    <xf numFmtId="0" fontId="2" fillId="0" borderId="0" xfId="204" applyFont="1" applyAlignment="1">
      <alignment vertical="center"/>
    </xf>
    <xf numFmtId="37" fontId="11" fillId="0" borderId="4" xfId="204" applyNumberFormat="1" applyBorder="1" applyAlignment="1">
      <alignment vertical="center"/>
    </xf>
    <xf numFmtId="0" fontId="124" fillId="0" borderId="0" xfId="204" applyFont="1" applyAlignment="1">
      <alignment horizontal="left" vertical="center"/>
    </xf>
    <xf numFmtId="0" fontId="11" fillId="0" borderId="0" xfId="204" applyAlignment="1">
      <alignment horizontal="center" vertical="center"/>
    </xf>
    <xf numFmtId="174" fontId="0" fillId="0" borderId="0" xfId="198" applyNumberFormat="1" applyFont="1" applyAlignment="1"/>
    <xf numFmtId="166" fontId="14" fillId="0" borderId="0" xfId="0" quotePrefix="1" applyFont="1" applyAlignment="1">
      <alignment wrapText="1"/>
    </xf>
    <xf numFmtId="0" fontId="2" fillId="0" borderId="0" xfId="204" applyFont="1" applyAlignment="1">
      <alignment horizontal="right" vertical="center"/>
    </xf>
    <xf numFmtId="166" fontId="14" fillId="0" borderId="0" xfId="0" applyFont="1" applyAlignment="1"/>
    <xf numFmtId="166" fontId="14" fillId="0" borderId="0" xfId="0" applyFont="1" applyAlignment="1">
      <alignment horizontal="center"/>
    </xf>
    <xf numFmtId="0" fontId="75" fillId="0" borderId="0" xfId="147" applyFont="1" applyAlignment="1">
      <alignment horizontal="center"/>
    </xf>
    <xf numFmtId="166" fontId="14" fillId="0" borderId="4" xfId="0" applyFont="1" applyBorder="1" applyAlignment="1">
      <alignment horizontal="center"/>
    </xf>
    <xf numFmtId="166" fontId="14" fillId="0" borderId="0" xfId="0" applyFont="1" applyAlignment="1"/>
    <xf numFmtId="0" fontId="14" fillId="0" borderId="0" xfId="0" applyNumberFormat="1" applyFont="1" applyAlignment="1">
      <alignment horizontal="center"/>
    </xf>
    <xf numFmtId="44" fontId="75" fillId="0" borderId="0" xfId="199" applyFont="1"/>
    <xf numFmtId="44" fontId="75" fillId="0" borderId="29" xfId="199" applyFont="1" applyBorder="1"/>
    <xf numFmtId="0" fontId="63" fillId="0" borderId="0" xfId="0" applyNumberFormat="1" applyFont="1"/>
    <xf numFmtId="0" fontId="15" fillId="0" borderId="0" xfId="0" applyNumberFormat="1" applyFont="1"/>
    <xf numFmtId="0" fontId="15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15" fillId="0" borderId="0" xfId="484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42" fontId="14" fillId="5" borderId="0" xfId="1" applyNumberFormat="1" applyFont="1" applyFill="1" applyAlignment="1"/>
    <xf numFmtId="42" fontId="14" fillId="0" borderId="0" xfId="1" applyNumberFormat="1" applyFont="1" applyFill="1" applyAlignment="1"/>
    <xf numFmtId="168" fontId="14" fillId="5" borderId="0" xfId="1" applyNumberFormat="1" applyFont="1" applyFill="1" applyAlignment="1"/>
    <xf numFmtId="168" fontId="14" fillId="0" borderId="0" xfId="1" applyNumberFormat="1" applyFont="1" applyFill="1" applyAlignment="1"/>
    <xf numFmtId="42" fontId="14" fillId="5" borderId="0" xfId="1" applyNumberFormat="1" applyFont="1" applyFill="1"/>
    <xf numFmtId="42" fontId="14" fillId="0" borderId="0" xfId="1" applyNumberFormat="1" applyFont="1"/>
    <xf numFmtId="42" fontId="14" fillId="0" borderId="0" xfId="0" applyNumberFormat="1" applyFont="1"/>
    <xf numFmtId="42" fontId="14" fillId="0" borderId="2" xfId="0" applyNumberFormat="1" applyFont="1" applyFill="1" applyBorder="1" applyAlignment="1">
      <alignment horizontal="right"/>
    </xf>
    <xf numFmtId="0" fontId="14" fillId="0" borderId="0" xfId="484" applyFont="1" applyAlignment="1">
      <alignment horizontal="center"/>
    </xf>
    <xf numFmtId="42" fontId="14" fillId="0" borderId="9" xfId="1" applyNumberFormat="1" applyFont="1" applyFill="1" applyBorder="1" applyAlignment="1"/>
    <xf numFmtId="3" fontId="14" fillId="0" borderId="28" xfId="0" applyNumberFormat="1" applyFont="1" applyFill="1" applyBorder="1"/>
    <xf numFmtId="42" fontId="14" fillId="0" borderId="0" xfId="1" applyNumberFormat="1" applyFont="1" applyFill="1" applyAlignment="1">
      <alignment horizontal="right"/>
    </xf>
    <xf numFmtId="168" fontId="14" fillId="0" borderId="0" xfId="1" applyNumberFormat="1" applyFont="1" applyFill="1" applyAlignment="1">
      <alignment horizontal="right"/>
    </xf>
    <xf numFmtId="42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right"/>
    </xf>
    <xf numFmtId="168" fontId="14" fillId="0" borderId="0" xfId="1" applyNumberFormat="1" applyFont="1" applyFill="1" applyBorder="1"/>
    <xf numFmtId="171" fontId="14" fillId="0" borderId="0" xfId="1" applyNumberFormat="1" applyFont="1" applyFill="1" applyBorder="1"/>
    <xf numFmtId="168" fontId="14" fillId="0" borderId="9" xfId="1" applyNumberFormat="1" applyFont="1" applyFill="1" applyBorder="1"/>
    <xf numFmtId="167" fontId="14" fillId="0" borderId="2" xfId="199" applyNumberFormat="1" applyFont="1" applyFill="1" applyBorder="1" applyAlignment="1"/>
    <xf numFmtId="167" fontId="14" fillId="0" borderId="2" xfId="0" applyNumberFormat="1" applyFont="1" applyFill="1" applyBorder="1" applyAlignment="1"/>
    <xf numFmtId="42" fontId="14" fillId="0" borderId="9" xfId="0" applyNumberFormat="1" applyFont="1" applyBorder="1"/>
    <xf numFmtId="42" fontId="14" fillId="0" borderId="0" xfId="1" applyNumberFormat="1" applyFont="1" applyFill="1"/>
    <xf numFmtId="1" fontId="14" fillId="0" borderId="0" xfId="0" applyNumberFormat="1" applyFont="1" applyFill="1" applyAlignment="1"/>
    <xf numFmtId="167" fontId="15" fillId="0" borderId="2" xfId="0" applyNumberFormat="1" applyFont="1" applyFill="1" applyBorder="1" applyAlignment="1"/>
    <xf numFmtId="0" fontId="14" fillId="0" borderId="0" xfId="484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35" fillId="0" borderId="0" xfId="0" applyNumberFormat="1" applyFont="1" applyFill="1" applyBorder="1" applyAlignment="1">
      <alignment horizontal="center"/>
    </xf>
    <xf numFmtId="168" fontId="14" fillId="0" borderId="0" xfId="1" applyNumberFormat="1" applyFont="1" applyFill="1"/>
    <xf numFmtId="176" fontId="14" fillId="0" borderId="0" xfId="199" applyNumberFormat="1" applyFont="1" applyFill="1"/>
    <xf numFmtId="174" fontId="14" fillId="0" borderId="0" xfId="198" applyNumberFormat="1" applyFont="1" applyFill="1" applyAlignment="1"/>
    <xf numFmtId="0" fontId="76" fillId="0" borderId="0" xfId="147" applyFont="1" applyAlignment="1"/>
    <xf numFmtId="0" fontId="76" fillId="0" borderId="0" xfId="147" applyFont="1" applyFill="1" applyAlignment="1"/>
    <xf numFmtId="0" fontId="76" fillId="0" borderId="0" xfId="204" applyFont="1" applyBorder="1" applyAlignment="1">
      <alignment vertical="center"/>
    </xf>
    <xf numFmtId="0" fontId="76" fillId="0" borderId="0" xfId="204" applyFont="1" applyAlignment="1">
      <alignment horizontal="center" vertical="center"/>
    </xf>
    <xf numFmtId="3" fontId="75" fillId="0" borderId="0" xfId="204" applyNumberFormat="1" applyFont="1" applyAlignment="1">
      <alignment horizontal="center" vertical="center"/>
    </xf>
    <xf numFmtId="37" fontId="76" fillId="0" borderId="2" xfId="204" applyNumberFormat="1" applyFont="1" applyBorder="1" applyAlignment="1">
      <alignment horizontal="center" vertical="center"/>
    </xf>
    <xf numFmtId="3" fontId="114" fillId="0" borderId="0" xfId="204" applyNumberFormat="1" applyFont="1" applyAlignment="1">
      <alignment horizontal="center" vertical="center"/>
    </xf>
    <xf numFmtId="43" fontId="136" fillId="0" borderId="0" xfId="1" applyFont="1"/>
    <xf numFmtId="43" fontId="137" fillId="0" borderId="0" xfId="1" applyFont="1"/>
    <xf numFmtId="168" fontId="24" fillId="5" borderId="51" xfId="3" applyNumberFormat="1" applyFont="1" applyFill="1" applyBorder="1"/>
    <xf numFmtId="168" fontId="136" fillId="0" borderId="0" xfId="204" applyNumberFormat="1" applyFont="1" applyFill="1" applyAlignment="1">
      <alignment vertical="center"/>
    </xf>
    <xf numFmtId="37" fontId="138" fillId="0" borderId="0" xfId="2" applyNumberFormat="1" applyFont="1"/>
    <xf numFmtId="43" fontId="139" fillId="0" borderId="0" xfId="1" applyFont="1" applyAlignment="1"/>
    <xf numFmtId="0" fontId="115" fillId="0" borderId="0" xfId="264" applyNumberFormat="1" applyFill="1" applyBorder="1" applyAlignment="1" applyProtection="1">
      <alignment horizontal="left"/>
      <protection locked="0"/>
    </xf>
    <xf numFmtId="0" fontId="121" fillId="0" borderId="0" xfId="204" applyFont="1" applyFill="1"/>
    <xf numFmtId="37" fontId="24" fillId="0" borderId="10" xfId="2" applyNumberFormat="1" applyFont="1" applyFill="1" applyBorder="1"/>
    <xf numFmtId="43" fontId="75" fillId="0" borderId="0" xfId="211" applyNumberFormat="1" applyFont="1"/>
    <xf numFmtId="0" fontId="58" fillId="0" borderId="0" xfId="2" applyFont="1" applyAlignment="1">
      <alignment horizontal="right"/>
    </xf>
    <xf numFmtId="167" fontId="58" fillId="0" borderId="9" xfId="2" applyNumberFormat="1" applyFont="1" applyBorder="1"/>
    <xf numFmtId="0" fontId="76" fillId="0" borderId="0" xfId="204" applyFont="1" applyFill="1" applyAlignment="1">
      <alignment horizontal="left" vertical="center"/>
    </xf>
    <xf numFmtId="0" fontId="112" fillId="0" borderId="4" xfId="204" applyFont="1" applyFill="1" applyBorder="1" applyAlignment="1">
      <alignment horizontal="center" vertical="center" wrapText="1"/>
    </xf>
    <xf numFmtId="175" fontId="109" fillId="0" borderId="0" xfId="199" applyNumberFormat="1" applyFont="1" applyFill="1" applyBorder="1" applyAlignment="1">
      <alignment horizontal="center" vertical="center" wrapText="1"/>
    </xf>
    <xf numFmtId="37" fontId="109" fillId="0" borderId="0" xfId="206" applyNumberFormat="1" applyFont="1" applyFill="1" applyBorder="1" applyAlignment="1">
      <alignment horizontal="center" vertical="center" wrapText="1"/>
    </xf>
    <xf numFmtId="0" fontId="109" fillId="0" borderId="0" xfId="204" applyFont="1" applyFill="1" applyAlignment="1">
      <alignment horizontal="center" vertical="center"/>
    </xf>
    <xf numFmtId="5" fontId="113" fillId="0" borderId="0" xfId="206" applyNumberFormat="1" applyFont="1" applyFill="1" applyAlignment="1">
      <alignment horizontal="center" vertical="center"/>
    </xf>
    <xf numFmtId="0" fontId="109" fillId="0" borderId="0" xfId="204" applyFont="1" applyFill="1" applyAlignment="1">
      <alignment vertical="center"/>
    </xf>
    <xf numFmtId="0" fontId="11" fillId="0" borderId="0" xfId="204" applyFill="1" applyAlignment="1">
      <alignment vertical="center"/>
    </xf>
    <xf numFmtId="166" fontId="140" fillId="0" borderId="0" xfId="0" applyFont="1" applyAlignment="1"/>
    <xf numFmtId="175" fontId="109" fillId="0" borderId="0" xfId="199" applyNumberFormat="1" applyFont="1" applyFill="1" applyBorder="1" applyAlignment="1">
      <alignment vertical="center" wrapText="1"/>
    </xf>
    <xf numFmtId="37" fontId="109" fillId="0" borderId="0" xfId="206" applyNumberFormat="1" applyFont="1" applyFill="1" applyBorder="1" applyAlignment="1">
      <alignment vertical="center" wrapText="1"/>
    </xf>
    <xf numFmtId="5" fontId="113" fillId="0" borderId="0" xfId="206" applyNumberFormat="1" applyFont="1" applyFill="1" applyAlignment="1">
      <alignment vertical="center"/>
    </xf>
    <xf numFmtId="10" fontId="14" fillId="5" borderId="0" xfId="198" applyNumberFormat="1" applyFont="1" applyFill="1" applyAlignment="1">
      <alignment horizontal="center" wrapText="1"/>
    </xf>
    <xf numFmtId="10" fontId="14" fillId="0" borderId="0" xfId="198" applyNumberFormat="1" applyFont="1" applyFill="1" applyBorder="1" applyAlignment="1">
      <alignment horizontal="center" wrapText="1"/>
    </xf>
    <xf numFmtId="43" fontId="136" fillId="0" borderId="0" xfId="1" applyFont="1" applyFill="1" applyAlignment="1">
      <alignment horizontal="left" vertical="center"/>
    </xf>
    <xf numFmtId="0" fontId="76" fillId="0" borderId="0" xfId="204" applyFont="1" applyAlignment="1"/>
    <xf numFmtId="0" fontId="69" fillId="0" borderId="0" xfId="204" applyFont="1"/>
    <xf numFmtId="41" fontId="58" fillId="0" borderId="4" xfId="4" applyNumberFormat="1" applyFont="1" applyFill="1" applyBorder="1"/>
    <xf numFmtId="166" fontId="14" fillId="0" borderId="0" xfId="0" applyFont="1" applyAlignment="1">
      <alignment horizontal="center"/>
    </xf>
    <xf numFmtId="166" fontId="14" fillId="0" borderId="0" xfId="0" applyFont="1" applyAlignment="1"/>
    <xf numFmtId="166" fontId="15" fillId="0" borderId="4" xfId="0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0" fontId="18" fillId="38" borderId="0" xfId="198" applyNumberFormat="1" applyFont="1" applyFill="1" applyBorder="1" applyAlignment="1"/>
    <xf numFmtId="166" fontId="18" fillId="0" borderId="0" xfId="0" applyFont="1" applyAlignment="1"/>
    <xf numFmtId="166" fontId="141" fillId="0" borderId="0" xfId="0" applyFont="1" applyBorder="1" applyAlignment="1">
      <alignment horizontal="center"/>
    </xf>
    <xf numFmtId="166" fontId="142" fillId="0" borderId="0" xfId="0" applyFont="1" applyBorder="1" applyAlignment="1">
      <alignment horizontal="center"/>
    </xf>
    <xf numFmtId="0" fontId="18" fillId="0" borderId="0" xfId="0" applyNumberFormat="1" applyFont="1" applyFill="1"/>
    <xf numFmtId="1" fontId="18" fillId="0" borderId="0" xfId="0" applyNumberFormat="1" applyFont="1" applyFill="1" applyBorder="1"/>
    <xf numFmtId="166" fontId="18" fillId="0" borderId="0" xfId="0" applyFont="1" applyBorder="1" applyAlignment="1"/>
    <xf numFmtId="10" fontId="18" fillId="0" borderId="0" xfId="198" applyNumberFormat="1" applyFont="1" applyFill="1" applyBorder="1" applyAlignment="1"/>
    <xf numFmtId="3" fontId="18" fillId="0" borderId="0" xfId="0" applyNumberFormat="1" applyFont="1" applyFill="1" applyBorder="1"/>
    <xf numFmtId="166" fontId="127" fillId="0" borderId="0" xfId="0" applyFont="1" applyAlignment="1">
      <alignment horizontal="right"/>
    </xf>
    <xf numFmtId="3" fontId="14" fillId="0" borderId="0" xfId="0" applyNumberFormat="1" applyFont="1" applyFill="1" applyBorder="1" applyAlignment="1"/>
    <xf numFmtId="0" fontId="14" fillId="0" borderId="0" xfId="0" applyNumberFormat="1" applyFont="1"/>
    <xf numFmtId="0" fontId="75" fillId="0" borderId="0" xfId="147" applyFont="1" applyAlignment="1"/>
    <xf numFmtId="174" fontId="15" fillId="0" borderId="29" xfId="198" applyNumberFormat="1" applyFont="1" applyBorder="1" applyAlignment="1">
      <alignment horizontal="center"/>
    </xf>
    <xf numFmtId="10" fontId="15" fillId="0" borderId="29" xfId="198" applyNumberFormat="1" applyFont="1" applyBorder="1" applyAlignment="1">
      <alignment horizontal="center"/>
    </xf>
    <xf numFmtId="10" fontId="14" fillId="5" borderId="0" xfId="198" applyNumberFormat="1" applyFont="1" applyFill="1" applyBorder="1" applyAlignment="1">
      <alignment horizontal="center" wrapText="1"/>
    </xf>
    <xf numFmtId="43" fontId="108" fillId="0" borderId="0" xfId="1" applyFont="1" applyFill="1" applyAlignment="1">
      <alignment horizontal="center"/>
    </xf>
    <xf numFmtId="43" fontId="138" fillId="0" borderId="0" xfId="1" applyFont="1"/>
    <xf numFmtId="0" fontId="14" fillId="0" borderId="0" xfId="0" applyNumberFormat="1" applyFont="1" applyAlignment="1">
      <alignment horizontal="left" indent="2"/>
    </xf>
    <xf numFmtId="166" fontId="14" fillId="0" borderId="0" xfId="0" quotePrefix="1" applyFont="1" applyAlignment="1">
      <alignment horizontal="left" indent="7"/>
    </xf>
    <xf numFmtId="164" fontId="14" fillId="0" borderId="0" xfId="0" quotePrefix="1" applyNumberFormat="1" applyFont="1" applyAlignment="1"/>
    <xf numFmtId="164" fontId="14" fillId="0" borderId="9" xfId="0" quotePrefix="1" applyNumberFormat="1" applyFont="1" applyBorder="1" applyAlignment="1"/>
    <xf numFmtId="164" fontId="14" fillId="5" borderId="0" xfId="1" applyNumberFormat="1" applyFont="1" applyFill="1"/>
    <xf numFmtId="0" fontId="125" fillId="0" borderId="4" xfId="204" applyFont="1" applyBorder="1" applyAlignment="1">
      <alignment horizontal="center"/>
    </xf>
    <xf numFmtId="166" fontId="14" fillId="0" borderId="42" xfId="0" applyFont="1" applyBorder="1" applyAlignment="1">
      <alignment horizontal="center"/>
    </xf>
    <xf numFmtId="166" fontId="14" fillId="0" borderId="0" xfId="0" applyFont="1" applyAlignment="1">
      <alignment horizontal="center"/>
    </xf>
    <xf numFmtId="0" fontId="76" fillId="0" borderId="0" xfId="147" applyFont="1" applyAlignment="1">
      <alignment horizontal="center"/>
    </xf>
    <xf numFmtId="166" fontId="15" fillId="0" borderId="0" xfId="0" applyFont="1" applyAlignment="1">
      <alignment horizontal="center"/>
    </xf>
    <xf numFmtId="166" fontId="23" fillId="0" borderId="0" xfId="0" applyFont="1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14" fillId="0" borderId="0" xfId="139" applyNumberFormat="1" applyFont="1" applyFill="1" applyAlignment="1"/>
    <xf numFmtId="166" fontId="14" fillId="0" borderId="0" xfId="0" applyFont="1" applyFill="1" applyAlignment="1">
      <alignment horizontal="left" wrapText="1"/>
    </xf>
    <xf numFmtId="166" fontId="14" fillId="0" borderId="0" xfId="0" applyFont="1" applyFill="1" applyAlignment="1">
      <alignment wrapText="1"/>
    </xf>
    <xf numFmtId="166" fontId="14" fillId="0" borderId="0" xfId="0" quotePrefix="1" applyFont="1" applyAlignment="1">
      <alignment horizontal="left" wrapText="1"/>
    </xf>
    <xf numFmtId="166" fontId="18" fillId="0" borderId="0" xfId="0" applyFont="1" applyAlignment="1">
      <alignment horizontal="center" wrapText="1"/>
    </xf>
    <xf numFmtId="166" fontId="23" fillId="0" borderId="4" xfId="0" applyFont="1" applyBorder="1" applyAlignment="1">
      <alignment horizontal="center"/>
    </xf>
    <xf numFmtId="166" fontId="18" fillId="0" borderId="0" xfId="0" applyFont="1" applyAlignment="1">
      <alignment horizontal="left" wrapText="1"/>
    </xf>
    <xf numFmtId="0" fontId="75" fillId="0" borderId="0" xfId="147" applyFont="1" applyAlignment="1">
      <alignment horizontal="center"/>
    </xf>
    <xf numFmtId="0" fontId="14" fillId="37" borderId="0" xfId="139" applyNumberFormat="1" applyFont="1" applyFill="1" applyAlignment="1"/>
    <xf numFmtId="166" fontId="14" fillId="0" borderId="0" xfId="0" applyFont="1" applyAlignment="1"/>
    <xf numFmtId="166" fontId="15" fillId="0" borderId="4" xfId="0" applyFont="1" applyBorder="1" applyAlignment="1">
      <alignment horizontal="center"/>
    </xf>
    <xf numFmtId="166" fontId="14" fillId="0" borderId="0" xfId="0" applyFont="1" applyAlignment="1">
      <alignment wrapText="1"/>
    </xf>
    <xf numFmtId="166" fontId="120" fillId="0" borderId="0" xfId="264" quotePrefix="1" applyNumberFormat="1" applyFont="1" applyAlignment="1" applyProtection="1"/>
    <xf numFmtId="166" fontId="14" fillId="0" borderId="0" xfId="0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76" fillId="0" borderId="4" xfId="204" applyFont="1" applyBorder="1" applyAlignment="1">
      <alignment horizontal="center" vertical="center" wrapText="1"/>
    </xf>
    <xf numFmtId="0" fontId="19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14" fontId="19" fillId="0" borderId="0" xfId="2" applyNumberFormat="1" applyFont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4" xfId="2" applyFont="1" applyFill="1" applyBorder="1" applyAlignment="1">
      <alignment horizontal="center"/>
    </xf>
    <xf numFmtId="0" fontId="60" fillId="0" borderId="4" xfId="2" applyFont="1" applyBorder="1" applyAlignment="1">
      <alignment horizontal="center"/>
    </xf>
    <xf numFmtId="0" fontId="59" fillId="0" borderId="0" xfId="2" applyFont="1" applyAlignment="1">
      <alignment horizontal="center"/>
    </xf>
    <xf numFmtId="0" fontId="57" fillId="0" borderId="0" xfId="2" applyFont="1" applyAlignment="1">
      <alignment horizontal="center"/>
    </xf>
    <xf numFmtId="14" fontId="59" fillId="0" borderId="0" xfId="2" applyNumberFormat="1" applyFont="1" applyAlignment="1">
      <alignment horizontal="center"/>
    </xf>
    <xf numFmtId="0" fontId="81" fillId="0" borderId="0" xfId="2" applyFont="1" applyAlignment="1">
      <alignment horizontal="center"/>
    </xf>
    <xf numFmtId="14" fontId="81" fillId="0" borderId="0" xfId="2" applyNumberFormat="1" applyFont="1" applyAlignment="1">
      <alignment horizontal="center"/>
    </xf>
    <xf numFmtId="0" fontId="18" fillId="0" borderId="8" xfId="2" applyFill="1" applyBorder="1" applyAlignment="1">
      <alignment horizontal="left"/>
    </xf>
    <xf numFmtId="0" fontId="18" fillId="0" borderId="9" xfId="2" applyFill="1" applyBorder="1" applyAlignment="1">
      <alignment horizontal="left"/>
    </xf>
    <xf numFmtId="0" fontId="23" fillId="0" borderId="4" xfId="2" applyFont="1" applyBorder="1" applyAlignment="1">
      <alignment horizontal="center"/>
    </xf>
    <xf numFmtId="0" fontId="76" fillId="0" borderId="0" xfId="204" applyFont="1" applyAlignment="1">
      <alignment horizontal="center" vertical="center"/>
    </xf>
    <xf numFmtId="0" fontId="76" fillId="0" borderId="4" xfId="204" applyFont="1" applyBorder="1" applyAlignment="1">
      <alignment horizontal="center" vertical="center"/>
    </xf>
    <xf numFmtId="0" fontId="67" fillId="0" borderId="0" xfId="204" applyFont="1" applyAlignment="1">
      <alignment horizontal="center" vertical="center"/>
    </xf>
    <xf numFmtId="0" fontId="78" fillId="0" borderId="0" xfId="204" applyFont="1" applyAlignment="1">
      <alignment horizontal="center"/>
    </xf>
    <xf numFmtId="0" fontId="75" fillId="0" borderId="0" xfId="211" applyFont="1" applyAlignment="1">
      <alignment horizontal="center"/>
    </xf>
    <xf numFmtId="0" fontId="76" fillId="0" borderId="0" xfId="211" applyFont="1" applyAlignment="1">
      <alignment horizontal="center"/>
    </xf>
    <xf numFmtId="14" fontId="76" fillId="0" borderId="0" xfId="211" applyNumberFormat="1" applyFont="1" applyAlignment="1">
      <alignment horizontal="center"/>
    </xf>
    <xf numFmtId="0" fontId="75" fillId="0" borderId="0" xfId="204" applyFont="1" applyAlignment="1">
      <alignment horizontal="center"/>
    </xf>
    <xf numFmtId="0" fontId="76" fillId="0" borderId="0" xfId="204" applyFont="1" applyAlignment="1">
      <alignment horizontal="center"/>
    </xf>
    <xf numFmtId="0" fontId="75" fillId="0" borderId="4" xfId="204" applyFont="1" applyBorder="1" applyAlignment="1">
      <alignment horizontal="center"/>
    </xf>
    <xf numFmtId="0" fontId="75" fillId="0" borderId="0" xfId="204" quotePrefix="1" applyFont="1" applyAlignment="1">
      <alignment horizontal="left" wrapText="1"/>
    </xf>
  </cellXfs>
  <cellStyles count="662">
    <cellStyle name="20% - Accent1" xfId="232" builtinId="30" customBuiltin="1"/>
    <cellStyle name="20% - Accent1 2" xfId="333"/>
    <cellStyle name="20% - Accent1 2 2" xfId="405"/>
    <cellStyle name="20% - Accent1 2 2 2" xfId="467"/>
    <cellStyle name="20% - Accent1 2 2 2 2" xfId="650"/>
    <cellStyle name="20% - Accent1 2 2 3" xfId="588"/>
    <cellStyle name="20% - Accent1 2 3" xfId="436"/>
    <cellStyle name="20% - Accent1 2 3 2" xfId="619"/>
    <cellStyle name="20% - Accent1 2 4" xfId="547"/>
    <cellStyle name="20% - Accent1 3" xfId="386"/>
    <cellStyle name="20% - Accent1 3 2" xfId="449"/>
    <cellStyle name="20% - Accent1 3 2 2" xfId="632"/>
    <cellStyle name="20% - Accent1 3 3" xfId="570"/>
    <cellStyle name="20% - Accent1 4" xfId="418"/>
    <cellStyle name="20% - Accent1 4 2" xfId="601"/>
    <cellStyle name="20% - Accent1 5" xfId="307"/>
    <cellStyle name="20% - Accent1 5 2" xfId="525"/>
    <cellStyle name="20% - Accent1 6" xfId="498"/>
    <cellStyle name="20% - Accent2" xfId="236" builtinId="34" customBuiltin="1"/>
    <cellStyle name="20% - Accent2 2" xfId="335"/>
    <cellStyle name="20% - Accent2 2 2" xfId="407"/>
    <cellStyle name="20% - Accent2 2 2 2" xfId="469"/>
    <cellStyle name="20% - Accent2 2 2 2 2" xfId="652"/>
    <cellStyle name="20% - Accent2 2 2 3" xfId="590"/>
    <cellStyle name="20% - Accent2 2 3" xfId="438"/>
    <cellStyle name="20% - Accent2 2 3 2" xfId="621"/>
    <cellStyle name="20% - Accent2 2 4" xfId="549"/>
    <cellStyle name="20% - Accent2 3" xfId="388"/>
    <cellStyle name="20% - Accent2 3 2" xfId="451"/>
    <cellStyle name="20% - Accent2 3 2 2" xfId="634"/>
    <cellStyle name="20% - Accent2 3 3" xfId="572"/>
    <cellStyle name="20% - Accent2 4" xfId="420"/>
    <cellStyle name="20% - Accent2 4 2" xfId="603"/>
    <cellStyle name="20% - Accent2 5" xfId="309"/>
    <cellStyle name="20% - Accent2 5 2" xfId="527"/>
    <cellStyle name="20% - Accent2 6" xfId="500"/>
    <cellStyle name="20% - Accent3" xfId="240" builtinId="38" customBuiltin="1"/>
    <cellStyle name="20% - Accent3 2" xfId="337"/>
    <cellStyle name="20% - Accent3 2 2" xfId="409"/>
    <cellStyle name="20% - Accent3 2 2 2" xfId="471"/>
    <cellStyle name="20% - Accent3 2 2 2 2" xfId="654"/>
    <cellStyle name="20% - Accent3 2 2 3" xfId="592"/>
    <cellStyle name="20% - Accent3 2 3" xfId="440"/>
    <cellStyle name="20% - Accent3 2 3 2" xfId="623"/>
    <cellStyle name="20% - Accent3 2 4" xfId="551"/>
    <cellStyle name="20% - Accent3 3" xfId="390"/>
    <cellStyle name="20% - Accent3 3 2" xfId="453"/>
    <cellStyle name="20% - Accent3 3 2 2" xfId="636"/>
    <cellStyle name="20% - Accent3 3 3" xfId="574"/>
    <cellStyle name="20% - Accent3 4" xfId="422"/>
    <cellStyle name="20% - Accent3 4 2" xfId="605"/>
    <cellStyle name="20% - Accent3 5" xfId="311"/>
    <cellStyle name="20% - Accent3 5 2" xfId="529"/>
    <cellStyle name="20% - Accent3 6" xfId="502"/>
    <cellStyle name="20% - Accent4" xfId="244" builtinId="42" customBuiltin="1"/>
    <cellStyle name="20% - Accent4 2" xfId="339"/>
    <cellStyle name="20% - Accent4 2 2" xfId="411"/>
    <cellStyle name="20% - Accent4 2 2 2" xfId="473"/>
    <cellStyle name="20% - Accent4 2 2 2 2" xfId="656"/>
    <cellStyle name="20% - Accent4 2 2 3" xfId="594"/>
    <cellStyle name="20% - Accent4 2 3" xfId="442"/>
    <cellStyle name="20% - Accent4 2 3 2" xfId="625"/>
    <cellStyle name="20% - Accent4 2 4" xfId="553"/>
    <cellStyle name="20% - Accent4 3" xfId="392"/>
    <cellStyle name="20% - Accent4 3 2" xfId="455"/>
    <cellStyle name="20% - Accent4 3 2 2" xfId="638"/>
    <cellStyle name="20% - Accent4 3 3" xfId="576"/>
    <cellStyle name="20% - Accent4 4" xfId="424"/>
    <cellStyle name="20% - Accent4 4 2" xfId="607"/>
    <cellStyle name="20% - Accent4 5" xfId="313"/>
    <cellStyle name="20% - Accent4 5 2" xfId="531"/>
    <cellStyle name="20% - Accent4 6" xfId="504"/>
    <cellStyle name="20% - Accent5" xfId="248" builtinId="46" customBuiltin="1"/>
    <cellStyle name="20% - Accent5 2" xfId="341"/>
    <cellStyle name="20% - Accent5 2 2" xfId="413"/>
    <cellStyle name="20% - Accent5 2 2 2" xfId="475"/>
    <cellStyle name="20% - Accent5 2 2 2 2" xfId="658"/>
    <cellStyle name="20% - Accent5 2 2 3" xfId="596"/>
    <cellStyle name="20% - Accent5 2 3" xfId="444"/>
    <cellStyle name="20% - Accent5 2 3 2" xfId="627"/>
    <cellStyle name="20% - Accent5 2 4" xfId="555"/>
    <cellStyle name="20% - Accent5 3" xfId="394"/>
    <cellStyle name="20% - Accent5 3 2" xfId="457"/>
    <cellStyle name="20% - Accent5 3 2 2" xfId="640"/>
    <cellStyle name="20% - Accent5 3 3" xfId="578"/>
    <cellStyle name="20% - Accent5 4" xfId="426"/>
    <cellStyle name="20% - Accent5 4 2" xfId="609"/>
    <cellStyle name="20% - Accent5 5" xfId="315"/>
    <cellStyle name="20% - Accent5 5 2" xfId="533"/>
    <cellStyle name="20% - Accent5 6" xfId="506"/>
    <cellStyle name="20% - Accent6" xfId="252" builtinId="50" customBuiltin="1"/>
    <cellStyle name="20% - Accent6 2" xfId="343"/>
    <cellStyle name="20% - Accent6 2 2" xfId="415"/>
    <cellStyle name="20% - Accent6 2 2 2" xfId="477"/>
    <cellStyle name="20% - Accent6 2 2 2 2" xfId="660"/>
    <cellStyle name="20% - Accent6 2 2 3" xfId="598"/>
    <cellStyle name="20% - Accent6 2 3" xfId="446"/>
    <cellStyle name="20% - Accent6 2 3 2" xfId="629"/>
    <cellStyle name="20% - Accent6 2 4" xfId="557"/>
    <cellStyle name="20% - Accent6 3" xfId="396"/>
    <cellStyle name="20% - Accent6 3 2" xfId="459"/>
    <cellStyle name="20% - Accent6 3 2 2" xfId="642"/>
    <cellStyle name="20% - Accent6 3 3" xfId="580"/>
    <cellStyle name="20% - Accent6 4" xfId="428"/>
    <cellStyle name="20% - Accent6 4 2" xfId="611"/>
    <cellStyle name="20% - Accent6 5" xfId="317"/>
    <cellStyle name="20% - Accent6 5 2" xfId="535"/>
    <cellStyle name="20% - Accent6 6" xfId="508"/>
    <cellStyle name="40% - Accent1" xfId="233" builtinId="31" customBuiltin="1"/>
    <cellStyle name="40% - Accent1 2" xfId="334"/>
    <cellStyle name="40% - Accent1 2 2" xfId="406"/>
    <cellStyle name="40% - Accent1 2 2 2" xfId="468"/>
    <cellStyle name="40% - Accent1 2 2 2 2" xfId="651"/>
    <cellStyle name="40% - Accent1 2 2 3" xfId="589"/>
    <cellStyle name="40% - Accent1 2 3" xfId="437"/>
    <cellStyle name="40% - Accent1 2 3 2" xfId="620"/>
    <cellStyle name="40% - Accent1 2 4" xfId="548"/>
    <cellStyle name="40% - Accent1 3" xfId="387"/>
    <cellStyle name="40% - Accent1 3 2" xfId="450"/>
    <cellStyle name="40% - Accent1 3 2 2" xfId="633"/>
    <cellStyle name="40% - Accent1 3 3" xfId="571"/>
    <cellStyle name="40% - Accent1 4" xfId="419"/>
    <cellStyle name="40% - Accent1 4 2" xfId="602"/>
    <cellStyle name="40% - Accent1 5" xfId="308"/>
    <cellStyle name="40% - Accent1 5 2" xfId="526"/>
    <cellStyle name="40% - Accent1 6" xfId="499"/>
    <cellStyle name="40% - Accent2" xfId="237" builtinId="35" customBuiltin="1"/>
    <cellStyle name="40% - Accent2 2" xfId="336"/>
    <cellStyle name="40% - Accent2 2 2" xfId="408"/>
    <cellStyle name="40% - Accent2 2 2 2" xfId="470"/>
    <cellStyle name="40% - Accent2 2 2 2 2" xfId="653"/>
    <cellStyle name="40% - Accent2 2 2 3" xfId="591"/>
    <cellStyle name="40% - Accent2 2 3" xfId="439"/>
    <cellStyle name="40% - Accent2 2 3 2" xfId="622"/>
    <cellStyle name="40% - Accent2 2 4" xfId="550"/>
    <cellStyle name="40% - Accent2 3" xfId="389"/>
    <cellStyle name="40% - Accent2 3 2" xfId="452"/>
    <cellStyle name="40% - Accent2 3 2 2" xfId="635"/>
    <cellStyle name="40% - Accent2 3 3" xfId="573"/>
    <cellStyle name="40% - Accent2 4" xfId="421"/>
    <cellStyle name="40% - Accent2 4 2" xfId="604"/>
    <cellStyle name="40% - Accent2 5" xfId="310"/>
    <cellStyle name="40% - Accent2 5 2" xfId="528"/>
    <cellStyle name="40% - Accent2 6" xfId="501"/>
    <cellStyle name="40% - Accent3" xfId="241" builtinId="39" customBuiltin="1"/>
    <cellStyle name="40% - Accent3 2" xfId="338"/>
    <cellStyle name="40% - Accent3 2 2" xfId="410"/>
    <cellStyle name="40% - Accent3 2 2 2" xfId="472"/>
    <cellStyle name="40% - Accent3 2 2 2 2" xfId="655"/>
    <cellStyle name="40% - Accent3 2 2 3" xfId="593"/>
    <cellStyle name="40% - Accent3 2 3" xfId="441"/>
    <cellStyle name="40% - Accent3 2 3 2" xfId="624"/>
    <cellStyle name="40% - Accent3 2 4" xfId="552"/>
    <cellStyle name="40% - Accent3 3" xfId="391"/>
    <cellStyle name="40% - Accent3 3 2" xfId="454"/>
    <cellStyle name="40% - Accent3 3 2 2" xfId="637"/>
    <cellStyle name="40% - Accent3 3 3" xfId="575"/>
    <cellStyle name="40% - Accent3 4" xfId="423"/>
    <cellStyle name="40% - Accent3 4 2" xfId="606"/>
    <cellStyle name="40% - Accent3 5" xfId="312"/>
    <cellStyle name="40% - Accent3 5 2" xfId="530"/>
    <cellStyle name="40% - Accent3 6" xfId="503"/>
    <cellStyle name="40% - Accent4" xfId="245" builtinId="43" customBuiltin="1"/>
    <cellStyle name="40% - Accent4 2" xfId="340"/>
    <cellStyle name="40% - Accent4 2 2" xfId="412"/>
    <cellStyle name="40% - Accent4 2 2 2" xfId="474"/>
    <cellStyle name="40% - Accent4 2 2 2 2" xfId="657"/>
    <cellStyle name="40% - Accent4 2 2 3" xfId="595"/>
    <cellStyle name="40% - Accent4 2 3" xfId="443"/>
    <cellStyle name="40% - Accent4 2 3 2" xfId="626"/>
    <cellStyle name="40% - Accent4 2 4" xfId="554"/>
    <cellStyle name="40% - Accent4 3" xfId="393"/>
    <cellStyle name="40% - Accent4 3 2" xfId="456"/>
    <cellStyle name="40% - Accent4 3 2 2" xfId="639"/>
    <cellStyle name="40% - Accent4 3 3" xfId="577"/>
    <cellStyle name="40% - Accent4 4" xfId="425"/>
    <cellStyle name="40% - Accent4 4 2" xfId="608"/>
    <cellStyle name="40% - Accent4 5" xfId="314"/>
    <cellStyle name="40% - Accent4 5 2" xfId="532"/>
    <cellStyle name="40% - Accent4 6" xfId="505"/>
    <cellStyle name="40% - Accent5" xfId="249" builtinId="47" customBuiltin="1"/>
    <cellStyle name="40% - Accent5 2" xfId="342"/>
    <cellStyle name="40% - Accent5 2 2" xfId="414"/>
    <cellStyle name="40% - Accent5 2 2 2" xfId="476"/>
    <cellStyle name="40% - Accent5 2 2 2 2" xfId="659"/>
    <cellStyle name="40% - Accent5 2 2 3" xfId="597"/>
    <cellStyle name="40% - Accent5 2 3" xfId="445"/>
    <cellStyle name="40% - Accent5 2 3 2" xfId="628"/>
    <cellStyle name="40% - Accent5 2 4" xfId="556"/>
    <cellStyle name="40% - Accent5 3" xfId="395"/>
    <cellStyle name="40% - Accent5 3 2" xfId="458"/>
    <cellStyle name="40% - Accent5 3 2 2" xfId="641"/>
    <cellStyle name="40% - Accent5 3 3" xfId="579"/>
    <cellStyle name="40% - Accent5 4" xfId="427"/>
    <cellStyle name="40% - Accent5 4 2" xfId="610"/>
    <cellStyle name="40% - Accent5 5" xfId="316"/>
    <cellStyle name="40% - Accent5 5 2" xfId="534"/>
    <cellStyle name="40% - Accent5 6" xfId="507"/>
    <cellStyle name="40% - Accent6" xfId="253" builtinId="51" customBuiltin="1"/>
    <cellStyle name="40% - Accent6 2" xfId="344"/>
    <cellStyle name="40% - Accent6 2 2" xfId="416"/>
    <cellStyle name="40% - Accent6 2 2 2" xfId="478"/>
    <cellStyle name="40% - Accent6 2 2 2 2" xfId="661"/>
    <cellStyle name="40% - Accent6 2 2 3" xfId="599"/>
    <cellStyle name="40% - Accent6 2 3" xfId="447"/>
    <cellStyle name="40% - Accent6 2 3 2" xfId="630"/>
    <cellStyle name="40% - Accent6 2 4" xfId="558"/>
    <cellStyle name="40% - Accent6 3" xfId="397"/>
    <cellStyle name="40% - Accent6 3 2" xfId="460"/>
    <cellStyle name="40% - Accent6 3 2 2" xfId="643"/>
    <cellStyle name="40% - Accent6 3 3" xfId="581"/>
    <cellStyle name="40% - Accent6 4" xfId="429"/>
    <cellStyle name="40% - Accent6 4 2" xfId="612"/>
    <cellStyle name="40% - Accent6 5" xfId="318"/>
    <cellStyle name="40% - Accent6 5 2" xfId="536"/>
    <cellStyle name="40% - Accent6 6" xfId="509"/>
    <cellStyle name="60% - Accent1" xfId="234" builtinId="32" customBuiltin="1"/>
    <cellStyle name="60% - Accent2" xfId="238" builtinId="36" customBuiltin="1"/>
    <cellStyle name="60% - Accent3" xfId="242" builtinId="40" customBuiltin="1"/>
    <cellStyle name="60% - Accent4" xfId="246" builtinId="44" customBuiltin="1"/>
    <cellStyle name="60% - Accent5" xfId="250" builtinId="48" customBuiltin="1"/>
    <cellStyle name="60% - Accent6" xfId="254" builtinId="52" customBuiltin="1"/>
    <cellStyle name="Accent1" xfId="231" builtinId="29" customBuiltin="1"/>
    <cellStyle name="Accent2" xfId="235" builtinId="33" customBuiltin="1"/>
    <cellStyle name="Accent3" xfId="239" builtinId="37" customBuiltin="1"/>
    <cellStyle name="Accent4" xfId="243" builtinId="41" customBuiltin="1"/>
    <cellStyle name="Accent5" xfId="247" builtinId="45" customBuiltin="1"/>
    <cellStyle name="Accent6" xfId="251" builtinId="49" customBuiltin="1"/>
    <cellStyle name="Bad" xfId="221" builtinId="27" customBuiltin="1"/>
    <cellStyle name="C00A" xfId="7"/>
    <cellStyle name="C00B" xfId="8"/>
    <cellStyle name="C00L" xfId="9"/>
    <cellStyle name="C01A" xfId="10"/>
    <cellStyle name="C01B" xfId="11"/>
    <cellStyle name="C01B 2" xfId="346"/>
    <cellStyle name="C01B 3" xfId="266"/>
    <cellStyle name="C01H" xfId="12"/>
    <cellStyle name="C01L" xfId="13"/>
    <cellStyle name="C02A" xfId="14"/>
    <cellStyle name="C02B" xfId="15"/>
    <cellStyle name="C02B 2" xfId="347"/>
    <cellStyle name="C02B 3" xfId="267"/>
    <cellStyle name="C02H" xfId="16"/>
    <cellStyle name="C02L" xfId="17"/>
    <cellStyle name="C03A" xfId="18"/>
    <cellStyle name="C03B" xfId="19"/>
    <cellStyle name="C03H" xfId="20"/>
    <cellStyle name="C03L" xfId="21"/>
    <cellStyle name="C04A" xfId="22"/>
    <cellStyle name="C04A 2" xfId="348"/>
    <cellStyle name="C04A 3" xfId="268"/>
    <cellStyle name="C04B" xfId="23"/>
    <cellStyle name="C04H" xfId="24"/>
    <cellStyle name="C04L" xfId="25"/>
    <cellStyle name="C05A" xfId="26"/>
    <cellStyle name="C05B" xfId="27"/>
    <cellStyle name="C05H" xfId="28"/>
    <cellStyle name="C05L" xfId="29"/>
    <cellStyle name="C05L 2" xfId="349"/>
    <cellStyle name="C05L 3" xfId="269"/>
    <cellStyle name="C06A" xfId="30"/>
    <cellStyle name="C06B" xfId="31"/>
    <cellStyle name="C06H" xfId="32"/>
    <cellStyle name="C06L" xfId="33"/>
    <cellStyle name="C07A" xfId="34"/>
    <cellStyle name="C07B" xfId="35"/>
    <cellStyle name="C07H" xfId="36"/>
    <cellStyle name="C07L" xfId="37"/>
    <cellStyle name="Calculation" xfId="225" builtinId="22" customBuiltin="1"/>
    <cellStyle name="Check Cell" xfId="227" builtinId="23" customBuiltin="1"/>
    <cellStyle name="Comma" xfId="1" builtinId="3"/>
    <cellStyle name="Comma [2]" xfId="38"/>
    <cellStyle name="Comma [2] 2" xfId="350"/>
    <cellStyle name="Comma [2] 3" xfId="270"/>
    <cellStyle name="Comma 10" xfId="39"/>
    <cellStyle name="Comma 11" xfId="40"/>
    <cellStyle name="Comma 12" xfId="41"/>
    <cellStyle name="Comma 13" xfId="42"/>
    <cellStyle name="Comma 14" xfId="43"/>
    <cellStyle name="Comma 15" xfId="44"/>
    <cellStyle name="Comma 16" xfId="45"/>
    <cellStyle name="Comma 17" xfId="46"/>
    <cellStyle name="Comma 18" xfId="47"/>
    <cellStyle name="Comma 19" xfId="48"/>
    <cellStyle name="Comma 2" xfId="3"/>
    <cellStyle name="Comma 2 2" xfId="49"/>
    <cellStyle name="Comma 2 2 2" xfId="351"/>
    <cellStyle name="Comma 2 2 3" xfId="271"/>
    <cellStyle name="Comma 2 3" xfId="213"/>
    <cellStyle name="Comma 2 3 2" xfId="384"/>
    <cellStyle name="Comma 2 3 2 2" xfId="568"/>
    <cellStyle name="Comma 2 3 3" xfId="305"/>
    <cellStyle name="Comma 2 3 3 2" xfId="523"/>
    <cellStyle name="Comma 2 3 4" xfId="496"/>
    <cellStyle name="Comma 20" xfId="50"/>
    <cellStyle name="Comma 21" xfId="51"/>
    <cellStyle name="Comma 22" xfId="52"/>
    <cellStyle name="Comma 23" xfId="53"/>
    <cellStyle name="Comma 24" xfId="54"/>
    <cellStyle name="Comma 25" xfId="55"/>
    <cellStyle name="Comma 26" xfId="56"/>
    <cellStyle name="Comma 27" xfId="57"/>
    <cellStyle name="Comma 28" xfId="58"/>
    <cellStyle name="Comma 29" xfId="59"/>
    <cellStyle name="Comma 3" xfId="60"/>
    <cellStyle name="Comma 30" xfId="61"/>
    <cellStyle name="Comma 31" xfId="62"/>
    <cellStyle name="Comma 32" xfId="63"/>
    <cellStyle name="Comma 33" xfId="64"/>
    <cellStyle name="Comma 34" xfId="65"/>
    <cellStyle name="Comma 35" xfId="66"/>
    <cellStyle name="Comma 36" xfId="67"/>
    <cellStyle name="Comma 37" xfId="68"/>
    <cellStyle name="Comma 38" xfId="69"/>
    <cellStyle name="Comma 39" xfId="70"/>
    <cellStyle name="Comma 4" xfId="71"/>
    <cellStyle name="Comma 4 2" xfId="352"/>
    <cellStyle name="Comma 4 3" xfId="272"/>
    <cellStyle name="Comma 40" xfId="72"/>
    <cellStyle name="Comma 41" xfId="73"/>
    <cellStyle name="Comma 42" xfId="74"/>
    <cellStyle name="Comma 43" xfId="75"/>
    <cellStyle name="Comma 44" xfId="76"/>
    <cellStyle name="Comma 45" xfId="77"/>
    <cellStyle name="Comma 46" xfId="78"/>
    <cellStyle name="Comma 47" xfId="79"/>
    <cellStyle name="Comma 48" xfId="80"/>
    <cellStyle name="Comma 49" xfId="81"/>
    <cellStyle name="Comma 5" xfId="82"/>
    <cellStyle name="Comma 50" xfId="83"/>
    <cellStyle name="Comma 51" xfId="84"/>
    <cellStyle name="Comma 52" xfId="85"/>
    <cellStyle name="Comma 53" xfId="86"/>
    <cellStyle name="Comma 54" xfId="87"/>
    <cellStyle name="Comma 55" xfId="88"/>
    <cellStyle name="Comma 56" xfId="89"/>
    <cellStyle name="Comma 57" xfId="90"/>
    <cellStyle name="Comma 58" xfId="91"/>
    <cellStyle name="Comma 59" xfId="92"/>
    <cellStyle name="Comma 6" xfId="93"/>
    <cellStyle name="Comma 6 2" xfId="94"/>
    <cellStyle name="Comma 6 2 2" xfId="354"/>
    <cellStyle name="Comma 6 2 3" xfId="274"/>
    <cellStyle name="Comma 6 3" xfId="353"/>
    <cellStyle name="Comma 6 4" xfId="273"/>
    <cellStyle name="Comma 60" xfId="95"/>
    <cellStyle name="Comma 61" xfId="96"/>
    <cellStyle name="Comma 62" xfId="97"/>
    <cellStyle name="Comma 63" xfId="98"/>
    <cellStyle name="Comma 64" xfId="99"/>
    <cellStyle name="Comma 65" xfId="100"/>
    <cellStyle name="Comma 66" xfId="101"/>
    <cellStyle name="Comma 67" xfId="102"/>
    <cellStyle name="Comma 68" xfId="103"/>
    <cellStyle name="Comma 69" xfId="104"/>
    <cellStyle name="Comma 7" xfId="105"/>
    <cellStyle name="Comma 70" xfId="106"/>
    <cellStyle name="Comma 71" xfId="107"/>
    <cellStyle name="Comma 72" xfId="108"/>
    <cellStyle name="Comma 73" xfId="109"/>
    <cellStyle name="Comma 74" xfId="110"/>
    <cellStyle name="Comma 75" xfId="111"/>
    <cellStyle name="Comma 76" xfId="112"/>
    <cellStyle name="Comma 77" xfId="113"/>
    <cellStyle name="Comma 78" xfId="114"/>
    <cellStyle name="Comma 79" xfId="115"/>
    <cellStyle name="Comma 8" xfId="116"/>
    <cellStyle name="Comma 80" xfId="117"/>
    <cellStyle name="Comma 81" xfId="118"/>
    <cellStyle name="Comma 82" xfId="119"/>
    <cellStyle name="Comma 83" xfId="120"/>
    <cellStyle name="Comma 84" xfId="121"/>
    <cellStyle name="Comma 85" xfId="122"/>
    <cellStyle name="Comma 86" xfId="201"/>
    <cellStyle name="Comma 87" xfId="205"/>
    <cellStyle name="Comma 87 2" xfId="379"/>
    <cellStyle name="Comma 87 2 2" xfId="563"/>
    <cellStyle name="Comma 87 3" xfId="300"/>
    <cellStyle name="Comma 87 3 2" xfId="518"/>
    <cellStyle name="Comma 87 4" xfId="491"/>
    <cellStyle name="Comma 88" xfId="259"/>
    <cellStyle name="Comma 89" xfId="323"/>
    <cellStyle name="Comma 9" xfId="123"/>
    <cellStyle name="Comma 90" xfId="329"/>
    <cellStyle name="Comma 90 2" xfId="401"/>
    <cellStyle name="Comma 90 2 2" xfId="463"/>
    <cellStyle name="Comma 90 2 2 2" xfId="646"/>
    <cellStyle name="Comma 90 2 3" xfId="584"/>
    <cellStyle name="Comma 90 3" xfId="432"/>
    <cellStyle name="Comma 90 3 2" xfId="615"/>
    <cellStyle name="Comma 90 4" xfId="543"/>
    <cellStyle name="Comma 91" xfId="332"/>
    <cellStyle name="Comma 91 2" xfId="404"/>
    <cellStyle name="Comma 91 2 2" xfId="466"/>
    <cellStyle name="Comma 91 2 2 2" xfId="649"/>
    <cellStyle name="Comma 91 2 3" xfId="587"/>
    <cellStyle name="Comma 91 3" xfId="435"/>
    <cellStyle name="Comma 91 3 2" xfId="618"/>
    <cellStyle name="Comma 91 4" xfId="546"/>
    <cellStyle name="Comma0" xfId="124"/>
    <cellStyle name="Comma0 2" xfId="355"/>
    <cellStyle name="Comma0 3" xfId="275"/>
    <cellStyle name="Currency" xfId="199" builtinId="4"/>
    <cellStyle name="Currency [2]" xfId="125"/>
    <cellStyle name="Currency [2] 2" xfId="356"/>
    <cellStyle name="Currency [2] 3" xfId="276"/>
    <cellStyle name="Currency 2" xfId="4"/>
    <cellStyle name="Currency 3" xfId="126"/>
    <cellStyle name="Currency 3 2" xfId="127"/>
    <cellStyle name="Currency 3 2 2" xfId="357"/>
    <cellStyle name="Currency 3 2 3" xfId="277"/>
    <cellStyle name="Currency 3 3" xfId="209"/>
    <cellStyle name="Currency 3 4" xfId="212"/>
    <cellStyle name="Currency 3 4 2" xfId="383"/>
    <cellStyle name="Currency 3 4 2 2" xfId="567"/>
    <cellStyle name="Currency 3 4 3" xfId="304"/>
    <cellStyle name="Currency 3 4 3 2" xfId="522"/>
    <cellStyle name="Currency 3 4 4" xfId="495"/>
    <cellStyle name="Currency 4" xfId="128"/>
    <cellStyle name="Currency 5" xfId="129"/>
    <cellStyle name="Currency 6" xfId="202"/>
    <cellStyle name="Currency 7" xfId="206"/>
    <cellStyle name="Currency 7 2" xfId="263"/>
    <cellStyle name="Currency 7 2 2" xfId="380"/>
    <cellStyle name="Currency 7 2 2 2" xfId="564"/>
    <cellStyle name="Currency 7 2 3" xfId="512"/>
    <cellStyle name="Currency 7 3" xfId="301"/>
    <cellStyle name="Currency 7 3 2" xfId="519"/>
    <cellStyle name="Currency 7 4" xfId="492"/>
    <cellStyle name="Currency 8" xfId="324"/>
    <cellStyle name="Currency0" xfId="130"/>
    <cellStyle name="Currency0 2" xfId="358"/>
    <cellStyle name="Currency0 3" xfId="278"/>
    <cellStyle name="Date" xfId="131"/>
    <cellStyle name="Date 2" xfId="359"/>
    <cellStyle name="Date 3" xfId="279"/>
    <cellStyle name="Explanatory Text" xfId="229" builtinId="53" customBuiltin="1"/>
    <cellStyle name="Fixed" xfId="132"/>
    <cellStyle name="Fixed 2" xfId="360"/>
    <cellStyle name="Fixed 3" xfId="280"/>
    <cellStyle name="Good" xfId="220" builtinId="26" customBuiltin="1"/>
    <cellStyle name="Grey" xfId="133"/>
    <cellStyle name="Heading 1" xfId="216" builtinId="16" customBuiltin="1"/>
    <cellStyle name="Heading 2" xfId="217" builtinId="17" customBuiltin="1"/>
    <cellStyle name="Heading 3" xfId="218" builtinId="18" customBuiltin="1"/>
    <cellStyle name="Heading 4" xfId="219" builtinId="19" customBuiltin="1"/>
    <cellStyle name="Heading1" xfId="134"/>
    <cellStyle name="Heading2" xfId="135"/>
    <cellStyle name="Hyperlink" xfId="264" builtinId="8"/>
    <cellStyle name="Input" xfId="223" builtinId="20" customBuiltin="1"/>
    <cellStyle name="Input [yellow]" xfId="136"/>
    <cellStyle name="Linked Cell" xfId="226" builtinId="24" customBuiltin="1"/>
    <cellStyle name="Neutral" xfId="222" builtinId="28" customBuiltin="1"/>
    <cellStyle name="Normal" xfId="0" builtinId="0"/>
    <cellStyle name="Normal - Style1" xfId="137"/>
    <cellStyle name="Normal 10" xfId="204"/>
    <cellStyle name="Normal 10 2" xfId="262"/>
    <cellStyle name="Normal 10 2 2" xfId="321"/>
    <cellStyle name="Normal 10 2 2 2" xfId="538"/>
    <cellStyle name="Normal 10 2 3" xfId="511"/>
    <cellStyle name="Normal 10 3" xfId="299"/>
    <cellStyle name="Normal 10 3 2" xfId="517"/>
    <cellStyle name="Normal 10 4" xfId="490"/>
    <cellStyle name="Normal 11" xfId="138"/>
    <cellStyle name="Normal 12" xfId="214"/>
    <cellStyle name="Normal 12 2" xfId="385"/>
    <cellStyle name="Normal 12 2 2" xfId="448"/>
    <cellStyle name="Normal 12 2 2 2" xfId="631"/>
    <cellStyle name="Normal 12 2 3" xfId="569"/>
    <cellStyle name="Normal 12 3" xfId="417"/>
    <cellStyle name="Normal 12 3 2" xfId="600"/>
    <cellStyle name="Normal 12 4" xfId="306"/>
    <cellStyle name="Normal 12 4 2" xfId="524"/>
    <cellStyle name="Normal 12 5" xfId="497"/>
    <cellStyle name="Normal 13" xfId="255"/>
    <cellStyle name="Normal 14" xfId="256"/>
    <cellStyle name="Normal 15" xfId="258"/>
    <cellStyle name="Normal 16" xfId="260"/>
    <cellStyle name="Normal 16 2" xfId="399"/>
    <cellStyle name="Normal 16 3" xfId="320"/>
    <cellStyle name="Normal 17" xfId="322"/>
    <cellStyle name="Normal 18" xfId="328"/>
    <cellStyle name="Normal 18 2" xfId="400"/>
    <cellStyle name="Normal 18 2 2" xfId="462"/>
    <cellStyle name="Normal 18 2 2 2" xfId="645"/>
    <cellStyle name="Normal 18 2 3" xfId="583"/>
    <cellStyle name="Normal 18 3" xfId="431"/>
    <cellStyle name="Normal 18 3 2" xfId="614"/>
    <cellStyle name="Normal 18 4" xfId="542"/>
    <cellStyle name="Normal 19" xfId="330"/>
    <cellStyle name="Normal 19 2" xfId="402"/>
    <cellStyle name="Normal 19 2 2" xfId="464"/>
    <cellStyle name="Normal 19 2 2 2" xfId="647"/>
    <cellStyle name="Normal 19 2 3" xfId="585"/>
    <cellStyle name="Normal 19 3" xfId="433"/>
    <cellStyle name="Normal 19 3 2" xfId="616"/>
    <cellStyle name="Normal 19 4" xfId="544"/>
    <cellStyle name="Normal 2" xfId="2"/>
    <cellStyle name="Normal 2 2" xfId="6"/>
    <cellStyle name="Normal 2 2 2" xfId="325"/>
    <cellStyle name="Normal 2 2 2 2" xfId="539"/>
    <cellStyle name="Normal 20" xfId="479"/>
    <cellStyle name="Normal 21" xfId="480"/>
    <cellStyle name="Normal 22" xfId="481"/>
    <cellStyle name="Normal 23" xfId="482"/>
    <cellStyle name="Normal 24" xfId="483"/>
    <cellStyle name="Normal 25" xfId="485"/>
    <cellStyle name="Normal 3" xfId="139"/>
    <cellStyle name="Normal 3 2" xfId="210"/>
    <cellStyle name="Normal 3 3" xfId="211"/>
    <cellStyle name="Normal 3 3 2" xfId="382"/>
    <cellStyle name="Normal 3 3 2 2" xfId="566"/>
    <cellStyle name="Normal 3 3 3" xfId="303"/>
    <cellStyle name="Normal 3 3 3 2" xfId="521"/>
    <cellStyle name="Normal 3 3 4" xfId="494"/>
    <cellStyle name="Normal 3 4" xfId="326"/>
    <cellStyle name="Normal 3 4 2" xfId="540"/>
    <cellStyle name="Normal 33" xfId="140"/>
    <cellStyle name="Normal 34" xfId="141"/>
    <cellStyle name="Normal 4" xfId="142"/>
    <cellStyle name="Normal 4 2" xfId="143"/>
    <cellStyle name="Normal 4 2 2" xfId="362"/>
    <cellStyle name="Normal 4 2 3" xfId="282"/>
    <cellStyle name="Normal 4 3" xfId="327"/>
    <cellStyle name="Normal 4 3 2" xfId="541"/>
    <cellStyle name="Normal 4 4" xfId="361"/>
    <cellStyle name="Normal 4 5" xfId="281"/>
    <cellStyle name="Normal 5" xfId="144"/>
    <cellStyle name="Normal 6" xfId="5"/>
    <cellStyle name="Normal 6 2" xfId="145"/>
    <cellStyle name="Normal 6 2 2" xfId="363"/>
    <cellStyle name="Normal 6 2 2 2" xfId="560"/>
    <cellStyle name="Normal 6 2 3" xfId="283"/>
    <cellStyle name="Normal 6 2 3 2" xfId="514"/>
    <cellStyle name="Normal 6 2 4" xfId="487"/>
    <cellStyle name="Normal 6 3" xfId="200"/>
    <cellStyle name="Normal 6 3 2" xfId="378"/>
    <cellStyle name="Normal 6 3 2 2" xfId="562"/>
    <cellStyle name="Normal 6 3 3" xfId="298"/>
    <cellStyle name="Normal 6 3 3 2" xfId="516"/>
    <cellStyle name="Normal 6 3 4" xfId="489"/>
    <cellStyle name="Normal 6 4" xfId="345"/>
    <cellStyle name="Normal 6 4 2" xfId="559"/>
    <cellStyle name="Normal 6 5" xfId="265"/>
    <cellStyle name="Normal 6 5 2" xfId="513"/>
    <cellStyle name="Normal 6 6" xfId="486"/>
    <cellStyle name="Normal 7" xfId="146"/>
    <cellStyle name="Normal 7 2" xfId="364"/>
    <cellStyle name="Normal 7 2 2" xfId="561"/>
    <cellStyle name="Normal 7 3" xfId="284"/>
    <cellStyle name="Normal 7 3 2" xfId="515"/>
    <cellStyle name="Normal 7 4" xfId="488"/>
    <cellStyle name="Normal 8" xfId="147"/>
    <cellStyle name="Normal 9" xfId="203"/>
    <cellStyle name="Normal_0112 No Link Exp" xfId="484"/>
    <cellStyle name="Normal_Debt Service" xfId="208"/>
    <cellStyle name="Note 2" xfId="257"/>
    <cellStyle name="Note 2 2" xfId="398"/>
    <cellStyle name="Note 2 2 2" xfId="461"/>
    <cellStyle name="Note 2 2 2 2" xfId="644"/>
    <cellStyle name="Note 2 2 3" xfId="582"/>
    <cellStyle name="Note 2 3" xfId="430"/>
    <cellStyle name="Note 2 3 2" xfId="613"/>
    <cellStyle name="Note 2 4" xfId="319"/>
    <cellStyle name="Note 2 4 2" xfId="537"/>
    <cellStyle name="Note 2 5" xfId="510"/>
    <cellStyle name="Note 3" xfId="331"/>
    <cellStyle name="Note 3 2" xfId="403"/>
    <cellStyle name="Note 3 2 2" xfId="465"/>
    <cellStyle name="Note 3 2 2 2" xfId="648"/>
    <cellStyle name="Note 3 2 3" xfId="586"/>
    <cellStyle name="Note 3 3" xfId="434"/>
    <cellStyle name="Note 3 3 2" xfId="617"/>
    <cellStyle name="Note 3 4" xfId="545"/>
    <cellStyle name="Output" xfId="224" builtinId="21" customBuiltin="1"/>
    <cellStyle name="Percent" xfId="198" builtinId="5"/>
    <cellStyle name="Percent [2]" xfId="148"/>
    <cellStyle name="Percent [2] 2" xfId="365"/>
    <cellStyle name="Percent [2] 3" xfId="285"/>
    <cellStyle name="Percent 2" xfId="149"/>
    <cellStyle name="Percent 2 2" xfId="366"/>
    <cellStyle name="Percent 2 3" xfId="286"/>
    <cellStyle name="Percent 3" xfId="150"/>
    <cellStyle name="Percent 3 2" xfId="151"/>
    <cellStyle name="Percent 3 2 2" xfId="368"/>
    <cellStyle name="Percent 3 2 3" xfId="288"/>
    <cellStyle name="Percent 3 3" xfId="367"/>
    <cellStyle name="Percent 3 4" xfId="287"/>
    <cellStyle name="Percent 4" xfId="152"/>
    <cellStyle name="Percent 5" xfId="153"/>
    <cellStyle name="Percent 6" xfId="154"/>
    <cellStyle name="Percent 7" xfId="207"/>
    <cellStyle name="Percent 7 2" xfId="381"/>
    <cellStyle name="Percent 7 2 2" xfId="565"/>
    <cellStyle name="Percent 7 3" xfId="302"/>
    <cellStyle name="Percent 7 3 2" xfId="520"/>
    <cellStyle name="Percent 7 4" xfId="493"/>
    <cellStyle name="Percent 8" xfId="261"/>
    <cellStyle name="PSChar" xfId="155"/>
    <cellStyle name="PSDate" xfId="156"/>
    <cellStyle name="PSDec" xfId="157"/>
    <cellStyle name="PSdesc" xfId="158"/>
    <cellStyle name="PSdesc 2" xfId="369"/>
    <cellStyle name="PSdesc 3" xfId="289"/>
    <cellStyle name="PSHeading" xfId="159"/>
    <cellStyle name="PSInt" xfId="160"/>
    <cellStyle name="PSSpacer" xfId="161"/>
    <cellStyle name="PStest" xfId="162"/>
    <cellStyle name="PStest 2" xfId="370"/>
    <cellStyle name="PStest 3" xfId="290"/>
    <cellStyle name="R00A" xfId="163"/>
    <cellStyle name="R00B" xfId="164"/>
    <cellStyle name="R00L" xfId="165"/>
    <cellStyle name="R01A" xfId="166"/>
    <cellStyle name="R01B" xfId="167"/>
    <cellStyle name="R01H" xfId="168"/>
    <cellStyle name="R01L" xfId="169"/>
    <cellStyle name="R02A" xfId="170"/>
    <cellStyle name="R02B" xfId="171"/>
    <cellStyle name="R02B 2" xfId="371"/>
    <cellStyle name="R02B 3" xfId="291"/>
    <cellStyle name="R02H" xfId="172"/>
    <cellStyle name="R02L" xfId="173"/>
    <cellStyle name="R03A" xfId="174"/>
    <cellStyle name="R03B" xfId="175"/>
    <cellStyle name="R03B 2" xfId="372"/>
    <cellStyle name="R03B 3" xfId="292"/>
    <cellStyle name="R03H" xfId="176"/>
    <cellStyle name="R03L" xfId="177"/>
    <cellStyle name="R04A" xfId="178"/>
    <cellStyle name="R04B" xfId="179"/>
    <cellStyle name="R04B 2" xfId="373"/>
    <cellStyle name="R04B 3" xfId="293"/>
    <cellStyle name="R04H" xfId="180"/>
    <cellStyle name="R04L" xfId="181"/>
    <cellStyle name="R05A" xfId="182"/>
    <cellStyle name="R05B" xfId="183"/>
    <cellStyle name="R05B 2" xfId="374"/>
    <cellStyle name="R05B 3" xfId="294"/>
    <cellStyle name="R05H" xfId="184"/>
    <cellStyle name="R05L" xfId="185"/>
    <cellStyle name="R05L 2" xfId="375"/>
    <cellStyle name="R05L 3" xfId="295"/>
    <cellStyle name="R06A" xfId="186"/>
    <cellStyle name="R06B" xfId="187"/>
    <cellStyle name="R06B 2" xfId="376"/>
    <cellStyle name="R06B 3" xfId="296"/>
    <cellStyle name="R06H" xfId="188"/>
    <cellStyle name="R06L" xfId="189"/>
    <cellStyle name="R07A" xfId="190"/>
    <cellStyle name="R07B" xfId="191"/>
    <cellStyle name="R07B 2" xfId="377"/>
    <cellStyle name="R07B 3" xfId="297"/>
    <cellStyle name="R07H" xfId="192"/>
    <cellStyle name="R07L" xfId="193"/>
    <cellStyle name="STYLE1" xfId="194"/>
    <cellStyle name="STYLE2" xfId="195"/>
    <cellStyle name="STYLE3" xfId="196"/>
    <cellStyle name="STYLE4" xfId="197"/>
    <cellStyle name="Title" xfId="215" builtinId="15" customBuiltin="1"/>
    <cellStyle name="Total" xfId="230" builtinId="25" customBuiltin="1"/>
    <cellStyle name="Warning Text" xfId="22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1" Type="http://schemas.openxmlformats.org/officeDocument/2006/relationships/styles" Target="styles.xml" />
  <Relationship Id="rId30" Type="http://schemas.openxmlformats.org/officeDocument/2006/relationships/theme" Target="theme/theme1.xml" />
  <Relationship Id="rId32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10" Type="http://schemas.openxmlformats.org/officeDocument/2006/relationships/worksheet" Target="worksheets/sheet10.xml" />
  <Relationship Id="rId11" Type="http://schemas.openxmlformats.org/officeDocument/2006/relationships/worksheet" Target="worksheets/sheet11.xml" />
  <Relationship Id="rId12" Type="http://schemas.openxmlformats.org/officeDocument/2006/relationships/worksheet" Target="worksheets/sheet12.xml" />
  <Relationship Id="rId13" Type="http://schemas.openxmlformats.org/officeDocument/2006/relationships/worksheet" Target="worksheets/sheet13.xml" />
  <Relationship Id="rId14" Type="http://schemas.openxmlformats.org/officeDocument/2006/relationships/worksheet" Target="worksheets/sheet14.xml" />
  <Relationship Id="rId15" Type="http://schemas.openxmlformats.org/officeDocument/2006/relationships/worksheet" Target="worksheets/sheet15.xml" />
  <Relationship Id="rId16" Type="http://schemas.openxmlformats.org/officeDocument/2006/relationships/worksheet" Target="worksheets/sheet16.xml" />
  <Relationship Id="rId17" Type="http://schemas.openxmlformats.org/officeDocument/2006/relationships/worksheet" Target="worksheets/sheet17.xml" />
  <Relationship Id="rId18" Type="http://schemas.openxmlformats.org/officeDocument/2006/relationships/worksheet" Target="worksheets/sheet18.xml" />
  <Relationship Id="rId19" Type="http://schemas.openxmlformats.org/officeDocument/2006/relationships/worksheet" Target="worksheets/sheet19.xml" />
  <Relationship Id="rId2" Type="http://schemas.openxmlformats.org/officeDocument/2006/relationships/worksheet" Target="worksheets/sheet2.xml" />
  <Relationship Id="rId20" Type="http://schemas.openxmlformats.org/officeDocument/2006/relationships/worksheet" Target="worksheets/sheet20.xml" />
  <Relationship Id="rId21" Type="http://schemas.openxmlformats.org/officeDocument/2006/relationships/worksheet" Target="worksheets/sheet21.xml" />
  <Relationship Id="rId22" Type="http://schemas.openxmlformats.org/officeDocument/2006/relationships/worksheet" Target="worksheets/sheet22.xml" />
  <Relationship Id="rId23" Type="http://schemas.openxmlformats.org/officeDocument/2006/relationships/worksheet" Target="worksheets/sheet23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26" Type="http://schemas.openxmlformats.org/officeDocument/2006/relationships/externalLink" Target="externalLinks/externalLink3.xml" />
  <Relationship Id="rId25" Type="http://schemas.openxmlformats.org/officeDocument/2006/relationships/externalLink" Target="externalLinks/externalLink2.xml" />
  <Relationship Id="rId33" Type="http://schemas.openxmlformats.org/officeDocument/2006/relationships/calcChain" Target="calcChain.xml" />
  <Relationship Id="rId29" Type="http://schemas.openxmlformats.org/officeDocument/2006/relationships/externalLink" Target="externalLinks/externalLink6.xml" />
  <Relationship Id="rId24" Type="http://schemas.openxmlformats.org/officeDocument/2006/relationships/externalLink" Target="externalLinks/externalLink1.xml" />
  <Relationship Id="rId28" Type="http://schemas.openxmlformats.org/officeDocument/2006/relationships/externalLink" Target="externalLinks/externalLink5.xml" />
  <Relationship Id="rId27" Type="http://schemas.openxmlformats.org/officeDocument/2006/relationships/externalLink" Target="externalLinks/externalLink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1143323</xdr:colOff>
      <xdr:row>16</xdr:row>
      <xdr:rowOff>65665</xdr:rowOff>
    </xdr:from>
    <xdr:to>
      <xdr:col>25</xdr:col>
      <xdr:colOff>1691963</xdr:colOff>
      <xdr:row>16</xdr:row>
      <xdr:rowOff>68580</xdr:rowOff>
    </xdr:to>
    <xdr:cxnSp macro="">
      <xdr:nvCxnSpPr>
        <xdr:cNvPr id="2" name="Straight Connector 1"/>
        <xdr:cNvCxnSpPr/>
      </xdr:nvCxnSpPr>
      <xdr:spPr>
        <a:xfrm>
          <a:off x="1514798" y="4170940"/>
          <a:ext cx="548640" cy="2915"/>
        </a:xfrm>
        <a:prstGeom prst="line">
          <a:avLst/>
        </a:prstGeom>
        <a:ln w="12700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oasis.oati.com/Financing%20Plan/2009/Documents%20and%20Settings/pkettles/My%20Documents/By%20State/Minnesota/Documents%20and%20Settings/mnguyen/My%20Documents/car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oasis.oati.com/RATE%20STUDY_1/dande%202_55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oasis.oati.com/Financing%20Plan/2009/Documents%20and%20Settings/pkettles/My%20Documents/By%20State/Minnesota/Documents%20and%20Settings/pkettles/Local%20Settings/Temporary%20Internet%20Files/OLKE/GF%2020031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oasis.oati.com/Financing%20Plan/2009/Capital%20Financing%20Model%20Slower%20Pace03-03-09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s://www.misoenergy.org/Documents%20and%20Settings/kshroyer/Local%20Settings/Temporary%20Internet%20Files/OLKF3/2002%20SECA%20Analysis%2012-2-2004%20SubZones%20v1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s://www.misoenergy.org/tariffs/2000/formula%20rates/NSP%20xcelcoss%20miso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ian TG Nov"/>
      <sheetName val="M002_001"/>
      <sheetName val="DANDE"/>
      <sheetName val="M002_006 (2)"/>
      <sheetName val="M002_011"/>
      <sheetName val="M002_002"/>
      <sheetName val="M002_003"/>
      <sheetName val="M002_004"/>
      <sheetName val="M002_005"/>
      <sheetName val="M002_006"/>
      <sheetName val="M002_007"/>
      <sheetName val="M002_008"/>
      <sheetName val="M002_00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apacity 2003"/>
      <sheetName val="Levy Limit"/>
      <sheetName val="Rev Summary"/>
      <sheetName val="Rev Detail"/>
      <sheetName val="2003 Summary"/>
      <sheetName val="Exp Summary"/>
      <sheetName val="Exp Detail"/>
      <sheetName val="Dept Summary (2)"/>
      <sheetName val="$200K Home"/>
      <sheetName val="Per Capit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Electric Fund Historical"/>
      <sheetName val="Electric Fund"/>
      <sheetName val="Water Fund Historical"/>
      <sheetName val="Water Fund"/>
      <sheetName val="Combined Utility"/>
      <sheetName val="Investments-Electric"/>
      <sheetName val="Investments-Water"/>
      <sheetName val="New Electric CIP Debt"/>
      <sheetName val="New Water CIP Debt"/>
      <sheetName val="Reserve Fund Estimate"/>
      <sheetName val="Existing Debt Service Schedule"/>
      <sheetName val="CIP Link"/>
      <sheetName val="CIPInpu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Year 11"/>
      <sheetName val="Year 12"/>
      <sheetName val="Year 13"/>
      <sheetName val="Year 14"/>
      <sheetName val="Year 15"/>
      <sheetName val="Electric Depreciation"/>
      <sheetName val="Water Depreciation"/>
      <sheetName val="Elec Exp"/>
      <sheetName val="Elec Rev"/>
      <sheetName val="Water Exp"/>
      <sheetName val="Water Rev"/>
    </sheetNames>
    <sheetDataSet>
      <sheetData sheetId="0"/>
      <sheetData sheetId="1"/>
      <sheetData sheetId="2">
        <row r="1">
          <cell r="D1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3.bin" />
  <Relationship Id="rId2" Type="http://schemas.openxmlformats.org/officeDocument/2006/relationships/hyperlink" Target="https://research.stlouisfed.org/fred2/series/USD1MTD156N" TargetMode="External" />
  <Relationship Id="rId1" Type="http://schemas.openxmlformats.org/officeDocument/2006/relationships/hyperlink" Target="http://www.ferc.gov/enforcement/acct-matts/interest-rates.asp" TargetMode="External" />
  <Relationship Id="rId4" Type="http://schemas.openxmlformats.org/officeDocument/2006/relationships/drawing" Target="../drawings/drawing1.xml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H45"/>
  <sheetViews>
    <sheetView showGridLines="0" zoomScaleNormal="100" workbookViewId="0">
      <selection activeCell="B8" sqref="B8"/>
    </sheetView>
  </sheetViews>
  <sheetFormatPr defaultColWidth="8.90625" defaultRowHeight="14.4"/>
  <cols>
    <col min="1" max="1" width="8.90625" style="185"/>
    <col min="2" max="2" width="40.81640625" style="185" customWidth="1"/>
    <col min="3" max="16384" width="8.90625" style="185"/>
  </cols>
  <sheetData>
    <row r="3" spans="1:8" ht="18">
      <c r="B3" s="183" t="s">
        <v>366</v>
      </c>
      <c r="C3" s="184"/>
    </row>
    <row r="4" spans="1:8" ht="18">
      <c r="B4" s="183" t="s">
        <v>198</v>
      </c>
      <c r="C4" s="184"/>
    </row>
    <row r="5" spans="1:8" ht="18">
      <c r="B5" s="183" t="s">
        <v>642</v>
      </c>
      <c r="C5" s="264"/>
    </row>
    <row r="10" spans="1:8" hidden="1">
      <c r="B10" s="663" t="s">
        <v>529</v>
      </c>
      <c r="C10" s="663"/>
      <c r="D10" s="663"/>
      <c r="E10" s="663"/>
    </row>
    <row r="11" spans="1:8" hidden="1">
      <c r="A11" s="522" t="s">
        <v>416</v>
      </c>
      <c r="B11" s="443" t="s">
        <v>530</v>
      </c>
      <c r="C11" s="443"/>
      <c r="D11" s="443"/>
      <c r="E11" s="443"/>
      <c r="H11" s="538"/>
    </row>
    <row r="12" spans="1:8" hidden="1"/>
    <row r="13" spans="1:8" hidden="1">
      <c r="A13" s="522" t="s">
        <v>416</v>
      </c>
      <c r="B13" s="443" t="s">
        <v>626</v>
      </c>
      <c r="C13" s="443"/>
      <c r="D13" s="443"/>
      <c r="E13" s="443"/>
    </row>
    <row r="14" spans="1:8" hidden="1">
      <c r="B14" s="443" t="s">
        <v>554</v>
      </c>
      <c r="C14" s="443"/>
      <c r="D14" s="443"/>
      <c r="E14" s="443"/>
    </row>
    <row r="15" spans="1:8" hidden="1"/>
    <row r="16" spans="1:8" hidden="1">
      <c r="A16" s="522" t="s">
        <v>416</v>
      </c>
      <c r="B16" s="613" t="s">
        <v>531</v>
      </c>
      <c r="C16" s="443"/>
      <c r="D16" s="443"/>
      <c r="E16" s="443"/>
    </row>
    <row r="17" spans="1:7" hidden="1">
      <c r="B17" s="443" t="s">
        <v>532</v>
      </c>
      <c r="C17" s="443"/>
      <c r="D17" s="443"/>
      <c r="E17" s="443"/>
    </row>
    <row r="18" spans="1:7" hidden="1"/>
    <row r="19" spans="1:7" hidden="1">
      <c r="A19" s="522" t="s">
        <v>416</v>
      </c>
      <c r="B19" s="613" t="s">
        <v>533</v>
      </c>
      <c r="C19" s="443"/>
      <c r="D19" s="443"/>
      <c r="E19" s="443"/>
    </row>
    <row r="20" spans="1:7" hidden="1">
      <c r="B20" s="443" t="s">
        <v>534</v>
      </c>
      <c r="C20" s="443"/>
      <c r="D20" s="443"/>
      <c r="E20" s="443"/>
    </row>
    <row r="29" spans="1:7" ht="15.6">
      <c r="A29" s="1"/>
      <c r="B29" s="2"/>
      <c r="C29" s="2"/>
      <c r="D29" s="2"/>
      <c r="E29" s="2"/>
      <c r="F29" s="2"/>
      <c r="G29" s="2"/>
    </row>
    <row r="30" spans="1:7" ht="15.6" hidden="1">
      <c r="A30" s="1"/>
      <c r="B30" s="259" t="s">
        <v>440</v>
      </c>
      <c r="C30" s="10"/>
      <c r="D30" s="10"/>
      <c r="E30" s="10"/>
      <c r="F30" s="10"/>
      <c r="G30" s="10"/>
    </row>
    <row r="31" spans="1:7" ht="16.2" hidden="1" thickBot="1">
      <c r="A31" s="1"/>
      <c r="B31" s="10"/>
      <c r="C31" s="10"/>
      <c r="D31" s="10"/>
      <c r="E31" s="10"/>
      <c r="F31" s="10"/>
      <c r="G31" s="10"/>
    </row>
    <row r="32" spans="1:7" ht="15.6" hidden="1">
      <c r="A32" s="1"/>
      <c r="B32" s="523" t="s">
        <v>476</v>
      </c>
      <c r="C32" s="524"/>
      <c r="D32" s="524"/>
      <c r="E32" s="525"/>
      <c r="F32" s="526"/>
      <c r="G32" s="534"/>
    </row>
    <row r="33" spans="1:7" ht="15.6" hidden="1">
      <c r="A33" s="1"/>
      <c r="B33" s="527" t="s">
        <v>441</v>
      </c>
      <c r="C33" s="260"/>
      <c r="D33" s="260"/>
      <c r="E33" s="261"/>
      <c r="F33" s="528"/>
      <c r="G33" s="261"/>
    </row>
    <row r="34" spans="1:7" ht="15.6" hidden="1">
      <c r="A34" s="1"/>
      <c r="B34" s="529" t="s">
        <v>477</v>
      </c>
      <c r="C34" s="260"/>
      <c r="D34" s="260"/>
      <c r="E34" s="261"/>
      <c r="F34" s="528"/>
      <c r="G34" s="261"/>
    </row>
    <row r="35" spans="1:7" ht="15.6" hidden="1">
      <c r="A35" s="1"/>
      <c r="B35" s="529" t="s">
        <v>452</v>
      </c>
      <c r="C35" s="260"/>
      <c r="D35" s="260"/>
      <c r="E35" s="261"/>
      <c r="F35" s="528"/>
      <c r="G35" s="261"/>
    </row>
    <row r="36" spans="1:7" ht="15.6" hidden="1">
      <c r="A36" s="1"/>
      <c r="B36" s="529"/>
      <c r="C36" s="260"/>
      <c r="D36" s="260"/>
      <c r="E36" s="261"/>
      <c r="F36" s="528"/>
      <c r="G36" s="261"/>
    </row>
    <row r="37" spans="1:7" ht="15.6" hidden="1">
      <c r="A37" s="1"/>
      <c r="B37" s="529" t="s">
        <v>438</v>
      </c>
      <c r="C37" s="260"/>
      <c r="D37" s="260"/>
      <c r="E37" s="261"/>
      <c r="F37" s="528"/>
      <c r="G37" s="261"/>
    </row>
    <row r="38" spans="1:7" ht="15.6" hidden="1">
      <c r="A38" s="1"/>
      <c r="B38" s="529" t="s">
        <v>453</v>
      </c>
      <c r="C38" s="260"/>
      <c r="D38" s="260"/>
      <c r="E38" s="261"/>
      <c r="F38" s="528"/>
      <c r="G38" s="261"/>
    </row>
    <row r="39" spans="1:7" ht="15.6" hidden="1">
      <c r="A39" s="1"/>
      <c r="B39" s="530">
        <v>42369</v>
      </c>
      <c r="C39" s="260" t="str">
        <f>TEXT(B39,"mm/dd/yyyy")</f>
        <v>12/31/2015</v>
      </c>
      <c r="D39" s="260"/>
      <c r="E39" s="262">
        <f>E40-1</f>
        <v>2015</v>
      </c>
      <c r="F39" s="528"/>
      <c r="G39" s="261"/>
    </row>
    <row r="40" spans="1:7" ht="15.6" hidden="1">
      <c r="A40" s="1"/>
      <c r="B40" s="530">
        <v>42735</v>
      </c>
      <c r="C40" s="260" t="str">
        <f>TEXT(B40,"mm/dd/yyyy")</f>
        <v>12/31/2016</v>
      </c>
      <c r="D40" s="260"/>
      <c r="E40" s="262">
        <v>2016</v>
      </c>
      <c r="F40" s="528"/>
      <c r="G40" s="261"/>
    </row>
    <row r="41" spans="1:7" ht="15.6" hidden="1">
      <c r="A41" s="1"/>
      <c r="B41" s="530">
        <v>43100</v>
      </c>
      <c r="C41" s="260" t="str">
        <f>TEXT(B41,"mm/dd/yyyy")</f>
        <v>12/31/2017</v>
      </c>
      <c r="D41" s="260"/>
      <c r="E41" s="262">
        <v>2017</v>
      </c>
      <c r="F41" s="528"/>
      <c r="G41" s="261"/>
    </row>
    <row r="42" spans="1:7" ht="16.2" hidden="1" thickBot="1">
      <c r="A42" s="1"/>
      <c r="B42" s="531"/>
      <c r="C42" s="532"/>
      <c r="D42" s="532"/>
      <c r="E42" s="532"/>
      <c r="F42" s="533"/>
      <c r="G42" s="261"/>
    </row>
    <row r="43" spans="1:7" ht="15.6" hidden="1">
      <c r="A43" s="1"/>
      <c r="B43" s="535"/>
      <c r="C43" s="260"/>
      <c r="D43" s="260"/>
      <c r="E43" s="253"/>
      <c r="F43" s="261"/>
      <c r="G43" s="261"/>
    </row>
    <row r="44" spans="1:7" ht="15.6">
      <c r="A44" s="1"/>
      <c r="B44" s="260"/>
      <c r="C44" s="260"/>
      <c r="D44" s="260"/>
      <c r="E44" s="261"/>
      <c r="F44" s="261"/>
      <c r="G44" s="261"/>
    </row>
    <row r="45" spans="1:7" ht="15.6">
      <c r="A45" s="1"/>
      <c r="B45" s="260"/>
      <c r="C45" s="260"/>
      <c r="D45" s="260"/>
      <c r="E45" s="261"/>
      <c r="F45" s="261"/>
      <c r="G45" s="261"/>
    </row>
  </sheetData>
  <mergeCells count="1">
    <mergeCell ref="B10:E10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R26"/>
  <sheetViews>
    <sheetView showGridLines="0" zoomScaleNormal="100" workbookViewId="0">
      <selection activeCell="P4" sqref="P4"/>
    </sheetView>
  </sheetViews>
  <sheetFormatPr defaultColWidth="8.90625" defaultRowHeight="14.4"/>
  <cols>
    <col min="1" max="1" width="1.81640625" style="186" customWidth="1"/>
    <col min="2" max="2" width="5.6328125" style="186" customWidth="1"/>
    <col min="3" max="3" width="1.1796875" style="186" customWidth="1"/>
    <col min="4" max="4" width="10.81640625" style="186" customWidth="1"/>
    <col min="5" max="5" width="1.90625" style="186" customWidth="1"/>
    <col min="6" max="6" width="8.6328125" style="186" customWidth="1"/>
    <col min="7" max="8" width="1.1796875" style="186" customWidth="1"/>
    <col min="9" max="9" width="14.54296875" style="186" customWidth="1"/>
    <col min="10" max="10" width="1.08984375" style="186" customWidth="1"/>
    <col min="11" max="11" width="13.1796875" style="186" customWidth="1"/>
    <col min="12" max="12" width="1.453125" style="186" customWidth="1"/>
    <col min="13" max="13" width="9.453125" style="186" customWidth="1"/>
    <col min="14" max="16384" width="8.90625" style="186"/>
  </cols>
  <sheetData>
    <row r="1" spans="2:15" ht="7.5" customHeight="1"/>
    <row r="2" spans="2:15" ht="5.25" customHeight="1"/>
    <row r="3" spans="2:15" ht="15.6">
      <c r="B3" s="700" t="str">
        <f>Coversheet!B3</f>
        <v>Rochester Public Utilities</v>
      </c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</row>
    <row r="4" spans="2:15" ht="15.6">
      <c r="B4" s="700" t="s">
        <v>478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</row>
    <row r="5" spans="2:15" ht="15.6">
      <c r="B5" s="700" t="s">
        <v>642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</row>
    <row r="6" spans="2:15" ht="15.6">
      <c r="B6" s="415"/>
      <c r="C6" s="415"/>
      <c r="D6" s="415"/>
      <c r="E6" s="415"/>
      <c r="F6" s="415"/>
      <c r="G6" s="415"/>
      <c r="H6" s="415"/>
      <c r="I6" s="602"/>
      <c r="J6" s="602"/>
    </row>
    <row r="7" spans="2:15" ht="15.6">
      <c r="B7" s="187"/>
      <c r="C7" s="187"/>
      <c r="D7" s="187"/>
      <c r="E7" s="187"/>
      <c r="F7" s="187"/>
      <c r="G7" s="701" t="s">
        <v>615</v>
      </c>
      <c r="H7" s="701"/>
      <c r="I7" s="701"/>
      <c r="J7" s="701"/>
      <c r="K7" s="701"/>
      <c r="L7" s="701"/>
      <c r="M7" s="701"/>
    </row>
    <row r="8" spans="2:15" s="190" customFormat="1" ht="46.8">
      <c r="B8" s="385" t="s">
        <v>199</v>
      </c>
      <c r="C8" s="418"/>
      <c r="D8" s="385" t="s">
        <v>200</v>
      </c>
      <c r="E8" s="418"/>
      <c r="F8" s="385" t="s">
        <v>201</v>
      </c>
      <c r="G8" s="418"/>
      <c r="H8" s="418"/>
      <c r="I8" s="385" t="s">
        <v>623</v>
      </c>
      <c r="J8" s="418"/>
      <c r="K8" s="385" t="s">
        <v>624</v>
      </c>
      <c r="M8" s="385" t="s">
        <v>616</v>
      </c>
      <c r="N8" s="601"/>
      <c r="O8" s="601"/>
    </row>
    <row r="9" spans="2:15" s="190" customFormat="1" ht="15.6">
      <c r="B9" s="418"/>
      <c r="C9" s="418"/>
      <c r="D9" s="420"/>
      <c r="E9" s="418"/>
      <c r="F9" s="420"/>
      <c r="G9" s="418"/>
      <c r="H9" s="418"/>
      <c r="I9" s="420" t="s">
        <v>614</v>
      </c>
      <c r="J9" s="418"/>
      <c r="K9" s="420" t="s">
        <v>432</v>
      </c>
      <c r="M9" s="420" t="s">
        <v>433</v>
      </c>
      <c r="N9" s="186"/>
      <c r="O9" s="225"/>
    </row>
    <row r="10" spans="2:15" ht="14.7" customHeight="1">
      <c r="B10" s="358">
        <v>1</v>
      </c>
      <c r="C10" s="417"/>
      <c r="D10" s="358" t="s">
        <v>186</v>
      </c>
      <c r="E10" s="358"/>
      <c r="F10" s="368">
        <f>Coversheet!E40</f>
        <v>2016</v>
      </c>
      <c r="G10" s="368"/>
      <c r="H10" s="416"/>
      <c r="I10" s="474">
        <v>174215</v>
      </c>
      <c r="J10" s="603"/>
      <c r="K10" s="474">
        <v>0</v>
      </c>
      <c r="M10" s="416">
        <f t="shared" ref="M10:M21" si="0">SUM(I10:K10)</f>
        <v>174215</v>
      </c>
      <c r="O10" s="226"/>
    </row>
    <row r="11" spans="2:15" ht="15.6">
      <c r="B11" s="358">
        <v>2</v>
      </c>
      <c r="C11" s="417"/>
      <c r="D11" s="358" t="s">
        <v>187</v>
      </c>
      <c r="E11" s="358"/>
      <c r="F11" s="358">
        <f>F10</f>
        <v>2016</v>
      </c>
      <c r="G11" s="358"/>
      <c r="H11" s="416"/>
      <c r="I11" s="474">
        <v>168550</v>
      </c>
      <c r="J11" s="603"/>
      <c r="K11" s="474">
        <v>0</v>
      </c>
      <c r="M11" s="416">
        <f t="shared" si="0"/>
        <v>168550</v>
      </c>
      <c r="O11" s="226"/>
    </row>
    <row r="12" spans="2:15" ht="15.6">
      <c r="B12" s="358">
        <v>3</v>
      </c>
      <c r="C12" s="358"/>
      <c r="D12" s="358" t="s">
        <v>188</v>
      </c>
      <c r="E12" s="358"/>
      <c r="F12" s="358">
        <f>F11</f>
        <v>2016</v>
      </c>
      <c r="G12" s="358"/>
      <c r="H12" s="416"/>
      <c r="I12" s="474">
        <v>159840</v>
      </c>
      <c r="J12" s="603"/>
      <c r="K12" s="474">
        <v>0</v>
      </c>
      <c r="M12" s="416">
        <f t="shared" si="0"/>
        <v>159840</v>
      </c>
      <c r="O12" s="226"/>
    </row>
    <row r="13" spans="2:15" ht="15.6">
      <c r="B13" s="358">
        <v>4</v>
      </c>
      <c r="C13" s="358"/>
      <c r="D13" s="358" t="s">
        <v>189</v>
      </c>
      <c r="E13" s="358"/>
      <c r="F13" s="358">
        <f t="shared" ref="F13:F21" si="1">F12</f>
        <v>2016</v>
      </c>
      <c r="G13" s="358"/>
      <c r="H13" s="416"/>
      <c r="I13" s="474">
        <v>169368</v>
      </c>
      <c r="J13" s="603"/>
      <c r="K13" s="474">
        <v>0</v>
      </c>
      <c r="M13" s="416">
        <f t="shared" si="0"/>
        <v>169368</v>
      </c>
      <c r="O13" s="226"/>
    </row>
    <row r="14" spans="2:15" ht="15.6">
      <c r="B14" s="358">
        <v>5</v>
      </c>
      <c r="C14" s="358"/>
      <c r="D14" s="358" t="s">
        <v>190</v>
      </c>
      <c r="E14" s="358"/>
      <c r="F14" s="358">
        <f t="shared" si="1"/>
        <v>2016</v>
      </c>
      <c r="G14" s="358"/>
      <c r="H14" s="416"/>
      <c r="I14" s="474">
        <v>187915</v>
      </c>
      <c r="J14" s="603"/>
      <c r="K14" s="474">
        <v>0</v>
      </c>
      <c r="M14" s="416">
        <f t="shared" si="0"/>
        <v>187915</v>
      </c>
      <c r="O14" s="226"/>
    </row>
    <row r="15" spans="2:15" ht="15.6">
      <c r="B15" s="358">
        <v>6</v>
      </c>
      <c r="C15" s="358"/>
      <c r="D15" s="358" t="s">
        <v>191</v>
      </c>
      <c r="E15" s="358"/>
      <c r="F15" s="358">
        <f t="shared" si="1"/>
        <v>2016</v>
      </c>
      <c r="G15" s="358"/>
      <c r="H15" s="416"/>
      <c r="I15" s="474">
        <v>216000</v>
      </c>
      <c r="J15" s="603"/>
      <c r="K15" s="474">
        <v>40901.599999999999</v>
      </c>
      <c r="M15" s="416">
        <f t="shared" si="0"/>
        <v>256901.6</v>
      </c>
      <c r="O15" s="226"/>
    </row>
    <row r="16" spans="2:15" ht="15.6">
      <c r="B16" s="358">
        <v>7</v>
      </c>
      <c r="C16" s="358"/>
      <c r="D16" s="358" t="s">
        <v>192</v>
      </c>
      <c r="E16" s="358"/>
      <c r="F16" s="358">
        <f t="shared" si="1"/>
        <v>2016</v>
      </c>
      <c r="G16" s="358"/>
      <c r="H16" s="416"/>
      <c r="I16" s="474">
        <v>216000</v>
      </c>
      <c r="J16" s="603"/>
      <c r="K16" s="474">
        <v>57914.400000000001</v>
      </c>
      <c r="M16" s="416">
        <f t="shared" si="0"/>
        <v>273914.40000000002</v>
      </c>
      <c r="O16" s="226"/>
    </row>
    <row r="17" spans="2:18" ht="15.6">
      <c r="B17" s="358">
        <v>8</v>
      </c>
      <c r="C17" s="358"/>
      <c r="D17" s="358" t="s">
        <v>193</v>
      </c>
      <c r="E17" s="358"/>
      <c r="F17" s="358">
        <f t="shared" si="1"/>
        <v>2016</v>
      </c>
      <c r="G17" s="358"/>
      <c r="H17" s="416"/>
      <c r="I17" s="474">
        <v>216000</v>
      </c>
      <c r="J17" s="603"/>
      <c r="K17" s="474">
        <v>42746</v>
      </c>
      <c r="M17" s="416">
        <f t="shared" si="0"/>
        <v>258746</v>
      </c>
      <c r="O17" s="226"/>
    </row>
    <row r="18" spans="2:18" ht="15.6">
      <c r="B18" s="358">
        <v>9</v>
      </c>
      <c r="C18" s="358"/>
      <c r="D18" s="358" t="s">
        <v>194</v>
      </c>
      <c r="E18" s="358"/>
      <c r="F18" s="358">
        <f t="shared" si="1"/>
        <v>2016</v>
      </c>
      <c r="G18" s="358"/>
      <c r="H18" s="416"/>
      <c r="I18" s="474">
        <v>216000</v>
      </c>
      <c r="J18" s="603"/>
      <c r="K18" s="474">
        <v>6496</v>
      </c>
      <c r="M18" s="416">
        <f t="shared" si="0"/>
        <v>222496</v>
      </c>
      <c r="O18" s="226"/>
    </row>
    <row r="19" spans="2:18" ht="15.6">
      <c r="B19" s="358">
        <v>10</v>
      </c>
      <c r="C19" s="358"/>
      <c r="D19" s="358" t="s">
        <v>195</v>
      </c>
      <c r="E19" s="358"/>
      <c r="F19" s="358">
        <f t="shared" si="1"/>
        <v>2016</v>
      </c>
      <c r="G19" s="358"/>
      <c r="H19" s="416"/>
      <c r="I19" s="474">
        <v>176645</v>
      </c>
      <c r="J19" s="603"/>
      <c r="K19" s="474">
        <v>0</v>
      </c>
      <c r="M19" s="416">
        <f t="shared" si="0"/>
        <v>176645</v>
      </c>
      <c r="O19" s="226"/>
    </row>
    <row r="20" spans="2:18" ht="15.6">
      <c r="B20" s="358">
        <v>11</v>
      </c>
      <c r="C20" s="358"/>
      <c r="D20" s="358" t="s">
        <v>196</v>
      </c>
      <c r="E20" s="358"/>
      <c r="F20" s="358">
        <f t="shared" si="1"/>
        <v>2016</v>
      </c>
      <c r="G20" s="358"/>
      <c r="H20" s="416"/>
      <c r="I20" s="474">
        <v>165970</v>
      </c>
      <c r="J20" s="603"/>
      <c r="K20" s="474">
        <v>0</v>
      </c>
      <c r="M20" s="416">
        <f t="shared" si="0"/>
        <v>165970</v>
      </c>
      <c r="O20" s="226"/>
    </row>
    <row r="21" spans="2:18" ht="15.6">
      <c r="B21" s="358">
        <v>12</v>
      </c>
      <c r="C21" s="358"/>
      <c r="D21" s="358" t="s">
        <v>197</v>
      </c>
      <c r="E21" s="358"/>
      <c r="F21" s="358">
        <f t="shared" si="1"/>
        <v>2016</v>
      </c>
      <c r="G21" s="358"/>
      <c r="H21" s="416"/>
      <c r="I21" s="475">
        <v>181825</v>
      </c>
      <c r="J21" s="603"/>
      <c r="K21" s="475">
        <v>0</v>
      </c>
      <c r="M21" s="416">
        <f t="shared" si="0"/>
        <v>181825</v>
      </c>
    </row>
    <row r="22" spans="2:18" ht="15.6">
      <c r="B22" s="358"/>
      <c r="C22" s="358"/>
      <c r="D22" s="372"/>
      <c r="E22" s="372"/>
      <c r="F22" s="372"/>
      <c r="G22" s="372"/>
      <c r="H22" s="419"/>
      <c r="I22" s="358"/>
      <c r="J22" s="372"/>
      <c r="K22" s="603"/>
      <c r="M22" s="379"/>
      <c r="O22" s="476"/>
      <c r="P22" s="421"/>
    </row>
    <row r="23" spans="2:18" ht="18" thickBot="1">
      <c r="B23" s="358">
        <f>B21+1</f>
        <v>13</v>
      </c>
      <c r="C23" s="358"/>
      <c r="D23" s="349" t="s">
        <v>202</v>
      </c>
      <c r="E23" s="415"/>
      <c r="F23" s="348"/>
      <c r="G23" s="348"/>
      <c r="H23" s="380"/>
      <c r="I23" s="604">
        <f>SUM(I10:I21)/12</f>
        <v>187360.66666666666</v>
      </c>
      <c r="J23" s="380"/>
      <c r="K23" s="605">
        <f>SUM(K10:K21)/12</f>
        <v>12338.166666666666</v>
      </c>
      <c r="M23" s="380">
        <f>SUM(M10:M21)/12</f>
        <v>199698.83333333334</v>
      </c>
      <c r="O23" s="476" t="s">
        <v>617</v>
      </c>
      <c r="Q23" s="421"/>
      <c r="R23" s="421"/>
    </row>
    <row r="24" spans="2:18" ht="16.2" thickTop="1">
      <c r="B24" s="372"/>
      <c r="C24" s="372"/>
      <c r="E24" s="372"/>
      <c r="F24" s="372"/>
      <c r="G24" s="372"/>
      <c r="H24" s="372"/>
    </row>
    <row r="25" spans="2:18" ht="15.6">
      <c r="B25" s="372"/>
      <c r="C25" s="372"/>
      <c r="D25" s="372"/>
      <c r="E25" s="372"/>
      <c r="F25" s="372"/>
      <c r="G25" s="372"/>
      <c r="H25" s="381"/>
      <c r="I25" s="372"/>
      <c r="J25" s="372"/>
      <c r="K25" s="372"/>
    </row>
    <row r="26" spans="2:18" ht="6.75" customHeight="1">
      <c r="I26" s="372"/>
      <c r="J26" s="372"/>
      <c r="K26" s="372"/>
    </row>
  </sheetData>
  <mergeCells count="4">
    <mergeCell ref="B3:M3"/>
    <mergeCell ref="B4:M4"/>
    <mergeCell ref="B5:M5"/>
    <mergeCell ref="G7:M7"/>
  </mergeCells>
  <pageMargins left="0.7" right="0.45" top="1" bottom="0.75" header="0.3" footer="0.3"/>
  <pageSetup scale="93" orientation="landscape" r:id="rId1"/>
  <headerFooter>
    <oddHeader>&amp;L&amp;"Arial MT,Bold"Rochester Public Utilities
2016 Work Papers&amp;R&amp;"Arial MT,Bold"Exhibit RPU-8
Page 6 of 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C1:P70"/>
  <sheetViews>
    <sheetView showGridLines="0" zoomScale="80" zoomScaleNormal="80" workbookViewId="0">
      <selection activeCell="E7" sqref="E7"/>
    </sheetView>
  </sheetViews>
  <sheetFormatPr defaultColWidth="8.90625" defaultRowHeight="14.4"/>
  <cols>
    <col min="1" max="1" width="4.453125" style="186" customWidth="1"/>
    <col min="2" max="2" width="1.08984375" style="186" customWidth="1"/>
    <col min="3" max="3" width="3.453125" style="186" customWidth="1"/>
    <col min="4" max="4" width="14.08984375" style="186" bestFit="1" customWidth="1"/>
    <col min="5" max="5" width="4.08984375" style="186" customWidth="1"/>
    <col min="6" max="12" width="14.36328125" style="186" customWidth="1"/>
    <col min="13" max="13" width="7.81640625" style="186" bestFit="1" customWidth="1"/>
    <col min="14" max="14" width="7.08984375" style="186" bestFit="1" customWidth="1"/>
    <col min="15" max="15" width="14.36328125" style="186" customWidth="1"/>
    <col min="16" max="16" width="2.6328125" style="186" bestFit="1" customWidth="1"/>
    <col min="17" max="16384" width="8.90625" style="186"/>
  </cols>
  <sheetData>
    <row r="1" spans="3:16" ht="15.6">
      <c r="C1" s="702" t="str">
        <f>Coversheet!B3</f>
        <v>Rochester Public Utilities</v>
      </c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</row>
    <row r="2" spans="3:16" ht="15.6">
      <c r="C2" s="702" t="s">
        <v>503</v>
      </c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</row>
    <row r="3" spans="3:16" ht="15.6">
      <c r="C3" s="702" t="s">
        <v>644</v>
      </c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</row>
    <row r="5" spans="3:16" ht="44.25" customHeight="1">
      <c r="C5" s="189" t="s">
        <v>199</v>
      </c>
      <c r="D5" s="189" t="s">
        <v>203</v>
      </c>
      <c r="E5" s="189" t="s">
        <v>201</v>
      </c>
      <c r="F5" s="189" t="s">
        <v>204</v>
      </c>
      <c r="G5" s="189" t="s">
        <v>396</v>
      </c>
      <c r="H5" s="189" t="s">
        <v>397</v>
      </c>
      <c r="I5" s="274" t="s">
        <v>495</v>
      </c>
      <c r="J5" s="189" t="s">
        <v>6</v>
      </c>
      <c r="K5" s="189" t="s">
        <v>185</v>
      </c>
      <c r="L5" s="189" t="s">
        <v>205</v>
      </c>
      <c r="M5" s="189" t="s">
        <v>206</v>
      </c>
      <c r="N5" s="189" t="s">
        <v>207</v>
      </c>
      <c r="O5" s="189" t="s">
        <v>208</v>
      </c>
    </row>
    <row r="6" spans="3:16" ht="15">
      <c r="C6" s="275">
        <v>1</v>
      </c>
      <c r="D6" s="273" t="s">
        <v>197</v>
      </c>
      <c r="E6" s="289">
        <f>Coversheet!E39</f>
        <v>2015</v>
      </c>
      <c r="F6" s="469">
        <f>'Plant Sched 4'!C15</f>
        <v>109279113</v>
      </c>
      <c r="G6" s="471">
        <v>21760638</v>
      </c>
      <c r="H6" s="469">
        <v>15776740</v>
      </c>
      <c r="I6" s="246">
        <v>1928351</v>
      </c>
      <c r="J6" s="246">
        <f>G6+H6+I6</f>
        <v>39465729</v>
      </c>
      <c r="K6" s="469">
        <v>138840766</v>
      </c>
      <c r="L6" s="469">
        <v>45431426</v>
      </c>
      <c r="M6" s="246">
        <v>0</v>
      </c>
      <c r="N6" s="246">
        <v>0</v>
      </c>
      <c r="O6" s="249">
        <f t="shared" ref="O6:O18" si="0">F6+J6+K6+L6+M6+N6</f>
        <v>333017034</v>
      </c>
    </row>
    <row r="7" spans="3:16" ht="15">
      <c r="C7" s="275">
        <v>2</v>
      </c>
      <c r="D7" s="275" t="s">
        <v>186</v>
      </c>
      <c r="E7" s="290">
        <f>Coversheet!E40</f>
        <v>2016</v>
      </c>
      <c r="F7" s="470">
        <v>109279113</v>
      </c>
      <c r="G7" s="470">
        <v>21760638</v>
      </c>
      <c r="H7" s="470">
        <v>15776740</v>
      </c>
      <c r="I7" s="276">
        <v>1928351</v>
      </c>
      <c r="J7" s="276">
        <f>G7+H7+I7</f>
        <v>39465729</v>
      </c>
      <c r="K7" s="470">
        <v>140881833</v>
      </c>
      <c r="L7" s="470">
        <v>45958055</v>
      </c>
      <c r="M7" s="276">
        <v>0</v>
      </c>
      <c r="N7" s="276">
        <v>0</v>
      </c>
      <c r="O7" s="249">
        <f t="shared" si="0"/>
        <v>335584730</v>
      </c>
    </row>
    <row r="8" spans="3:16" ht="15.6">
      <c r="C8" s="275">
        <v>3</v>
      </c>
      <c r="D8" s="191" t="s">
        <v>187</v>
      </c>
      <c r="E8" s="290">
        <f>E7</f>
        <v>2016</v>
      </c>
      <c r="F8" s="470">
        <v>109279113</v>
      </c>
      <c r="G8" s="470">
        <v>21760638</v>
      </c>
      <c r="H8" s="470">
        <v>15776740</v>
      </c>
      <c r="I8" s="276">
        <v>1928351</v>
      </c>
      <c r="J8" s="276">
        <f t="shared" ref="J8:J18" si="1">G8+H8+I8</f>
        <v>39465729</v>
      </c>
      <c r="K8" s="470">
        <v>141560880</v>
      </c>
      <c r="L8" s="470">
        <v>46061877</v>
      </c>
      <c r="M8" s="276">
        <v>0</v>
      </c>
      <c r="N8" s="276">
        <v>0</v>
      </c>
      <c r="O8" s="249">
        <f t="shared" si="0"/>
        <v>336367599</v>
      </c>
      <c r="P8"/>
    </row>
    <row r="9" spans="3:16" s="190" customFormat="1" ht="15.6">
      <c r="C9" s="275">
        <v>4</v>
      </c>
      <c r="D9" s="191" t="s">
        <v>188</v>
      </c>
      <c r="E9" s="290">
        <f t="shared" ref="E9:E18" si="2">E8</f>
        <v>2016</v>
      </c>
      <c r="F9" s="470">
        <v>109270183</v>
      </c>
      <c r="G9" s="470">
        <v>25082357</v>
      </c>
      <c r="H9" s="470">
        <v>15776740</v>
      </c>
      <c r="I9" s="276">
        <v>1928351</v>
      </c>
      <c r="J9" s="276">
        <f t="shared" si="1"/>
        <v>42787448</v>
      </c>
      <c r="K9" s="470">
        <v>141773164</v>
      </c>
      <c r="L9" s="470">
        <v>46061877</v>
      </c>
      <c r="M9" s="276">
        <v>0</v>
      </c>
      <c r="N9" s="276">
        <v>0</v>
      </c>
      <c r="O9" s="249">
        <f t="shared" si="0"/>
        <v>339892672</v>
      </c>
      <c r="P9"/>
    </row>
    <row r="10" spans="3:16" s="190" customFormat="1" ht="15.6">
      <c r="C10" s="275">
        <v>5</v>
      </c>
      <c r="D10" s="191" t="s">
        <v>189</v>
      </c>
      <c r="E10" s="290">
        <f t="shared" si="2"/>
        <v>2016</v>
      </c>
      <c r="F10" s="470">
        <v>109270183</v>
      </c>
      <c r="G10" s="470">
        <v>25082357</v>
      </c>
      <c r="H10" s="470">
        <v>15776740</v>
      </c>
      <c r="I10" s="276">
        <v>1928351</v>
      </c>
      <c r="J10" s="276">
        <f t="shared" si="1"/>
        <v>42787448</v>
      </c>
      <c r="K10" s="470">
        <v>142085294</v>
      </c>
      <c r="L10" s="470">
        <v>46137282</v>
      </c>
      <c r="M10" s="276">
        <v>0</v>
      </c>
      <c r="N10" s="276">
        <v>0</v>
      </c>
      <c r="O10" s="249">
        <f t="shared" si="0"/>
        <v>340280207</v>
      </c>
      <c r="P10"/>
    </row>
    <row r="11" spans="3:16" ht="15.6">
      <c r="C11" s="275">
        <v>6</v>
      </c>
      <c r="D11" s="191" t="s">
        <v>190</v>
      </c>
      <c r="E11" s="290">
        <f t="shared" si="2"/>
        <v>2016</v>
      </c>
      <c r="F11" s="470">
        <v>109270183</v>
      </c>
      <c r="G11" s="470">
        <v>25082357</v>
      </c>
      <c r="H11" s="470">
        <v>15776740</v>
      </c>
      <c r="I11" s="276">
        <v>1928351</v>
      </c>
      <c r="J11" s="276">
        <f t="shared" si="1"/>
        <v>42787448</v>
      </c>
      <c r="K11" s="470">
        <v>142077418</v>
      </c>
      <c r="L11" s="470">
        <v>46193335</v>
      </c>
      <c r="M11" s="276">
        <v>0</v>
      </c>
      <c r="N11" s="276">
        <v>0</v>
      </c>
      <c r="O11" s="249">
        <f t="shared" si="0"/>
        <v>340328384</v>
      </c>
      <c r="P11"/>
    </row>
    <row r="12" spans="3:16" ht="15.6">
      <c r="C12" s="275">
        <v>7</v>
      </c>
      <c r="D12" s="191" t="s">
        <v>191</v>
      </c>
      <c r="E12" s="290">
        <f t="shared" si="2"/>
        <v>2016</v>
      </c>
      <c r="F12" s="470">
        <v>109270183</v>
      </c>
      <c r="G12" s="470">
        <v>25082357</v>
      </c>
      <c r="H12" s="470">
        <v>15776740</v>
      </c>
      <c r="I12" s="276">
        <v>1928351</v>
      </c>
      <c r="J12" s="276">
        <f t="shared" si="1"/>
        <v>42787448</v>
      </c>
      <c r="K12" s="470">
        <v>142886287</v>
      </c>
      <c r="L12" s="470">
        <v>46193335</v>
      </c>
      <c r="M12" s="276">
        <v>0</v>
      </c>
      <c r="N12" s="276">
        <v>0</v>
      </c>
      <c r="O12" s="249">
        <f t="shared" si="0"/>
        <v>341137253</v>
      </c>
      <c r="P12"/>
    </row>
    <row r="13" spans="3:16" ht="15.6">
      <c r="C13" s="275">
        <v>8</v>
      </c>
      <c r="D13" s="191" t="s">
        <v>192</v>
      </c>
      <c r="E13" s="290">
        <f t="shared" si="2"/>
        <v>2016</v>
      </c>
      <c r="F13" s="470">
        <v>109270183</v>
      </c>
      <c r="G13" s="470">
        <v>25082357</v>
      </c>
      <c r="H13" s="470">
        <v>15776740</v>
      </c>
      <c r="I13" s="276">
        <v>1928351</v>
      </c>
      <c r="J13" s="276">
        <f t="shared" si="1"/>
        <v>42787448</v>
      </c>
      <c r="K13" s="470">
        <v>142861104</v>
      </c>
      <c r="L13" s="470">
        <v>46228531</v>
      </c>
      <c r="M13" s="276">
        <v>0</v>
      </c>
      <c r="N13" s="276">
        <v>0</v>
      </c>
      <c r="O13" s="249">
        <f t="shared" si="0"/>
        <v>341147266</v>
      </c>
      <c r="P13"/>
    </row>
    <row r="14" spans="3:16" ht="15.6">
      <c r="C14" s="275">
        <v>9</v>
      </c>
      <c r="D14" s="191" t="s">
        <v>193</v>
      </c>
      <c r="E14" s="290">
        <f t="shared" si="2"/>
        <v>2016</v>
      </c>
      <c r="F14" s="470">
        <v>109270183</v>
      </c>
      <c r="G14" s="470">
        <v>25082357</v>
      </c>
      <c r="H14" s="470">
        <v>15776740</v>
      </c>
      <c r="I14" s="276">
        <v>1928351</v>
      </c>
      <c r="J14" s="276">
        <f t="shared" si="1"/>
        <v>42787448</v>
      </c>
      <c r="K14" s="470">
        <v>142857888</v>
      </c>
      <c r="L14" s="470">
        <v>46491259</v>
      </c>
      <c r="M14" s="276">
        <v>0</v>
      </c>
      <c r="N14" s="276">
        <v>0</v>
      </c>
      <c r="O14" s="249">
        <f t="shared" si="0"/>
        <v>341406778</v>
      </c>
      <c r="P14"/>
    </row>
    <row r="15" spans="3:16" ht="15.6">
      <c r="C15" s="275">
        <v>10</v>
      </c>
      <c r="D15" s="191" t="s">
        <v>194</v>
      </c>
      <c r="E15" s="290">
        <f t="shared" si="2"/>
        <v>2016</v>
      </c>
      <c r="F15" s="470">
        <v>109270183</v>
      </c>
      <c r="G15" s="470">
        <v>25082357</v>
      </c>
      <c r="H15" s="470">
        <v>15776740</v>
      </c>
      <c r="I15" s="276">
        <v>1928351</v>
      </c>
      <c r="J15" s="276">
        <f t="shared" si="1"/>
        <v>42787448</v>
      </c>
      <c r="K15" s="470">
        <v>142836328</v>
      </c>
      <c r="L15" s="470">
        <v>46491259</v>
      </c>
      <c r="M15" s="276">
        <v>0</v>
      </c>
      <c r="N15" s="276">
        <v>0</v>
      </c>
      <c r="O15" s="249">
        <f t="shared" si="0"/>
        <v>341385218</v>
      </c>
      <c r="P15"/>
    </row>
    <row r="16" spans="3:16" ht="15.6">
      <c r="C16" s="275">
        <v>11</v>
      </c>
      <c r="D16" s="191" t="s">
        <v>195</v>
      </c>
      <c r="E16" s="290">
        <f t="shared" si="2"/>
        <v>2016</v>
      </c>
      <c r="F16" s="470">
        <v>109270183</v>
      </c>
      <c r="G16" s="470">
        <v>25082357</v>
      </c>
      <c r="H16" s="470">
        <v>15776740</v>
      </c>
      <c r="I16" s="276">
        <v>1928351</v>
      </c>
      <c r="J16" s="276">
        <f t="shared" si="1"/>
        <v>42787448</v>
      </c>
      <c r="K16" s="470">
        <v>142845060</v>
      </c>
      <c r="L16" s="470">
        <v>46491259</v>
      </c>
      <c r="M16" s="276">
        <v>0</v>
      </c>
      <c r="N16" s="276">
        <v>0</v>
      </c>
      <c r="O16" s="249">
        <f t="shared" si="0"/>
        <v>341393950</v>
      </c>
      <c r="P16"/>
    </row>
    <row r="17" spans="3:16" ht="15.6">
      <c r="C17" s="275">
        <v>12</v>
      </c>
      <c r="D17" s="191" t="s">
        <v>196</v>
      </c>
      <c r="E17" s="290">
        <f t="shared" si="2"/>
        <v>2016</v>
      </c>
      <c r="F17" s="470">
        <v>109270183</v>
      </c>
      <c r="G17" s="470">
        <v>25082357</v>
      </c>
      <c r="H17" s="470">
        <v>15776740</v>
      </c>
      <c r="I17" s="276">
        <v>1928351</v>
      </c>
      <c r="J17" s="276">
        <f t="shared" si="1"/>
        <v>42787448</v>
      </c>
      <c r="K17" s="470">
        <v>142824324</v>
      </c>
      <c r="L17" s="470">
        <v>46661020</v>
      </c>
      <c r="M17" s="276">
        <v>0</v>
      </c>
      <c r="N17" s="276">
        <v>0</v>
      </c>
      <c r="O17" s="249">
        <f t="shared" si="0"/>
        <v>341542975</v>
      </c>
      <c r="P17"/>
    </row>
    <row r="18" spans="3:16" ht="15.6">
      <c r="C18" s="275">
        <v>13</v>
      </c>
      <c r="D18" s="191" t="s">
        <v>197</v>
      </c>
      <c r="E18" s="290">
        <f t="shared" si="2"/>
        <v>2016</v>
      </c>
      <c r="F18" s="470">
        <v>109265570</v>
      </c>
      <c r="G18" s="470">
        <v>43647942</v>
      </c>
      <c r="H18" s="470">
        <v>24255786</v>
      </c>
      <c r="I18" s="276">
        <v>1928351</v>
      </c>
      <c r="J18" s="276">
        <f t="shared" si="1"/>
        <v>69832079</v>
      </c>
      <c r="K18" s="470">
        <v>145063686</v>
      </c>
      <c r="L18" s="470">
        <v>49435779</v>
      </c>
      <c r="M18" s="276">
        <v>0</v>
      </c>
      <c r="N18" s="276">
        <v>0</v>
      </c>
      <c r="O18" s="249">
        <f t="shared" si="0"/>
        <v>373597114</v>
      </c>
      <c r="P18"/>
    </row>
    <row r="19" spans="3:16" ht="15">
      <c r="C19" s="275">
        <v>14</v>
      </c>
      <c r="D19" s="277"/>
      <c r="E19" s="277"/>
      <c r="F19" s="609">
        <f>F18-'Plant Sched 4'!G15</f>
        <v>0</v>
      </c>
      <c r="G19" s="278"/>
      <c r="H19" s="278"/>
      <c r="I19" s="278"/>
      <c r="J19" s="609">
        <f>J18-'Plant Sched 4'!G17</f>
        <v>0</v>
      </c>
      <c r="K19" s="609">
        <f>K18-'Plant Sched 4'!G18</f>
        <v>0</v>
      </c>
      <c r="L19" s="609">
        <f>L18-'Plant Sched 4'!G19</f>
        <v>0</v>
      </c>
      <c r="M19" s="278"/>
      <c r="N19" s="277"/>
      <c r="O19" s="609">
        <f>O18-'Plant Sched 4'!G25</f>
        <v>0</v>
      </c>
      <c r="P19" s="253"/>
    </row>
    <row r="20" spans="3:16" ht="16.2">
      <c r="C20" s="275">
        <v>15</v>
      </c>
      <c r="D20" s="263" t="s">
        <v>209</v>
      </c>
      <c r="E20" s="192"/>
      <c r="F20" s="279">
        <f>SUM(F6:F18)/13</f>
        <v>109271888.92307693</v>
      </c>
      <c r="G20" s="279">
        <f t="shared" ref="G20" si="3">SUM(G6:G18)/13</f>
        <v>25743928.384615384</v>
      </c>
      <c r="H20" s="279">
        <f t="shared" ref="H20:O20" si="4">SUM(H6:H18)/13</f>
        <v>16428974.307692308</v>
      </c>
      <c r="I20" s="279">
        <f t="shared" si="4"/>
        <v>1928351</v>
      </c>
      <c r="J20" s="279">
        <f t="shared" si="4"/>
        <v>44101253.692307696</v>
      </c>
      <c r="K20" s="279">
        <f t="shared" si="4"/>
        <v>142261079.38461539</v>
      </c>
      <c r="L20" s="279">
        <f t="shared" si="4"/>
        <v>46448945.692307696</v>
      </c>
      <c r="M20" s="279">
        <f t="shared" si="4"/>
        <v>0</v>
      </c>
      <c r="N20" s="195">
        <f t="shared" si="4"/>
        <v>0</v>
      </c>
      <c r="O20" s="195">
        <f t="shared" si="4"/>
        <v>342083167.69230771</v>
      </c>
      <c r="P20" s="253"/>
    </row>
    <row r="21" spans="3:16" ht="15">
      <c r="C21" s="277"/>
      <c r="D21" s="196" t="s">
        <v>210</v>
      </c>
      <c r="E21" s="196"/>
      <c r="F21" s="472" t="s">
        <v>211</v>
      </c>
      <c r="G21" s="244"/>
      <c r="H21" s="472" t="s">
        <v>398</v>
      </c>
      <c r="I21" s="244"/>
      <c r="J21" s="472" t="s">
        <v>212</v>
      </c>
      <c r="K21" s="472" t="s">
        <v>213</v>
      </c>
      <c r="L21" s="472" t="s">
        <v>214</v>
      </c>
      <c r="M21" s="472" t="s">
        <v>214</v>
      </c>
      <c r="N21" s="473" t="s">
        <v>215</v>
      </c>
      <c r="O21" s="196"/>
      <c r="P21"/>
    </row>
    <row r="22" spans="3:16" ht="15">
      <c r="C22" s="277"/>
      <c r="D22" s="277"/>
      <c r="E22" s="277"/>
      <c r="F22" s="278"/>
      <c r="G22" s="278"/>
      <c r="H22" s="472" t="s">
        <v>399</v>
      </c>
      <c r="I22" s="244"/>
      <c r="J22" s="278"/>
      <c r="K22" s="278"/>
      <c r="L22" s="278"/>
      <c r="M22" s="278"/>
      <c r="N22" s="277"/>
      <c r="O22" s="277"/>
      <c r="P22"/>
    </row>
    <row r="23" spans="3:16" ht="43.2">
      <c r="C23" s="189" t="s">
        <v>199</v>
      </c>
      <c r="D23" s="189" t="s">
        <v>216</v>
      </c>
      <c r="E23" s="189" t="s">
        <v>201</v>
      </c>
      <c r="F23" s="280" t="s">
        <v>204</v>
      </c>
      <c r="G23" s="280" t="s">
        <v>396</v>
      </c>
      <c r="H23" s="280" t="s">
        <v>397</v>
      </c>
      <c r="I23" s="274" t="s">
        <v>536</v>
      </c>
      <c r="J23" s="280" t="s">
        <v>537</v>
      </c>
      <c r="K23" s="280" t="s">
        <v>185</v>
      </c>
      <c r="L23" s="280" t="s">
        <v>205</v>
      </c>
      <c r="M23" s="280" t="s">
        <v>206</v>
      </c>
      <c r="N23" s="189" t="s">
        <v>207</v>
      </c>
      <c r="O23" s="189" t="s">
        <v>217</v>
      </c>
      <c r="P23"/>
    </row>
    <row r="24" spans="3:16" ht="15">
      <c r="C24" s="275">
        <v>16</v>
      </c>
      <c r="D24" s="273" t="s">
        <v>197</v>
      </c>
      <c r="E24" s="289">
        <f>E6</f>
        <v>2015</v>
      </c>
      <c r="F24" s="469">
        <v>86352122</v>
      </c>
      <c r="G24" s="469">
        <v>11300765</v>
      </c>
      <c r="H24" s="469">
        <v>251438</v>
      </c>
      <c r="I24" s="469">
        <v>690820</v>
      </c>
      <c r="J24" s="246">
        <f>G24+H24+I24</f>
        <v>12243023</v>
      </c>
      <c r="K24" s="469">
        <v>64392857</v>
      </c>
      <c r="L24" s="469">
        <v>27352754</v>
      </c>
      <c r="M24" s="246">
        <v>0</v>
      </c>
      <c r="N24" s="246">
        <v>0</v>
      </c>
      <c r="O24" s="249">
        <f t="shared" ref="O24:O36" si="5">F24+J24+K24+L24+M24+N24</f>
        <v>190340756</v>
      </c>
      <c r="P24"/>
    </row>
    <row r="25" spans="3:16" ht="15">
      <c r="C25" s="275">
        <v>17</v>
      </c>
      <c r="D25" s="275" t="s">
        <v>186</v>
      </c>
      <c r="E25" s="290">
        <f>E7</f>
        <v>2016</v>
      </c>
      <c r="F25" s="470">
        <v>86454923</v>
      </c>
      <c r="G25" s="470">
        <v>11344557</v>
      </c>
      <c r="H25" s="470">
        <v>286714</v>
      </c>
      <c r="I25" s="470">
        <v>695091</v>
      </c>
      <c r="J25" s="246">
        <f t="shared" ref="J25:J36" si="6">G25+H25+I25</f>
        <v>12326362</v>
      </c>
      <c r="K25" s="470">
        <v>64709385</v>
      </c>
      <c r="L25" s="470">
        <v>27557977</v>
      </c>
      <c r="M25" s="281">
        <v>0</v>
      </c>
      <c r="N25" s="276">
        <v>0</v>
      </c>
      <c r="O25" s="249">
        <f t="shared" si="5"/>
        <v>191048647</v>
      </c>
      <c r="P25"/>
    </row>
    <row r="26" spans="3:16" ht="15.6">
      <c r="C26" s="275">
        <v>18</v>
      </c>
      <c r="D26" s="191" t="s">
        <v>187</v>
      </c>
      <c r="E26" s="290">
        <f t="shared" ref="E26:E36" si="7">E8</f>
        <v>2016</v>
      </c>
      <c r="F26" s="470">
        <v>86557724</v>
      </c>
      <c r="G26" s="470">
        <v>11388349</v>
      </c>
      <c r="H26" s="470">
        <v>321989</v>
      </c>
      <c r="I26" s="470">
        <v>699363</v>
      </c>
      <c r="J26" s="246">
        <f t="shared" si="6"/>
        <v>12409701</v>
      </c>
      <c r="K26" s="470">
        <v>64991203</v>
      </c>
      <c r="L26" s="470">
        <v>27763694</v>
      </c>
      <c r="M26" s="281">
        <v>0</v>
      </c>
      <c r="N26" s="276">
        <v>0</v>
      </c>
      <c r="O26" s="249">
        <f t="shared" si="5"/>
        <v>191722322</v>
      </c>
      <c r="P26"/>
    </row>
    <row r="27" spans="3:16" ht="15.6">
      <c r="C27" s="275">
        <v>19</v>
      </c>
      <c r="D27" s="191" t="s">
        <v>188</v>
      </c>
      <c r="E27" s="290">
        <f t="shared" si="7"/>
        <v>2016</v>
      </c>
      <c r="F27" s="470">
        <v>86659696</v>
      </c>
      <c r="G27" s="470">
        <v>11432142</v>
      </c>
      <c r="H27" s="470">
        <v>357265</v>
      </c>
      <c r="I27" s="470">
        <v>703634</v>
      </c>
      <c r="J27" s="246">
        <f t="shared" si="6"/>
        <v>12493041</v>
      </c>
      <c r="K27" s="470">
        <v>65305369</v>
      </c>
      <c r="L27" s="470">
        <v>27969567</v>
      </c>
      <c r="M27" s="281">
        <v>0</v>
      </c>
      <c r="N27" s="276">
        <v>0</v>
      </c>
      <c r="O27" s="249">
        <f t="shared" si="5"/>
        <v>192427673</v>
      </c>
      <c r="P27"/>
    </row>
    <row r="28" spans="3:16" ht="15.6">
      <c r="C28" s="275">
        <v>20</v>
      </c>
      <c r="D28" s="191" t="s">
        <v>189</v>
      </c>
      <c r="E28" s="290">
        <f t="shared" si="7"/>
        <v>2016</v>
      </c>
      <c r="F28" s="470">
        <v>86762475</v>
      </c>
      <c r="G28" s="470">
        <v>11475933</v>
      </c>
      <c r="H28" s="470">
        <v>392540</v>
      </c>
      <c r="I28" s="470">
        <v>707905</v>
      </c>
      <c r="J28" s="246">
        <f t="shared" si="6"/>
        <v>12576378</v>
      </c>
      <c r="K28" s="470">
        <v>65591458</v>
      </c>
      <c r="L28" s="470">
        <v>28174996</v>
      </c>
      <c r="M28" s="281">
        <v>0</v>
      </c>
      <c r="N28" s="276">
        <v>0</v>
      </c>
      <c r="O28" s="249">
        <f t="shared" si="5"/>
        <v>193105307</v>
      </c>
      <c r="P28"/>
    </row>
    <row r="29" spans="3:16" ht="15.6">
      <c r="C29" s="275">
        <v>21</v>
      </c>
      <c r="D29" s="191" t="s">
        <v>190</v>
      </c>
      <c r="E29" s="290">
        <f t="shared" si="7"/>
        <v>2016</v>
      </c>
      <c r="F29" s="470">
        <v>86865255</v>
      </c>
      <c r="G29" s="470">
        <v>11522079</v>
      </c>
      <c r="H29" s="470">
        <v>427816</v>
      </c>
      <c r="I29" s="470">
        <v>712176</v>
      </c>
      <c r="J29" s="246">
        <f t="shared" si="6"/>
        <v>12662071</v>
      </c>
      <c r="K29" s="470">
        <v>65871431</v>
      </c>
      <c r="L29" s="470">
        <v>28379824</v>
      </c>
      <c r="M29" s="281">
        <v>0</v>
      </c>
      <c r="N29" s="276">
        <v>0</v>
      </c>
      <c r="O29" s="249">
        <f t="shared" si="5"/>
        <v>193778581</v>
      </c>
      <c r="P29"/>
    </row>
    <row r="30" spans="3:16" ht="15.6">
      <c r="C30" s="275">
        <v>22</v>
      </c>
      <c r="D30" s="191" t="s">
        <v>191</v>
      </c>
      <c r="E30" s="290">
        <f t="shared" si="7"/>
        <v>2016</v>
      </c>
      <c r="F30" s="470">
        <v>86968035</v>
      </c>
      <c r="G30" s="470">
        <v>11566814</v>
      </c>
      <c r="H30" s="470">
        <v>463092</v>
      </c>
      <c r="I30" s="470">
        <v>716447</v>
      </c>
      <c r="J30" s="246">
        <f t="shared" si="6"/>
        <v>12746353</v>
      </c>
      <c r="K30" s="470">
        <v>66166787</v>
      </c>
      <c r="L30" s="470">
        <v>28586295</v>
      </c>
      <c r="M30" s="281">
        <v>0</v>
      </c>
      <c r="N30" s="276">
        <v>0</v>
      </c>
      <c r="O30" s="249">
        <f t="shared" si="5"/>
        <v>194467470</v>
      </c>
      <c r="P30"/>
    </row>
    <row r="31" spans="3:16" ht="15.6">
      <c r="C31" s="275">
        <v>23</v>
      </c>
      <c r="D31" s="191" t="s">
        <v>192</v>
      </c>
      <c r="E31" s="290">
        <f t="shared" si="7"/>
        <v>2016</v>
      </c>
      <c r="F31" s="470">
        <v>87070815</v>
      </c>
      <c r="G31" s="470">
        <v>11611547</v>
      </c>
      <c r="H31" s="470">
        <v>498367</v>
      </c>
      <c r="I31" s="470">
        <v>720719</v>
      </c>
      <c r="J31" s="246">
        <f t="shared" si="6"/>
        <v>12830633</v>
      </c>
      <c r="K31" s="470">
        <v>66480789</v>
      </c>
      <c r="L31" s="470">
        <v>28796062</v>
      </c>
      <c r="M31" s="281">
        <v>0</v>
      </c>
      <c r="N31" s="276">
        <v>0</v>
      </c>
      <c r="O31" s="249">
        <f t="shared" si="5"/>
        <v>195178299</v>
      </c>
      <c r="P31"/>
    </row>
    <row r="32" spans="3:16" ht="15.6">
      <c r="C32" s="275">
        <v>24</v>
      </c>
      <c r="D32" s="191" t="s">
        <v>193</v>
      </c>
      <c r="E32" s="290">
        <f t="shared" si="7"/>
        <v>2016</v>
      </c>
      <c r="F32" s="470">
        <v>87173594</v>
      </c>
      <c r="G32" s="470">
        <v>11656280</v>
      </c>
      <c r="H32" s="470">
        <v>533643</v>
      </c>
      <c r="I32" s="470">
        <v>724990</v>
      </c>
      <c r="J32" s="246">
        <f t="shared" si="6"/>
        <v>12914913</v>
      </c>
      <c r="K32" s="470">
        <v>66778661</v>
      </c>
      <c r="L32" s="470">
        <v>29011541</v>
      </c>
      <c r="M32" s="281">
        <v>0</v>
      </c>
      <c r="N32" s="276">
        <v>0</v>
      </c>
      <c r="O32" s="249">
        <f t="shared" si="5"/>
        <v>195878709</v>
      </c>
      <c r="P32"/>
    </row>
    <row r="33" spans="3:16" ht="15.6">
      <c r="C33" s="275">
        <v>25</v>
      </c>
      <c r="D33" s="191" t="s">
        <v>194</v>
      </c>
      <c r="E33" s="290">
        <f t="shared" si="7"/>
        <v>2016</v>
      </c>
      <c r="F33" s="470">
        <v>87276374</v>
      </c>
      <c r="G33" s="470">
        <v>11701015</v>
      </c>
      <c r="H33" s="470">
        <v>568919</v>
      </c>
      <c r="I33" s="470">
        <v>729261</v>
      </c>
      <c r="J33" s="246">
        <f t="shared" si="6"/>
        <v>12999195</v>
      </c>
      <c r="K33" s="470">
        <v>67081620</v>
      </c>
      <c r="L33" s="470">
        <v>29223804</v>
      </c>
      <c r="M33" s="281">
        <v>0</v>
      </c>
      <c r="N33" s="276">
        <v>0</v>
      </c>
      <c r="O33" s="249">
        <f t="shared" si="5"/>
        <v>196580993</v>
      </c>
      <c r="P33"/>
    </row>
    <row r="34" spans="3:16" ht="15.6">
      <c r="C34" s="275">
        <v>26</v>
      </c>
      <c r="D34" s="191" t="s">
        <v>195</v>
      </c>
      <c r="E34" s="290">
        <f t="shared" si="7"/>
        <v>2016</v>
      </c>
      <c r="F34" s="470">
        <v>87379154</v>
      </c>
      <c r="G34" s="470">
        <v>11745748</v>
      </c>
      <c r="H34" s="470">
        <v>604194</v>
      </c>
      <c r="I34" s="470">
        <v>733532</v>
      </c>
      <c r="J34" s="246">
        <f t="shared" si="6"/>
        <v>13083474</v>
      </c>
      <c r="K34" s="470">
        <v>67352656</v>
      </c>
      <c r="L34" s="470">
        <v>29436239</v>
      </c>
      <c r="M34" s="281">
        <v>0</v>
      </c>
      <c r="N34" s="276">
        <v>0</v>
      </c>
      <c r="O34" s="249">
        <f t="shared" si="5"/>
        <v>197251523</v>
      </c>
      <c r="P34"/>
    </row>
    <row r="35" spans="3:16" ht="15.6">
      <c r="C35" s="275">
        <v>27</v>
      </c>
      <c r="D35" s="191" t="s">
        <v>196</v>
      </c>
      <c r="E35" s="290">
        <f t="shared" si="7"/>
        <v>2016</v>
      </c>
      <c r="F35" s="470">
        <v>87481934</v>
      </c>
      <c r="G35" s="470">
        <v>11790481</v>
      </c>
      <c r="H35" s="470">
        <v>639470</v>
      </c>
      <c r="I35" s="470">
        <v>737804</v>
      </c>
      <c r="J35" s="246">
        <f t="shared" si="6"/>
        <v>13167755</v>
      </c>
      <c r="K35" s="470">
        <v>67529708</v>
      </c>
      <c r="L35" s="470">
        <v>29661976</v>
      </c>
      <c r="M35" s="281">
        <v>0</v>
      </c>
      <c r="N35" s="276">
        <v>0</v>
      </c>
      <c r="O35" s="249">
        <f t="shared" si="5"/>
        <v>197841373</v>
      </c>
      <c r="P35"/>
    </row>
    <row r="36" spans="3:16" ht="15.6">
      <c r="C36" s="275">
        <v>28</v>
      </c>
      <c r="D36" s="191" t="s">
        <v>197</v>
      </c>
      <c r="E36" s="290">
        <f t="shared" si="7"/>
        <v>2016</v>
      </c>
      <c r="F36" s="470">
        <v>87584708</v>
      </c>
      <c r="G36" s="470">
        <v>12065602</v>
      </c>
      <c r="H36" s="470">
        <v>674746</v>
      </c>
      <c r="I36" s="470">
        <v>742075</v>
      </c>
      <c r="J36" s="246">
        <f t="shared" si="6"/>
        <v>13482423</v>
      </c>
      <c r="K36" s="470">
        <v>67840370</v>
      </c>
      <c r="L36" s="470">
        <v>29910296</v>
      </c>
      <c r="M36" s="281">
        <v>0</v>
      </c>
      <c r="N36" s="276">
        <v>0</v>
      </c>
      <c r="O36" s="249">
        <f t="shared" si="5"/>
        <v>198817797</v>
      </c>
      <c r="P36"/>
    </row>
    <row r="37" spans="3:16" ht="15">
      <c r="C37" s="275">
        <v>29</v>
      </c>
      <c r="D37" s="277"/>
      <c r="E37" s="277"/>
      <c r="F37" s="609">
        <f>F36-'Plant Sched 4'!I15</f>
        <v>0</v>
      </c>
      <c r="G37" s="277"/>
      <c r="H37" s="277"/>
      <c r="I37" s="277"/>
      <c r="J37" s="609">
        <f>J36-'Plant Sched 4'!I17</f>
        <v>0</v>
      </c>
      <c r="K37" s="609">
        <f>K36-'Plant Sched 4'!I18</f>
        <v>0</v>
      </c>
      <c r="L37" s="609">
        <f>L36-'Plant Sched 4'!I19</f>
        <v>0</v>
      </c>
      <c r="M37" s="277"/>
      <c r="N37" s="277"/>
      <c r="O37" s="609">
        <f>O36-'Plant Sched 4'!I25</f>
        <v>0</v>
      </c>
      <c r="P37"/>
    </row>
    <row r="38" spans="3:16" ht="16.2">
      <c r="C38" s="275">
        <v>30</v>
      </c>
      <c r="D38" s="263" t="s">
        <v>209</v>
      </c>
      <c r="E38" s="192"/>
      <c r="F38" s="195">
        <f>SUM(F24:F36)/13</f>
        <v>86968216.076923072</v>
      </c>
      <c r="G38" s="195">
        <f t="shared" ref="G38" si="8">SUM(G24:G36)/13</f>
        <v>11584716.307692308</v>
      </c>
      <c r="H38" s="195">
        <f t="shared" ref="H38:O38" si="9">SUM(H24:H36)/13</f>
        <v>463091.76923076925</v>
      </c>
      <c r="I38" s="195">
        <f t="shared" si="9"/>
        <v>716447.4615384615</v>
      </c>
      <c r="J38" s="195">
        <f t="shared" si="9"/>
        <v>12764255.538461538</v>
      </c>
      <c r="K38" s="195">
        <f t="shared" si="9"/>
        <v>66160945.692307696</v>
      </c>
      <c r="L38" s="195">
        <f t="shared" si="9"/>
        <v>28601925</v>
      </c>
      <c r="M38" s="195">
        <f t="shared" si="9"/>
        <v>0</v>
      </c>
      <c r="N38" s="195">
        <f t="shared" si="9"/>
        <v>0</v>
      </c>
      <c r="O38" s="195">
        <f t="shared" si="9"/>
        <v>194495342.30769232</v>
      </c>
    </row>
    <row r="39" spans="3:16" ht="15">
      <c r="C39" s="277"/>
      <c r="D39" s="196" t="s">
        <v>210</v>
      </c>
      <c r="E39" s="196"/>
      <c r="F39" s="473" t="s">
        <v>218</v>
      </c>
      <c r="G39" s="196"/>
      <c r="H39" s="196"/>
      <c r="I39" s="196"/>
      <c r="K39" s="473" t="s">
        <v>219</v>
      </c>
      <c r="L39" s="473" t="s">
        <v>220</v>
      </c>
      <c r="M39" s="473" t="s">
        <v>220</v>
      </c>
      <c r="N39" s="473" t="s">
        <v>221</v>
      </c>
      <c r="O39" s="277"/>
      <c r="P39"/>
    </row>
    <row r="40" spans="3:16" ht="43.2">
      <c r="C40" s="189" t="s">
        <v>199</v>
      </c>
      <c r="D40" s="189" t="s">
        <v>222</v>
      </c>
      <c r="E40" s="189" t="s">
        <v>201</v>
      </c>
      <c r="F40" s="189" t="s">
        <v>204</v>
      </c>
      <c r="G40" s="189" t="s">
        <v>396</v>
      </c>
      <c r="H40" s="189" t="s">
        <v>397</v>
      </c>
      <c r="I40" s="280" t="s">
        <v>496</v>
      </c>
      <c r="J40" s="189" t="s">
        <v>400</v>
      </c>
      <c r="K40" s="189" t="s">
        <v>185</v>
      </c>
      <c r="L40" s="189" t="s">
        <v>205</v>
      </c>
      <c r="M40" s="189" t="s">
        <v>206</v>
      </c>
      <c r="N40" s="189" t="s">
        <v>207</v>
      </c>
      <c r="O40" s="189" t="s">
        <v>223</v>
      </c>
      <c r="P40"/>
    </row>
    <row r="41" spans="3:16" ht="15">
      <c r="C41" s="275">
        <v>31</v>
      </c>
      <c r="D41" s="273" t="s">
        <v>197</v>
      </c>
      <c r="E41" s="290">
        <f>E24</f>
        <v>2015</v>
      </c>
      <c r="F41" s="193">
        <f>F6-F24</f>
        <v>22926991</v>
      </c>
      <c r="G41" s="193">
        <f t="shared" ref="G41:I53" si="10">G6-G24</f>
        <v>10459873</v>
      </c>
      <c r="H41" s="193">
        <f t="shared" si="10"/>
        <v>15525302</v>
      </c>
      <c r="I41" s="193">
        <f t="shared" si="10"/>
        <v>1237531</v>
      </c>
      <c r="J41" s="193">
        <f>G41+H41+I41</f>
        <v>27222706</v>
      </c>
      <c r="K41" s="193">
        <f t="shared" ref="K41:O53" si="11">K6-K24</f>
        <v>74447909</v>
      </c>
      <c r="L41" s="193">
        <f t="shared" si="11"/>
        <v>18078672</v>
      </c>
      <c r="M41" s="193">
        <f t="shared" si="11"/>
        <v>0</v>
      </c>
      <c r="N41" s="193">
        <f t="shared" si="11"/>
        <v>0</v>
      </c>
      <c r="O41" s="193">
        <f t="shared" si="11"/>
        <v>142676278</v>
      </c>
      <c r="P41"/>
    </row>
    <row r="42" spans="3:16" ht="15">
      <c r="C42" s="275">
        <v>32</v>
      </c>
      <c r="D42" s="275" t="s">
        <v>186</v>
      </c>
      <c r="E42" s="290">
        <f>E25</f>
        <v>2016</v>
      </c>
      <c r="F42" s="193">
        <f t="shared" ref="F42:O53" si="12">F7-F25</f>
        <v>22824190</v>
      </c>
      <c r="G42" s="193">
        <f t="shared" si="10"/>
        <v>10416081</v>
      </c>
      <c r="H42" s="193">
        <f t="shared" si="10"/>
        <v>15490026</v>
      </c>
      <c r="I42" s="193">
        <f t="shared" si="10"/>
        <v>1233260</v>
      </c>
      <c r="J42" s="193">
        <f t="shared" ref="J42:J53" si="13">G42+H42+I42</f>
        <v>27139367</v>
      </c>
      <c r="K42" s="193">
        <f t="shared" si="12"/>
        <v>76172448</v>
      </c>
      <c r="L42" s="193">
        <f t="shared" si="12"/>
        <v>18400078</v>
      </c>
      <c r="M42" s="193">
        <f t="shared" si="11"/>
        <v>0</v>
      </c>
      <c r="N42" s="193">
        <f t="shared" si="12"/>
        <v>0</v>
      </c>
      <c r="O42" s="193">
        <f t="shared" si="12"/>
        <v>144536083</v>
      </c>
      <c r="P42"/>
    </row>
    <row r="43" spans="3:16" ht="15.6">
      <c r="C43" s="275">
        <v>33</v>
      </c>
      <c r="D43" s="191" t="s">
        <v>187</v>
      </c>
      <c r="E43" s="290">
        <f t="shared" ref="E43:E53" si="14">E25</f>
        <v>2016</v>
      </c>
      <c r="F43" s="193">
        <f t="shared" si="12"/>
        <v>22721389</v>
      </c>
      <c r="G43" s="193">
        <f t="shared" si="10"/>
        <v>10372289</v>
      </c>
      <c r="H43" s="193">
        <f t="shared" si="10"/>
        <v>15454751</v>
      </c>
      <c r="I43" s="193">
        <f t="shared" si="10"/>
        <v>1228988</v>
      </c>
      <c r="J43" s="193">
        <f t="shared" si="13"/>
        <v>27056028</v>
      </c>
      <c r="K43" s="193">
        <f t="shared" si="12"/>
        <v>76569677</v>
      </c>
      <c r="L43" s="193">
        <f t="shared" si="12"/>
        <v>18298183</v>
      </c>
      <c r="M43" s="193">
        <f t="shared" si="11"/>
        <v>0</v>
      </c>
      <c r="N43" s="193">
        <f t="shared" si="12"/>
        <v>0</v>
      </c>
      <c r="O43" s="193">
        <f t="shared" si="12"/>
        <v>144645277</v>
      </c>
      <c r="P43"/>
    </row>
    <row r="44" spans="3:16" ht="15.6">
      <c r="C44" s="275">
        <v>34</v>
      </c>
      <c r="D44" s="191" t="s">
        <v>188</v>
      </c>
      <c r="E44" s="290">
        <f t="shared" si="14"/>
        <v>2016</v>
      </c>
      <c r="F44" s="193">
        <f t="shared" si="12"/>
        <v>22610487</v>
      </c>
      <c r="G44" s="193">
        <f t="shared" si="10"/>
        <v>13650215</v>
      </c>
      <c r="H44" s="193">
        <f t="shared" si="10"/>
        <v>15419475</v>
      </c>
      <c r="I44" s="193">
        <f t="shared" si="10"/>
        <v>1224717</v>
      </c>
      <c r="J44" s="193">
        <f t="shared" si="13"/>
        <v>30294407</v>
      </c>
      <c r="K44" s="193">
        <f t="shared" si="12"/>
        <v>76467795</v>
      </c>
      <c r="L44" s="193">
        <f t="shared" si="12"/>
        <v>18092310</v>
      </c>
      <c r="M44" s="193">
        <f t="shared" si="11"/>
        <v>0</v>
      </c>
      <c r="N44" s="193">
        <f t="shared" si="12"/>
        <v>0</v>
      </c>
      <c r="O44" s="193">
        <f t="shared" si="12"/>
        <v>147464999</v>
      </c>
      <c r="P44"/>
    </row>
    <row r="45" spans="3:16" ht="15.6">
      <c r="C45" s="275">
        <v>35</v>
      </c>
      <c r="D45" s="191" t="s">
        <v>189</v>
      </c>
      <c r="E45" s="290">
        <f t="shared" si="14"/>
        <v>2016</v>
      </c>
      <c r="F45" s="193">
        <f t="shared" si="12"/>
        <v>22507708</v>
      </c>
      <c r="G45" s="193">
        <f t="shared" si="10"/>
        <v>13606424</v>
      </c>
      <c r="H45" s="193">
        <f t="shared" si="10"/>
        <v>15384200</v>
      </c>
      <c r="I45" s="193">
        <f t="shared" si="10"/>
        <v>1220446</v>
      </c>
      <c r="J45" s="193">
        <f t="shared" si="13"/>
        <v>30211070</v>
      </c>
      <c r="K45" s="193">
        <f t="shared" si="12"/>
        <v>76493836</v>
      </c>
      <c r="L45" s="193">
        <f t="shared" si="12"/>
        <v>17962286</v>
      </c>
      <c r="M45" s="193">
        <f t="shared" si="11"/>
        <v>0</v>
      </c>
      <c r="N45" s="193">
        <f t="shared" si="12"/>
        <v>0</v>
      </c>
      <c r="O45" s="193">
        <f t="shared" si="12"/>
        <v>147174900</v>
      </c>
      <c r="P45"/>
    </row>
    <row r="46" spans="3:16" ht="15.6">
      <c r="C46" s="275">
        <v>36</v>
      </c>
      <c r="D46" s="191" t="s">
        <v>190</v>
      </c>
      <c r="E46" s="290">
        <f t="shared" si="14"/>
        <v>2016</v>
      </c>
      <c r="F46" s="193">
        <f t="shared" si="12"/>
        <v>22404928</v>
      </c>
      <c r="G46" s="193">
        <f t="shared" si="10"/>
        <v>13560278</v>
      </c>
      <c r="H46" s="193">
        <f t="shared" si="10"/>
        <v>15348924</v>
      </c>
      <c r="I46" s="193">
        <f t="shared" si="10"/>
        <v>1216175</v>
      </c>
      <c r="J46" s="193">
        <f t="shared" si="13"/>
        <v>30125377</v>
      </c>
      <c r="K46" s="193">
        <f t="shared" si="12"/>
        <v>76205987</v>
      </c>
      <c r="L46" s="193">
        <f t="shared" si="12"/>
        <v>17813511</v>
      </c>
      <c r="M46" s="193">
        <f t="shared" si="11"/>
        <v>0</v>
      </c>
      <c r="N46" s="193">
        <f t="shared" si="12"/>
        <v>0</v>
      </c>
      <c r="O46" s="193">
        <f t="shared" si="12"/>
        <v>146549803</v>
      </c>
      <c r="P46"/>
    </row>
    <row r="47" spans="3:16" ht="15.6">
      <c r="C47" s="275">
        <v>37</v>
      </c>
      <c r="D47" s="191" t="s">
        <v>191</v>
      </c>
      <c r="E47" s="290">
        <f t="shared" si="14"/>
        <v>2016</v>
      </c>
      <c r="F47" s="193">
        <f t="shared" si="12"/>
        <v>22302148</v>
      </c>
      <c r="G47" s="193">
        <f t="shared" si="10"/>
        <v>13515543</v>
      </c>
      <c r="H47" s="193">
        <f t="shared" si="10"/>
        <v>15313648</v>
      </c>
      <c r="I47" s="193">
        <f t="shared" si="10"/>
        <v>1211904</v>
      </c>
      <c r="J47" s="193">
        <f t="shared" si="13"/>
        <v>30041095</v>
      </c>
      <c r="K47" s="193">
        <f t="shared" si="12"/>
        <v>76719500</v>
      </c>
      <c r="L47" s="193">
        <f t="shared" si="12"/>
        <v>17607040</v>
      </c>
      <c r="M47" s="193">
        <f t="shared" si="11"/>
        <v>0</v>
      </c>
      <c r="N47" s="193">
        <f t="shared" si="12"/>
        <v>0</v>
      </c>
      <c r="O47" s="193">
        <f t="shared" si="12"/>
        <v>146669783</v>
      </c>
      <c r="P47"/>
    </row>
    <row r="48" spans="3:16" ht="15.6">
      <c r="C48" s="275">
        <v>38</v>
      </c>
      <c r="D48" s="191" t="s">
        <v>192</v>
      </c>
      <c r="E48" s="290">
        <f t="shared" si="14"/>
        <v>2016</v>
      </c>
      <c r="F48" s="193">
        <f t="shared" si="12"/>
        <v>22199368</v>
      </c>
      <c r="G48" s="193">
        <f t="shared" si="10"/>
        <v>13470810</v>
      </c>
      <c r="H48" s="193">
        <f t="shared" si="10"/>
        <v>15278373</v>
      </c>
      <c r="I48" s="193">
        <f t="shared" si="10"/>
        <v>1207632</v>
      </c>
      <c r="J48" s="193">
        <f t="shared" si="13"/>
        <v>29956815</v>
      </c>
      <c r="K48" s="193">
        <f t="shared" si="12"/>
        <v>76380315</v>
      </c>
      <c r="L48" s="193">
        <f t="shared" si="12"/>
        <v>17432469</v>
      </c>
      <c r="M48" s="193">
        <f t="shared" si="11"/>
        <v>0</v>
      </c>
      <c r="N48" s="193">
        <f t="shared" si="12"/>
        <v>0</v>
      </c>
      <c r="O48" s="193">
        <f t="shared" si="12"/>
        <v>145968967</v>
      </c>
      <c r="P48"/>
    </row>
    <row r="49" spans="3:16" ht="15.6">
      <c r="C49" s="275">
        <v>39</v>
      </c>
      <c r="D49" s="191" t="s">
        <v>193</v>
      </c>
      <c r="E49" s="290">
        <f t="shared" si="14"/>
        <v>2016</v>
      </c>
      <c r="F49" s="193">
        <f t="shared" si="12"/>
        <v>22096589</v>
      </c>
      <c r="G49" s="193">
        <f t="shared" si="10"/>
        <v>13426077</v>
      </c>
      <c r="H49" s="193">
        <f t="shared" si="10"/>
        <v>15243097</v>
      </c>
      <c r="I49" s="193">
        <f t="shared" si="10"/>
        <v>1203361</v>
      </c>
      <c r="J49" s="193">
        <f t="shared" si="13"/>
        <v>29872535</v>
      </c>
      <c r="K49" s="193">
        <f t="shared" si="12"/>
        <v>76079227</v>
      </c>
      <c r="L49" s="193">
        <f t="shared" si="12"/>
        <v>17479718</v>
      </c>
      <c r="M49" s="193">
        <f t="shared" si="11"/>
        <v>0</v>
      </c>
      <c r="N49" s="193">
        <f t="shared" si="12"/>
        <v>0</v>
      </c>
      <c r="O49" s="193">
        <f t="shared" si="12"/>
        <v>145528069</v>
      </c>
      <c r="P49"/>
    </row>
    <row r="50" spans="3:16" ht="15.6">
      <c r="C50" s="275">
        <v>40</v>
      </c>
      <c r="D50" s="191" t="s">
        <v>194</v>
      </c>
      <c r="E50" s="290">
        <f t="shared" si="14"/>
        <v>2016</v>
      </c>
      <c r="F50" s="193">
        <f t="shared" si="12"/>
        <v>21993809</v>
      </c>
      <c r="G50" s="193">
        <f t="shared" si="10"/>
        <v>13381342</v>
      </c>
      <c r="H50" s="193">
        <f t="shared" si="10"/>
        <v>15207821</v>
      </c>
      <c r="I50" s="193">
        <f t="shared" si="10"/>
        <v>1199090</v>
      </c>
      <c r="J50" s="193">
        <f t="shared" si="13"/>
        <v>29788253</v>
      </c>
      <c r="K50" s="193">
        <f t="shared" si="12"/>
        <v>75754708</v>
      </c>
      <c r="L50" s="193">
        <f t="shared" si="12"/>
        <v>17267455</v>
      </c>
      <c r="M50" s="193">
        <f t="shared" si="11"/>
        <v>0</v>
      </c>
      <c r="N50" s="193">
        <f t="shared" si="12"/>
        <v>0</v>
      </c>
      <c r="O50" s="193">
        <f t="shared" si="12"/>
        <v>144804225</v>
      </c>
      <c r="P50"/>
    </row>
    <row r="51" spans="3:16" ht="15.6">
      <c r="C51" s="275">
        <v>41</v>
      </c>
      <c r="D51" s="191" t="s">
        <v>195</v>
      </c>
      <c r="E51" s="290">
        <f t="shared" si="14"/>
        <v>2016</v>
      </c>
      <c r="F51" s="193">
        <f t="shared" si="12"/>
        <v>21891029</v>
      </c>
      <c r="G51" s="193">
        <f t="shared" si="10"/>
        <v>13336609</v>
      </c>
      <c r="H51" s="193">
        <f t="shared" si="10"/>
        <v>15172546</v>
      </c>
      <c r="I51" s="193">
        <f t="shared" si="10"/>
        <v>1194819</v>
      </c>
      <c r="J51" s="193">
        <f t="shared" si="13"/>
        <v>29703974</v>
      </c>
      <c r="K51" s="193">
        <f t="shared" si="12"/>
        <v>75492404</v>
      </c>
      <c r="L51" s="193">
        <f t="shared" si="12"/>
        <v>17055020</v>
      </c>
      <c r="M51" s="193">
        <f t="shared" si="11"/>
        <v>0</v>
      </c>
      <c r="N51" s="193">
        <f t="shared" si="12"/>
        <v>0</v>
      </c>
      <c r="O51" s="193">
        <f t="shared" si="12"/>
        <v>144142427</v>
      </c>
      <c r="P51"/>
    </row>
    <row r="52" spans="3:16" ht="15.6">
      <c r="C52" s="275">
        <v>42</v>
      </c>
      <c r="D52" s="191" t="s">
        <v>196</v>
      </c>
      <c r="E52" s="290">
        <f t="shared" si="14"/>
        <v>2016</v>
      </c>
      <c r="F52" s="193">
        <f t="shared" si="12"/>
        <v>21788249</v>
      </c>
      <c r="G52" s="193">
        <f t="shared" si="10"/>
        <v>13291876</v>
      </c>
      <c r="H52" s="193">
        <f t="shared" si="10"/>
        <v>15137270</v>
      </c>
      <c r="I52" s="193">
        <f t="shared" si="10"/>
        <v>1190547</v>
      </c>
      <c r="J52" s="193">
        <f t="shared" si="13"/>
        <v>29619693</v>
      </c>
      <c r="K52" s="193">
        <f t="shared" si="12"/>
        <v>75294616</v>
      </c>
      <c r="L52" s="193">
        <f t="shared" si="12"/>
        <v>16999044</v>
      </c>
      <c r="M52" s="193">
        <f t="shared" si="11"/>
        <v>0</v>
      </c>
      <c r="N52" s="193">
        <f t="shared" si="12"/>
        <v>0</v>
      </c>
      <c r="O52" s="193">
        <f t="shared" si="12"/>
        <v>143701602</v>
      </c>
      <c r="P52"/>
    </row>
    <row r="53" spans="3:16" ht="15.6">
      <c r="C53" s="275">
        <v>43</v>
      </c>
      <c r="D53" s="191" t="s">
        <v>197</v>
      </c>
      <c r="E53" s="290">
        <f t="shared" si="14"/>
        <v>2016</v>
      </c>
      <c r="F53" s="194">
        <f t="shared" si="12"/>
        <v>21680862</v>
      </c>
      <c r="G53" s="194">
        <f t="shared" si="10"/>
        <v>31582340</v>
      </c>
      <c r="H53" s="194">
        <f t="shared" si="10"/>
        <v>23581040</v>
      </c>
      <c r="I53" s="194">
        <f t="shared" si="10"/>
        <v>1186276</v>
      </c>
      <c r="J53" s="194">
        <f t="shared" si="13"/>
        <v>56349656</v>
      </c>
      <c r="K53" s="194">
        <f t="shared" si="12"/>
        <v>77223316</v>
      </c>
      <c r="L53" s="194">
        <f t="shared" si="12"/>
        <v>19525483</v>
      </c>
      <c r="M53" s="194">
        <f t="shared" si="11"/>
        <v>0</v>
      </c>
      <c r="N53" s="194">
        <f t="shared" si="12"/>
        <v>0</v>
      </c>
      <c r="O53" s="194">
        <f t="shared" si="12"/>
        <v>174779317</v>
      </c>
      <c r="P53"/>
    </row>
    <row r="54" spans="3:16" ht="15">
      <c r="C54" s="275">
        <v>44</v>
      </c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/>
    </row>
    <row r="55" spans="3:16" ht="16.2">
      <c r="C55" s="275">
        <v>45</v>
      </c>
      <c r="D55" s="263" t="s">
        <v>209</v>
      </c>
      <c r="E55" s="192"/>
      <c r="F55" s="195">
        <f>SUM(F41:F53)/13</f>
        <v>22303672.846153848</v>
      </c>
      <c r="G55" s="195">
        <f t="shared" ref="G55:J55" si="15">SUM(G41:G53)/13</f>
        <v>14159212.076923076</v>
      </c>
      <c r="H55" s="195">
        <f t="shared" si="15"/>
        <v>15965882.538461538</v>
      </c>
      <c r="I55" s="195">
        <f t="shared" ref="I55" si="16">SUM(I41:I53)/13</f>
        <v>1211903.5384615385</v>
      </c>
      <c r="J55" s="195">
        <f t="shared" si="15"/>
        <v>31336998.153846152</v>
      </c>
      <c r="K55" s="195">
        <f t="shared" ref="K55:O55" si="17">SUM(K41:K53)/13</f>
        <v>76100133.692307696</v>
      </c>
      <c r="L55" s="195">
        <f t="shared" si="17"/>
        <v>17847020.692307692</v>
      </c>
      <c r="M55" s="195">
        <f t="shared" si="17"/>
        <v>0</v>
      </c>
      <c r="N55" s="195">
        <f t="shared" si="17"/>
        <v>0</v>
      </c>
      <c r="O55" s="195">
        <f t="shared" si="17"/>
        <v>147587825.38461539</v>
      </c>
    </row>
    <row r="56" spans="3:16" ht="15"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/>
    </row>
    <row r="57" spans="3:16" ht="15"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/>
    </row>
    <row r="58" spans="3:16" ht="15.6" thickBot="1"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/>
    </row>
    <row r="59" spans="3:16" ht="15.6" thickBot="1">
      <c r="C59" s="277"/>
      <c r="D59" s="282" t="str">
        <f>Coversheet!$E$40&amp;" Att GG Transmission Depreciation"</f>
        <v>2016 Att GG Transmission Depreciation</v>
      </c>
      <c r="E59" s="283"/>
      <c r="F59" s="283"/>
      <c r="G59" s="283"/>
      <c r="H59" s="284">
        <f>H36-H24</f>
        <v>423308</v>
      </c>
      <c r="I59" s="285"/>
      <c r="J59" s="277"/>
      <c r="K59" s="277"/>
      <c r="L59" s="277"/>
      <c r="M59" s="277"/>
      <c r="N59" s="277"/>
      <c r="O59" s="277"/>
      <c r="P59"/>
    </row>
    <row r="60" spans="3:16"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</row>
    <row r="61" spans="3:16">
      <c r="C61" s="277"/>
      <c r="D61" s="286" t="s">
        <v>459</v>
      </c>
      <c r="E61" s="286"/>
      <c r="F61" s="286"/>
      <c r="G61" s="286"/>
      <c r="H61" s="286"/>
      <c r="I61" s="286"/>
      <c r="J61" s="277"/>
      <c r="K61" s="277"/>
      <c r="L61" s="277"/>
      <c r="M61" s="277"/>
      <c r="N61" s="277"/>
      <c r="O61" s="277"/>
    </row>
    <row r="62" spans="3:16">
      <c r="C62" s="277"/>
      <c r="D62" s="286"/>
      <c r="E62" s="277"/>
      <c r="F62" s="286"/>
      <c r="G62" s="287" t="s">
        <v>455</v>
      </c>
      <c r="H62" s="291">
        <v>1590071</v>
      </c>
      <c r="I62" s="286"/>
      <c r="J62" s="277"/>
      <c r="K62" s="277"/>
      <c r="L62" s="277"/>
      <c r="M62" s="277"/>
      <c r="N62" s="277"/>
      <c r="O62" s="277"/>
    </row>
    <row r="63" spans="3:16">
      <c r="C63" s="277"/>
      <c r="D63" s="286"/>
      <c r="E63" s="277"/>
      <c r="F63" s="286"/>
      <c r="G63" s="287" t="s">
        <v>456</v>
      </c>
      <c r="H63" s="292">
        <v>338280</v>
      </c>
      <c r="I63" s="286"/>
      <c r="J63" s="277"/>
      <c r="K63" s="277"/>
      <c r="L63" s="277"/>
      <c r="M63" s="277"/>
      <c r="N63" s="277"/>
      <c r="O63" s="277"/>
    </row>
    <row r="64" spans="3:16">
      <c r="C64" s="277"/>
      <c r="D64" s="286"/>
      <c r="E64" s="286"/>
      <c r="F64" s="286"/>
      <c r="G64" s="286"/>
      <c r="H64" s="288">
        <f>SUM(H62:H63)</f>
        <v>1928351</v>
      </c>
      <c r="I64" s="286"/>
      <c r="J64" s="277"/>
      <c r="K64" s="277"/>
      <c r="L64" s="277"/>
      <c r="M64" s="277"/>
      <c r="N64" s="277"/>
      <c r="O64" s="277"/>
    </row>
    <row r="65" spans="3:15">
      <c r="C65" s="277"/>
      <c r="D65" s="546" t="s">
        <v>553</v>
      </c>
      <c r="E65" s="543"/>
      <c r="F65" s="543"/>
      <c r="G65" s="543"/>
      <c r="H65" s="543"/>
      <c r="I65" s="543"/>
      <c r="K65" s="277"/>
      <c r="L65" s="277"/>
      <c r="M65" s="277"/>
      <c r="N65" s="277"/>
      <c r="O65" s="277"/>
    </row>
    <row r="66" spans="3:15">
      <c r="F66" s="547"/>
      <c r="G66" s="553" t="s">
        <v>538</v>
      </c>
      <c r="H66" s="197">
        <f>J38</f>
        <v>12764255.538461538</v>
      </c>
    </row>
    <row r="67" spans="3:15">
      <c r="F67" s="547"/>
      <c r="G67" s="553" t="s">
        <v>539</v>
      </c>
      <c r="H67" s="548">
        <f>I38</f>
        <v>716447.4615384615</v>
      </c>
    </row>
    <row r="68" spans="3:15">
      <c r="H68" s="197">
        <f>H66-H67</f>
        <v>12047808.076923076</v>
      </c>
      <c r="I68" s="549" t="s">
        <v>540</v>
      </c>
    </row>
    <row r="69" spans="3:15">
      <c r="E69" s="550"/>
    </row>
    <row r="70" spans="3:15">
      <c r="G70" s="545" t="str">
        <f>Coversheet!$E$40&amp;" Depreciation expense related to CIAC"</f>
        <v>2016 Depreciation expense related to CIAC</v>
      </c>
      <c r="H70" s="544">
        <f>I36-I24</f>
        <v>51255</v>
      </c>
    </row>
  </sheetData>
  <mergeCells count="3">
    <mergeCell ref="C1:O1"/>
    <mergeCell ref="C2:O2"/>
    <mergeCell ref="C3:O3"/>
  </mergeCells>
  <printOptions horizontalCentered="1" verticalCentered="1"/>
  <pageMargins left="0.2" right="0.2" top="0.25" bottom="0.25" header="0.3" footer="0.3"/>
  <pageSetup scale="57" orientation="portrait" r:id="rId1"/>
  <headerFooter>
    <oddHeader>&amp;L&amp;"Arial MT,Bold"Rochester Public Utilities
2016 Work Papers&amp;R&amp;"Arial MT,Bold"Exhibit RPU-8
Page 7 of 19</oddHeader>
  </headerFooter>
  <ignoredErrors>
    <ignoredError sqref="J41:J53 I55:J5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3:E19"/>
  <sheetViews>
    <sheetView showGridLines="0" zoomScaleNormal="100" workbookViewId="0">
      <selection activeCell="F7" sqref="F7"/>
    </sheetView>
  </sheetViews>
  <sheetFormatPr defaultColWidth="8.90625" defaultRowHeight="14.4"/>
  <cols>
    <col min="1" max="1" width="8.90625" style="186"/>
    <col min="2" max="2" width="26.90625" style="186" customWidth="1"/>
    <col min="3" max="3" width="17.453125" style="186" customWidth="1"/>
    <col min="4" max="4" width="6.6328125" style="186" customWidth="1"/>
    <col min="5" max="5" width="7.81640625" style="186" customWidth="1"/>
    <col min="6" max="16384" width="8.90625" style="186"/>
  </cols>
  <sheetData>
    <row r="3" spans="1:5" ht="6" customHeight="1"/>
    <row r="4" spans="1:5" ht="6" customHeight="1"/>
    <row r="5" spans="1:5" ht="15.6">
      <c r="A5" s="700" t="str">
        <f>Coversheet!B3</f>
        <v>Rochester Public Utilities</v>
      </c>
      <c r="B5" s="700"/>
      <c r="C5" s="700"/>
      <c r="D5" s="700"/>
      <c r="E5" s="700"/>
    </row>
    <row r="6" spans="1:5" ht="15.6">
      <c r="A6" s="700" t="s">
        <v>504</v>
      </c>
      <c r="B6" s="700"/>
      <c r="C6" s="700"/>
      <c r="D6" s="700"/>
      <c r="E6" s="700"/>
    </row>
    <row r="7" spans="1:5" ht="15.6">
      <c r="A7" s="700" t="s">
        <v>642</v>
      </c>
      <c r="B7" s="700"/>
      <c r="C7" s="700"/>
      <c r="D7" s="700"/>
      <c r="E7" s="700"/>
    </row>
    <row r="10" spans="1:5" ht="18.75" customHeight="1">
      <c r="A10" s="372"/>
      <c r="B10" s="377" t="s">
        <v>224</v>
      </c>
      <c r="C10" s="372"/>
    </row>
    <row r="11" spans="1:5" ht="15.6">
      <c r="A11" s="372"/>
      <c r="B11" s="378" t="s">
        <v>225</v>
      </c>
      <c r="C11" s="375">
        <v>0</v>
      </c>
    </row>
    <row r="12" spans="1:5" ht="15.6">
      <c r="A12" s="372"/>
      <c r="B12" s="378" t="s">
        <v>226</v>
      </c>
      <c r="C12" s="375">
        <v>0</v>
      </c>
    </row>
    <row r="13" spans="1:5" ht="15.6">
      <c r="A13" s="372"/>
      <c r="B13" s="378" t="s">
        <v>227</v>
      </c>
      <c r="C13" s="375">
        <v>0</v>
      </c>
    </row>
    <row r="14" spans="1:5" ht="15.6">
      <c r="A14" s="372"/>
      <c r="B14" s="378" t="s">
        <v>228</v>
      </c>
      <c r="C14" s="375">
        <v>0</v>
      </c>
    </row>
    <row r="15" spans="1:5" ht="15.6">
      <c r="A15" s="372"/>
      <c r="B15" s="378" t="s">
        <v>229</v>
      </c>
      <c r="C15" s="376">
        <v>0</v>
      </c>
    </row>
    <row r="16" spans="1:5" ht="15.6">
      <c r="A16" s="372"/>
      <c r="B16" s="372"/>
      <c r="C16" s="375"/>
    </row>
    <row r="17" spans="1:3" ht="15.6">
      <c r="A17" s="372"/>
      <c r="B17" s="378" t="s">
        <v>230</v>
      </c>
      <c r="C17" s="375">
        <f>SUM(C11:C15)</f>
        <v>0</v>
      </c>
    </row>
    <row r="18" spans="1:3" ht="5.25" customHeight="1">
      <c r="A18" s="372"/>
      <c r="B18" s="372"/>
      <c r="C18" s="372"/>
    </row>
    <row r="19" spans="1:3" ht="5.25" customHeight="1"/>
  </sheetData>
  <mergeCells count="3">
    <mergeCell ref="A5:E5"/>
    <mergeCell ref="A6:E6"/>
    <mergeCell ref="A7:E7"/>
  </mergeCells>
  <pageMargins left="0.7" right="0.7" top="0.75" bottom="0.75" header="0.3" footer="0.3"/>
  <pageSetup scale="110" orientation="landscape" r:id="rId1"/>
  <headerFooter>
    <oddHeader>&amp;L&amp;"Arial MT,Bold"Rochester Public Utilities
2016 Work Papers&amp;R&amp;"Arial MT,Bold"Exhibit RPU-8
Page 8 of 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3:F23"/>
  <sheetViews>
    <sheetView showGridLines="0" tabSelected="1" zoomScaleNormal="100" workbookViewId="0">
      <selection activeCell="H6" sqref="H6"/>
    </sheetView>
  </sheetViews>
  <sheetFormatPr defaultColWidth="8.90625" defaultRowHeight="14.4"/>
  <cols>
    <col min="1" max="1" width="6.1796875" style="186" customWidth="1"/>
    <col min="2" max="2" width="8.90625" style="186"/>
    <col min="3" max="3" width="19.08984375" style="186" customWidth="1"/>
    <col min="4" max="4" width="6.1796875" style="186" customWidth="1"/>
    <col min="5" max="5" width="23.36328125" style="186" customWidth="1"/>
    <col min="6" max="16384" width="8.90625" style="186"/>
  </cols>
  <sheetData>
    <row r="3" spans="2:6" ht="15.6">
      <c r="B3" s="700" t="str">
        <f>Coversheet!B3</f>
        <v>Rochester Public Utilities</v>
      </c>
      <c r="C3" s="700"/>
      <c r="D3" s="700"/>
      <c r="E3" s="700"/>
      <c r="F3" s="700"/>
    </row>
    <row r="4" spans="2:6" ht="15.6">
      <c r="B4" s="700" t="s">
        <v>500</v>
      </c>
      <c r="C4" s="700"/>
      <c r="D4" s="700"/>
      <c r="E4" s="700"/>
      <c r="F4" s="700"/>
    </row>
    <row r="5" spans="2:6" ht="15.6">
      <c r="B5" s="700" t="s">
        <v>642</v>
      </c>
      <c r="C5" s="700"/>
      <c r="D5" s="700"/>
      <c r="E5" s="700"/>
      <c r="F5" s="700"/>
    </row>
    <row r="6" spans="2:6" ht="15.6">
      <c r="B6" s="187"/>
      <c r="C6" s="187"/>
      <c r="D6" s="187"/>
      <c r="E6" s="188"/>
    </row>
    <row r="7" spans="2:6" s="190" customFormat="1" ht="50.7" customHeight="1">
      <c r="B7" s="385" t="s">
        <v>199</v>
      </c>
      <c r="C7" s="385" t="s">
        <v>200</v>
      </c>
      <c r="D7" s="385" t="s">
        <v>201</v>
      </c>
      <c r="E7" s="385" t="s">
        <v>231</v>
      </c>
      <c r="F7" s="369"/>
    </row>
    <row r="8" spans="2:6" s="190" customFormat="1" ht="15.6">
      <c r="B8" s="370">
        <v>1</v>
      </c>
      <c r="C8" s="370" t="s">
        <v>197</v>
      </c>
      <c r="D8" s="367">
        <f>Coversheet!E39</f>
        <v>2015</v>
      </c>
      <c r="E8" s="371">
        <v>0</v>
      </c>
      <c r="F8" s="369"/>
    </row>
    <row r="9" spans="2:6" ht="15.6">
      <c r="B9" s="358">
        <v>2</v>
      </c>
      <c r="C9" s="358" t="s">
        <v>186</v>
      </c>
      <c r="D9" s="368">
        <f>Coversheet!E40</f>
        <v>2016</v>
      </c>
      <c r="E9" s="371">
        <v>0</v>
      </c>
      <c r="F9" s="372"/>
    </row>
    <row r="10" spans="2:6" ht="15.6">
      <c r="B10" s="358">
        <v>3</v>
      </c>
      <c r="C10" s="358" t="s">
        <v>187</v>
      </c>
      <c r="D10" s="368">
        <f>D9</f>
        <v>2016</v>
      </c>
      <c r="E10" s="371">
        <v>0</v>
      </c>
      <c r="F10" s="372"/>
    </row>
    <row r="11" spans="2:6" ht="15.6">
      <c r="B11" s="358">
        <v>4</v>
      </c>
      <c r="C11" s="358" t="s">
        <v>188</v>
      </c>
      <c r="D11" s="368">
        <f t="shared" ref="D11:D20" si="0">D10</f>
        <v>2016</v>
      </c>
      <c r="E11" s="371">
        <v>0</v>
      </c>
      <c r="F11" s="372"/>
    </row>
    <row r="12" spans="2:6" ht="15.6">
      <c r="B12" s="358">
        <v>5</v>
      </c>
      <c r="C12" s="358" t="s">
        <v>189</v>
      </c>
      <c r="D12" s="368">
        <f t="shared" si="0"/>
        <v>2016</v>
      </c>
      <c r="E12" s="371">
        <v>0</v>
      </c>
      <c r="F12" s="372"/>
    </row>
    <row r="13" spans="2:6" ht="15.6">
      <c r="B13" s="358">
        <v>6</v>
      </c>
      <c r="C13" s="358" t="s">
        <v>190</v>
      </c>
      <c r="D13" s="368">
        <f t="shared" si="0"/>
        <v>2016</v>
      </c>
      <c r="E13" s="371">
        <v>0</v>
      </c>
      <c r="F13" s="372"/>
    </row>
    <row r="14" spans="2:6" ht="15.6">
      <c r="B14" s="358">
        <v>7</v>
      </c>
      <c r="C14" s="358" t="s">
        <v>191</v>
      </c>
      <c r="D14" s="368">
        <f t="shared" si="0"/>
        <v>2016</v>
      </c>
      <c r="E14" s="371">
        <v>0</v>
      </c>
      <c r="F14" s="372"/>
    </row>
    <row r="15" spans="2:6" ht="15.6">
      <c r="B15" s="358">
        <v>8</v>
      </c>
      <c r="C15" s="358" t="s">
        <v>192</v>
      </c>
      <c r="D15" s="368">
        <f t="shared" si="0"/>
        <v>2016</v>
      </c>
      <c r="E15" s="371">
        <v>0</v>
      </c>
      <c r="F15" s="372"/>
    </row>
    <row r="16" spans="2:6" ht="15.6">
      <c r="B16" s="358">
        <v>9</v>
      </c>
      <c r="C16" s="358" t="s">
        <v>193</v>
      </c>
      <c r="D16" s="368">
        <f t="shared" si="0"/>
        <v>2016</v>
      </c>
      <c r="E16" s="371">
        <v>0</v>
      </c>
      <c r="F16" s="372"/>
    </row>
    <row r="17" spans="2:6" ht="15.6">
      <c r="B17" s="358">
        <v>10</v>
      </c>
      <c r="C17" s="358" t="s">
        <v>194</v>
      </c>
      <c r="D17" s="368">
        <f t="shared" si="0"/>
        <v>2016</v>
      </c>
      <c r="E17" s="371">
        <v>0</v>
      </c>
      <c r="F17" s="372"/>
    </row>
    <row r="18" spans="2:6" ht="15.6">
      <c r="B18" s="358">
        <v>11</v>
      </c>
      <c r="C18" s="358" t="s">
        <v>195</v>
      </c>
      <c r="D18" s="368">
        <f t="shared" si="0"/>
        <v>2016</v>
      </c>
      <c r="E18" s="371">
        <v>0</v>
      </c>
      <c r="F18" s="372"/>
    </row>
    <row r="19" spans="2:6" ht="15.6">
      <c r="B19" s="358">
        <v>12</v>
      </c>
      <c r="C19" s="358" t="s">
        <v>196</v>
      </c>
      <c r="D19" s="368">
        <f t="shared" si="0"/>
        <v>2016</v>
      </c>
      <c r="E19" s="371">
        <v>0</v>
      </c>
      <c r="F19" s="372"/>
    </row>
    <row r="20" spans="2:6" ht="15.6">
      <c r="B20" s="358">
        <v>13</v>
      </c>
      <c r="C20" s="358" t="s">
        <v>197</v>
      </c>
      <c r="D20" s="368">
        <f t="shared" si="0"/>
        <v>2016</v>
      </c>
      <c r="E20" s="373">
        <v>0</v>
      </c>
      <c r="F20" s="372"/>
    </row>
    <row r="21" spans="2:6" ht="15.6">
      <c r="B21" s="358">
        <v>14</v>
      </c>
      <c r="C21" s="372"/>
      <c r="D21" s="372"/>
      <c r="E21" s="372"/>
      <c r="F21" s="372"/>
    </row>
    <row r="22" spans="2:6" ht="15.6">
      <c r="B22" s="358">
        <v>15</v>
      </c>
      <c r="C22" s="361" t="s">
        <v>209</v>
      </c>
      <c r="D22" s="348"/>
      <c r="E22" s="374">
        <f>SUM(E8:E20)/13</f>
        <v>0</v>
      </c>
      <c r="F22" s="372"/>
    </row>
    <row r="23" spans="2:6" ht="15.6">
      <c r="B23" s="372"/>
      <c r="C23" s="372"/>
      <c r="D23" s="372"/>
      <c r="E23" s="372"/>
      <c r="F23" s="372"/>
    </row>
  </sheetData>
  <mergeCells count="3">
    <mergeCell ref="B3:F3"/>
    <mergeCell ref="B4:F4"/>
    <mergeCell ref="B5:F5"/>
  </mergeCells>
  <pageMargins left="0.7" right="0.45" top="0.75" bottom="0.5" header="0.3" footer="0.3"/>
  <pageSetup scale="105" orientation="portrait" r:id="rId1"/>
  <headerFooter>
    <oddHeader>&amp;L&amp;"Arial MT,Bold"Rochester Public Utilities
2016 Work Papers&amp;R&amp;"Arial MT,Bold"Exhibit RPU-8
Page 9 of 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3:K24"/>
  <sheetViews>
    <sheetView showGridLines="0" zoomScaleNormal="100" workbookViewId="0"/>
  </sheetViews>
  <sheetFormatPr defaultColWidth="8.90625" defaultRowHeight="14.4"/>
  <cols>
    <col min="1" max="1" width="4.54296875" style="186" customWidth="1"/>
    <col min="2" max="2" width="8.90625" style="186"/>
    <col min="3" max="3" width="21.6328125" style="186" customWidth="1"/>
    <col min="4" max="4" width="7.1796875" style="186" customWidth="1"/>
    <col min="5" max="5" width="15.453125" style="186" customWidth="1"/>
    <col min="6" max="6" width="9.90625" style="625" bestFit="1" customWidth="1"/>
    <col min="7" max="7" width="12.6328125" style="625" bestFit="1" customWidth="1"/>
    <col min="8" max="8" width="8.08984375" style="625" customWidth="1"/>
    <col min="9" max="9" width="15.08984375" style="186" customWidth="1"/>
    <col min="10" max="16384" width="8.90625" style="186"/>
  </cols>
  <sheetData>
    <row r="3" spans="2:11" ht="15.6">
      <c r="B3" s="700" t="str">
        <f>Coversheet!B3</f>
        <v>Rochester Public Utilities</v>
      </c>
      <c r="C3" s="700"/>
      <c r="D3" s="700"/>
      <c r="E3" s="700"/>
      <c r="F3" s="700"/>
      <c r="G3" s="700"/>
      <c r="H3" s="700"/>
      <c r="I3" s="700"/>
    </row>
    <row r="4" spans="2:11" ht="15.6">
      <c r="B4" s="700" t="s">
        <v>281</v>
      </c>
      <c r="C4" s="700"/>
      <c r="D4" s="700"/>
      <c r="E4" s="700"/>
      <c r="F4" s="700"/>
      <c r="G4" s="700"/>
      <c r="H4" s="700"/>
      <c r="I4" s="700"/>
    </row>
    <row r="5" spans="2:11" ht="15.6">
      <c r="B5" s="700" t="s">
        <v>642</v>
      </c>
      <c r="C5" s="700"/>
      <c r="D5" s="700"/>
      <c r="E5" s="700"/>
      <c r="F5" s="700"/>
      <c r="G5" s="700"/>
      <c r="H5" s="700"/>
      <c r="I5" s="700"/>
    </row>
    <row r="6" spans="2:11" ht="15.6">
      <c r="B6" s="348"/>
      <c r="C6" s="348"/>
      <c r="D6" s="348"/>
      <c r="E6" s="349"/>
      <c r="F6" s="618"/>
      <c r="G6" s="618"/>
      <c r="H6" s="618"/>
      <c r="I6" s="350"/>
      <c r="K6" s="239"/>
    </row>
    <row r="7" spans="2:11" s="190" customFormat="1" ht="46.5" customHeight="1">
      <c r="B7" s="351" t="s">
        <v>199</v>
      </c>
      <c r="C7" s="351" t="s">
        <v>200</v>
      </c>
      <c r="D7" s="351" t="s">
        <v>201</v>
      </c>
      <c r="E7" s="351" t="s">
        <v>282</v>
      </c>
      <c r="F7" s="619" t="s">
        <v>629</v>
      </c>
      <c r="G7" s="619" t="s">
        <v>630</v>
      </c>
      <c r="H7" s="619"/>
      <c r="I7" s="351" t="s">
        <v>283</v>
      </c>
    </row>
    <row r="8" spans="2:11" s="190" customFormat="1">
      <c r="B8" s="352">
        <v>1</v>
      </c>
      <c r="C8" s="352" t="s">
        <v>197</v>
      </c>
      <c r="D8" s="365">
        <f>Coversheet!E39</f>
        <v>2015</v>
      </c>
      <c r="E8" s="468">
        <v>407867.45000000036</v>
      </c>
      <c r="F8" s="627">
        <f>G8-E8</f>
        <v>4280852.3899999997</v>
      </c>
      <c r="G8" s="627">
        <v>4688719.84</v>
      </c>
      <c r="H8" s="620"/>
      <c r="I8" s="468">
        <v>239848.42</v>
      </c>
    </row>
    <row r="9" spans="2:11">
      <c r="B9" s="355">
        <v>2</v>
      </c>
      <c r="C9" s="355" t="s">
        <v>186</v>
      </c>
      <c r="D9" s="366">
        <f>Coversheet!E40</f>
        <v>2016</v>
      </c>
      <c r="E9" s="441">
        <v>397659.1</v>
      </c>
      <c r="F9" s="628">
        <f t="shared" ref="F9:F20" si="0">G9-E9</f>
        <v>4328821.5900000008</v>
      </c>
      <c r="G9" s="628">
        <v>4726480.6900000004</v>
      </c>
      <c r="H9" s="621"/>
      <c r="I9" s="441">
        <v>1333163.6200000001</v>
      </c>
    </row>
    <row r="10" spans="2:11" ht="15.6">
      <c r="B10" s="355">
        <v>3</v>
      </c>
      <c r="C10" s="358" t="s">
        <v>187</v>
      </c>
      <c r="D10" s="366">
        <f>D9</f>
        <v>2016</v>
      </c>
      <c r="E10" s="441">
        <v>421159.27</v>
      </c>
      <c r="F10" s="628">
        <f t="shared" si="0"/>
        <v>4351777.0999999996</v>
      </c>
      <c r="G10" s="628">
        <v>4772936.37</v>
      </c>
      <c r="H10" s="621"/>
      <c r="I10" s="441">
        <v>1213800.22</v>
      </c>
    </row>
    <row r="11" spans="2:11" ht="15.6">
      <c r="B11" s="355">
        <v>4</v>
      </c>
      <c r="C11" s="358" t="s">
        <v>188</v>
      </c>
      <c r="D11" s="366">
        <f t="shared" ref="D11:D20" si="1">D10</f>
        <v>2016</v>
      </c>
      <c r="E11" s="441">
        <v>420999.22000000038</v>
      </c>
      <c r="F11" s="628">
        <f t="shared" si="0"/>
        <v>4277740.8199999994</v>
      </c>
      <c r="G11" s="628">
        <v>4698740.04</v>
      </c>
      <c r="H11" s="621"/>
      <c r="I11" s="441">
        <v>1140597.1399999999</v>
      </c>
    </row>
    <row r="12" spans="2:11" ht="15.6">
      <c r="B12" s="355">
        <v>5</v>
      </c>
      <c r="C12" s="358" t="s">
        <v>189</v>
      </c>
      <c r="D12" s="366">
        <f t="shared" si="1"/>
        <v>2016</v>
      </c>
      <c r="E12" s="441">
        <v>446660.61000000045</v>
      </c>
      <c r="F12" s="628">
        <f t="shared" si="0"/>
        <v>4330247.59</v>
      </c>
      <c r="G12" s="628">
        <v>4776908.2</v>
      </c>
      <c r="H12" s="621"/>
      <c r="I12" s="441">
        <v>1083356.1299999999</v>
      </c>
    </row>
    <row r="13" spans="2:11" ht="15.6">
      <c r="B13" s="355">
        <v>6</v>
      </c>
      <c r="C13" s="358" t="s">
        <v>190</v>
      </c>
      <c r="D13" s="366">
        <f t="shared" si="1"/>
        <v>2016</v>
      </c>
      <c r="E13" s="441">
        <v>422405.43000000052</v>
      </c>
      <c r="F13" s="628">
        <f t="shared" si="0"/>
        <v>4295102.0699999994</v>
      </c>
      <c r="G13" s="628">
        <v>4717507.5</v>
      </c>
      <c r="H13" s="621"/>
      <c r="I13" s="441">
        <v>1045455.76</v>
      </c>
    </row>
    <row r="14" spans="2:11" ht="15.6">
      <c r="B14" s="355">
        <v>7</v>
      </c>
      <c r="C14" s="358" t="s">
        <v>191</v>
      </c>
      <c r="D14" s="366">
        <f t="shared" si="1"/>
        <v>2016</v>
      </c>
      <c r="E14" s="441">
        <v>411489.08000000037</v>
      </c>
      <c r="F14" s="628">
        <f t="shared" si="0"/>
        <v>4430931.04</v>
      </c>
      <c r="G14" s="628">
        <v>4842420.12</v>
      </c>
      <c r="H14" s="621"/>
      <c r="I14" s="441">
        <v>1349410.49</v>
      </c>
    </row>
    <row r="15" spans="2:11" ht="15.6">
      <c r="B15" s="355">
        <v>8</v>
      </c>
      <c r="C15" s="358" t="s">
        <v>192</v>
      </c>
      <c r="D15" s="366">
        <f t="shared" si="1"/>
        <v>2016</v>
      </c>
      <c r="E15" s="441">
        <v>407369.76000000036</v>
      </c>
      <c r="F15" s="628">
        <f t="shared" si="0"/>
        <v>4391663.6399999997</v>
      </c>
      <c r="G15" s="628">
        <v>4799033.4000000004</v>
      </c>
      <c r="H15" s="621"/>
      <c r="I15" s="441">
        <v>839238.96</v>
      </c>
    </row>
    <row r="16" spans="2:11" ht="15.6">
      <c r="B16" s="355">
        <v>9</v>
      </c>
      <c r="C16" s="358" t="s">
        <v>193</v>
      </c>
      <c r="D16" s="366">
        <f t="shared" si="1"/>
        <v>2016</v>
      </c>
      <c r="E16" s="441">
        <v>408225.44000000035</v>
      </c>
      <c r="F16" s="628">
        <f t="shared" si="0"/>
        <v>4639622.7799999993</v>
      </c>
      <c r="G16" s="628">
        <v>5047848.22</v>
      </c>
      <c r="H16" s="621"/>
      <c r="I16" s="441">
        <v>731463.45</v>
      </c>
    </row>
    <row r="17" spans="2:9" ht="15.6">
      <c r="B17" s="355">
        <v>10</v>
      </c>
      <c r="C17" s="358" t="s">
        <v>194</v>
      </c>
      <c r="D17" s="366">
        <f t="shared" si="1"/>
        <v>2016</v>
      </c>
      <c r="E17" s="441">
        <v>407483.69000000029</v>
      </c>
      <c r="F17" s="628">
        <f t="shared" si="0"/>
        <v>4618343.93</v>
      </c>
      <c r="G17" s="628">
        <v>5025827.62</v>
      </c>
      <c r="H17" s="621"/>
      <c r="I17" s="441">
        <v>614547.74</v>
      </c>
    </row>
    <row r="18" spans="2:9" ht="15.6">
      <c r="B18" s="355">
        <v>11</v>
      </c>
      <c r="C18" s="358" t="s">
        <v>195</v>
      </c>
      <c r="D18" s="366">
        <f t="shared" si="1"/>
        <v>2016</v>
      </c>
      <c r="E18" s="441">
        <v>402540.20000000019</v>
      </c>
      <c r="F18" s="628">
        <f t="shared" si="0"/>
        <v>4599023.72</v>
      </c>
      <c r="G18" s="628">
        <v>5001563.92</v>
      </c>
      <c r="H18" s="621"/>
      <c r="I18" s="441">
        <v>488392.9</v>
      </c>
    </row>
    <row r="19" spans="2:9" ht="15.6">
      <c r="B19" s="355">
        <v>12</v>
      </c>
      <c r="C19" s="358" t="s">
        <v>196</v>
      </c>
      <c r="D19" s="366">
        <f t="shared" si="1"/>
        <v>2016</v>
      </c>
      <c r="E19" s="441">
        <v>405946.63000000018</v>
      </c>
      <c r="F19" s="628">
        <f t="shared" si="0"/>
        <v>4418310.2</v>
      </c>
      <c r="G19" s="628">
        <v>4824256.83</v>
      </c>
      <c r="H19" s="621"/>
      <c r="I19" s="441">
        <v>469311.49</v>
      </c>
    </row>
    <row r="20" spans="2:9" ht="15.6">
      <c r="B20" s="355">
        <v>13</v>
      </c>
      <c r="C20" s="358" t="s">
        <v>197</v>
      </c>
      <c r="D20" s="366">
        <f t="shared" si="1"/>
        <v>2016</v>
      </c>
      <c r="E20" s="441">
        <v>407316.29000000021</v>
      </c>
      <c r="F20" s="628">
        <f t="shared" si="0"/>
        <v>4345007.68</v>
      </c>
      <c r="G20" s="628">
        <v>4752323.97</v>
      </c>
      <c r="H20" s="632">
        <f>ROUND(G20-'Balance sheet Sched 2'!C41,0)</f>
        <v>0</v>
      </c>
      <c r="I20" s="441">
        <v>571796.78</v>
      </c>
    </row>
    <row r="21" spans="2:9">
      <c r="B21" s="355">
        <v>14</v>
      </c>
      <c r="C21" s="350"/>
      <c r="D21" s="350"/>
      <c r="E21" s="355"/>
      <c r="F21" s="622"/>
      <c r="G21" s="626" t="s">
        <v>631</v>
      </c>
      <c r="H21" s="622"/>
      <c r="I21" s="355"/>
    </row>
    <row r="22" spans="2:9" ht="15.6">
      <c r="B22" s="355">
        <v>15</v>
      </c>
      <c r="C22" s="361" t="s">
        <v>209</v>
      </c>
      <c r="D22" s="362"/>
      <c r="E22" s="442">
        <f>SUM(E8:E20)/13</f>
        <v>412855.55153846182</v>
      </c>
      <c r="F22" s="623"/>
      <c r="G22" s="629"/>
      <c r="H22" s="623"/>
      <c r="I22" s="442">
        <f t="shared" ref="I22" si="2">SUM(I8:I20)/13</f>
        <v>855414.08461538458</v>
      </c>
    </row>
    <row r="23" spans="2:9">
      <c r="B23" s="350"/>
      <c r="C23" s="350"/>
      <c r="D23" s="350"/>
      <c r="E23" s="350"/>
      <c r="F23" s="624"/>
      <c r="G23" s="624"/>
      <c r="H23" s="624"/>
      <c r="I23" s="350"/>
    </row>
    <row r="24" spans="2:9">
      <c r="B24" s="350"/>
      <c r="C24" s="483" t="s">
        <v>210</v>
      </c>
      <c r="D24" s="483"/>
      <c r="E24" s="483" t="s">
        <v>232</v>
      </c>
      <c r="F24" s="484"/>
      <c r="G24" s="484"/>
      <c r="H24" s="484"/>
      <c r="I24" s="483" t="s">
        <v>233</v>
      </c>
    </row>
  </sheetData>
  <mergeCells count="3">
    <mergeCell ref="B3:I3"/>
    <mergeCell ref="B4:I4"/>
    <mergeCell ref="B5:I5"/>
  </mergeCells>
  <pageMargins left="0.7" right="0.2" top="0.75" bottom="0.75" header="0.3" footer="0.3"/>
  <pageSetup orientation="landscape" r:id="rId1"/>
  <headerFooter>
    <oddHeader>&amp;L&amp;"Arial MT,Bold"Rochester Public Utilities
2016 Work Papers&amp;R&amp;"Arial MT,Bold"Exhibit RPU-8
Page 10 of 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E3:Z40"/>
  <sheetViews>
    <sheetView showGridLines="0" zoomScaleNormal="100" workbookViewId="0">
      <selection activeCell="B2" sqref="B2"/>
    </sheetView>
  </sheetViews>
  <sheetFormatPr defaultColWidth="8.90625" defaultRowHeight="14.4"/>
  <cols>
    <col min="1" max="1" width="3.6328125" style="186" customWidth="1"/>
    <col min="2" max="2" width="3.08984375" style="186" customWidth="1"/>
    <col min="3" max="4" width="1.36328125" style="186" customWidth="1"/>
    <col min="5" max="5" width="8.90625" style="186"/>
    <col min="6" max="6" width="14.54296875" style="186" customWidth="1"/>
    <col min="7" max="7" width="10.36328125" style="186" customWidth="1"/>
    <col min="8" max="8" width="13.54296875" style="186" bestFit="1" customWidth="1"/>
    <col min="9" max="10" width="13.08984375" style="186" bestFit="1" customWidth="1"/>
    <col min="11" max="11" width="14.08984375" style="186" bestFit="1" customWidth="1"/>
    <col min="12" max="12" width="12.54296875" style="186" bestFit="1" customWidth="1"/>
    <col min="13" max="14" width="11" style="186" bestFit="1" customWidth="1"/>
    <col min="15" max="15" width="11.81640625" style="186" bestFit="1" customWidth="1"/>
    <col min="16" max="16" width="10.81640625" style="186" bestFit="1" customWidth="1"/>
    <col min="17" max="25" width="10" style="186" bestFit="1" customWidth="1"/>
    <col min="26" max="16384" width="8.90625" style="186"/>
  </cols>
  <sheetData>
    <row r="3" spans="5:15" ht="5.25" customHeight="1"/>
    <row r="4" spans="5:15" ht="5.25" customHeight="1"/>
    <row r="5" spans="5:15" ht="15.6">
      <c r="E5" s="700" t="str">
        <f>Coversheet!B3</f>
        <v>Rochester Public Utilities</v>
      </c>
      <c r="F5" s="700"/>
      <c r="G5" s="700"/>
      <c r="H5" s="700"/>
      <c r="I5" s="700"/>
      <c r="J5" s="700"/>
      <c r="K5" s="700"/>
    </row>
    <row r="6" spans="5:15" ht="15.6">
      <c r="E6" s="700" t="s">
        <v>234</v>
      </c>
      <c r="F6" s="700"/>
      <c r="G6" s="700"/>
      <c r="H6" s="700"/>
      <c r="I6" s="700"/>
      <c r="J6" s="700"/>
      <c r="K6" s="700"/>
    </row>
    <row r="7" spans="5:15" ht="15.6">
      <c r="E7" s="700" t="s">
        <v>642</v>
      </c>
      <c r="F7" s="700"/>
      <c r="G7" s="700"/>
      <c r="H7" s="700"/>
      <c r="I7" s="700"/>
      <c r="J7" s="700"/>
      <c r="K7" s="700"/>
    </row>
    <row r="8" spans="5:15" ht="15.6">
      <c r="E8" s="348"/>
      <c r="F8" s="348"/>
      <c r="G8" s="348"/>
      <c r="H8" s="349"/>
      <c r="I8" s="349"/>
      <c r="J8" s="349"/>
      <c r="K8" s="350"/>
    </row>
    <row r="9" spans="5:15" s="190" customFormat="1" ht="62.25" customHeight="1">
      <c r="E9" s="351" t="s">
        <v>199</v>
      </c>
      <c r="F9" s="351" t="s">
        <v>200</v>
      </c>
      <c r="G9" s="351" t="s">
        <v>201</v>
      </c>
      <c r="H9" s="351" t="s">
        <v>235</v>
      </c>
      <c r="I9" s="351" t="s">
        <v>466</v>
      </c>
      <c r="J9" s="351" t="s">
        <v>467</v>
      </c>
      <c r="K9" s="351" t="s">
        <v>382</v>
      </c>
      <c r="L9"/>
      <c r="M9"/>
      <c r="N9"/>
      <c r="O9"/>
    </row>
    <row r="10" spans="5:15" s="190" customFormat="1" ht="15">
      <c r="E10" s="352">
        <v>1</v>
      </c>
      <c r="F10" s="352" t="s">
        <v>197</v>
      </c>
      <c r="G10" s="365">
        <f>Coversheet!E39</f>
        <v>2015</v>
      </c>
      <c r="H10" s="353">
        <v>105335000</v>
      </c>
      <c r="I10" s="354">
        <v>9523135.3599999994</v>
      </c>
      <c r="J10" s="354">
        <v>134721.79</v>
      </c>
      <c r="K10" s="354">
        <v>119492224.59999999</v>
      </c>
      <c r="L10"/>
      <c r="M10"/>
      <c r="N10"/>
      <c r="O10"/>
    </row>
    <row r="11" spans="5:15" ht="15">
      <c r="E11" s="355">
        <v>2</v>
      </c>
      <c r="F11" s="355" t="s">
        <v>186</v>
      </c>
      <c r="G11" s="366">
        <f>Coversheet!E40</f>
        <v>2016</v>
      </c>
      <c r="H11" s="356">
        <v>105335000</v>
      </c>
      <c r="I11" s="357">
        <v>9432060.6799999997</v>
      </c>
      <c r="J11" s="357">
        <v>133889.75</v>
      </c>
      <c r="K11" s="357">
        <v>120488901.05999999</v>
      </c>
      <c r="L11"/>
      <c r="M11"/>
      <c r="N11"/>
      <c r="O11"/>
    </row>
    <row r="12" spans="5:15" ht="15.6">
      <c r="E12" s="355">
        <v>3</v>
      </c>
      <c r="F12" s="358" t="s">
        <v>187</v>
      </c>
      <c r="G12" s="366">
        <f>G11</f>
        <v>2016</v>
      </c>
      <c r="H12" s="356">
        <v>105335000</v>
      </c>
      <c r="I12" s="357">
        <v>9340838.0600000005</v>
      </c>
      <c r="J12" s="357">
        <v>133055.20000000001</v>
      </c>
      <c r="K12" s="357">
        <v>121074441.53</v>
      </c>
      <c r="L12"/>
      <c r="M12"/>
      <c r="N12"/>
      <c r="O12"/>
    </row>
    <row r="13" spans="5:15" ht="15.6">
      <c r="E13" s="355">
        <v>4</v>
      </c>
      <c r="F13" s="358" t="s">
        <v>188</v>
      </c>
      <c r="G13" s="366">
        <f t="shared" ref="G13:G22" si="0">G12</f>
        <v>2016</v>
      </c>
      <c r="H13" s="356">
        <v>105335000</v>
      </c>
      <c r="I13" s="357">
        <v>9249467.2100000009</v>
      </c>
      <c r="J13" s="357">
        <v>132218.13</v>
      </c>
      <c r="K13" s="357">
        <v>121882687.61</v>
      </c>
      <c r="L13"/>
      <c r="M13"/>
      <c r="N13"/>
      <c r="O13"/>
    </row>
    <row r="14" spans="5:15" ht="15.6">
      <c r="E14" s="355">
        <v>5</v>
      </c>
      <c r="F14" s="358" t="s">
        <v>189</v>
      </c>
      <c r="G14" s="366">
        <f t="shared" si="0"/>
        <v>2016</v>
      </c>
      <c r="H14" s="356">
        <v>105335000</v>
      </c>
      <c r="I14" s="357">
        <v>9157947.7699999996</v>
      </c>
      <c r="J14" s="357">
        <v>131378.53</v>
      </c>
      <c r="K14" s="357">
        <v>122635927.28</v>
      </c>
      <c r="L14"/>
      <c r="M14"/>
      <c r="N14"/>
      <c r="O14"/>
    </row>
    <row r="15" spans="5:15" ht="15.6">
      <c r="E15" s="355">
        <v>6</v>
      </c>
      <c r="F15" s="358" t="s">
        <v>190</v>
      </c>
      <c r="G15" s="366">
        <f t="shared" si="0"/>
        <v>2016</v>
      </c>
      <c r="H15" s="356">
        <v>105335000</v>
      </c>
      <c r="I15" s="357">
        <v>9066279.5399999991</v>
      </c>
      <c r="J15" s="357">
        <v>130536.39</v>
      </c>
      <c r="K15" s="357">
        <v>123402830.53999999</v>
      </c>
      <c r="L15"/>
      <c r="M15"/>
      <c r="N15"/>
      <c r="O15"/>
    </row>
    <row r="16" spans="5:15" ht="15.6">
      <c r="E16" s="355">
        <v>7</v>
      </c>
      <c r="F16" s="358" t="s">
        <v>191</v>
      </c>
      <c r="G16" s="366">
        <f t="shared" si="0"/>
        <v>2016</v>
      </c>
      <c r="H16" s="356">
        <v>105335000</v>
      </c>
      <c r="I16" s="357">
        <v>8974462.1899999995</v>
      </c>
      <c r="J16" s="357">
        <v>129691.71</v>
      </c>
      <c r="K16" s="357">
        <v>125355487.3</v>
      </c>
      <c r="L16"/>
      <c r="M16"/>
      <c r="N16"/>
      <c r="O16"/>
    </row>
    <row r="17" spans="5:26" ht="15.6">
      <c r="E17" s="355">
        <v>8</v>
      </c>
      <c r="F17" s="358" t="s">
        <v>192</v>
      </c>
      <c r="G17" s="366">
        <f t="shared" si="0"/>
        <v>2016</v>
      </c>
      <c r="H17" s="356">
        <v>105335000</v>
      </c>
      <c r="I17" s="357">
        <v>8882495.4299999997</v>
      </c>
      <c r="J17" s="357">
        <v>128844.49</v>
      </c>
      <c r="K17" s="357">
        <v>128826359.23999999</v>
      </c>
      <c r="L17"/>
      <c r="M17"/>
      <c r="N17"/>
      <c r="O17"/>
    </row>
    <row r="18" spans="5:26" ht="15.6">
      <c r="E18" s="355">
        <v>9</v>
      </c>
      <c r="F18" s="358" t="s">
        <v>193</v>
      </c>
      <c r="G18" s="366">
        <f t="shared" si="0"/>
        <v>2016</v>
      </c>
      <c r="H18" s="356">
        <v>105335000</v>
      </c>
      <c r="I18" s="357">
        <v>8790378.9299999997</v>
      </c>
      <c r="J18" s="357">
        <v>127994.7</v>
      </c>
      <c r="K18" s="357">
        <v>132236013.55</v>
      </c>
      <c r="L18"/>
      <c r="M18"/>
      <c r="N18"/>
      <c r="O18"/>
    </row>
    <row r="19" spans="5:26" ht="15.6">
      <c r="E19" s="355">
        <v>10</v>
      </c>
      <c r="F19" s="358" t="s">
        <v>194</v>
      </c>
      <c r="G19" s="366">
        <f t="shared" si="0"/>
        <v>2016</v>
      </c>
      <c r="H19" s="356">
        <v>105335000</v>
      </c>
      <c r="I19" s="357">
        <v>8698112.4000000004</v>
      </c>
      <c r="J19" s="357">
        <v>127142.35</v>
      </c>
      <c r="K19" s="357">
        <v>135880600.45999998</v>
      </c>
      <c r="L19"/>
      <c r="M19"/>
      <c r="N19"/>
      <c r="O19"/>
    </row>
    <row r="20" spans="5:26" ht="15.6">
      <c r="E20" s="355">
        <v>11</v>
      </c>
      <c r="F20" s="358" t="s">
        <v>195</v>
      </c>
      <c r="G20" s="366">
        <f t="shared" si="0"/>
        <v>2016</v>
      </c>
      <c r="H20" s="356">
        <v>105335000</v>
      </c>
      <c r="I20" s="357">
        <v>8605695.5999999996</v>
      </c>
      <c r="J20" s="357">
        <v>126287.43</v>
      </c>
      <c r="K20" s="357">
        <v>136346516.66999999</v>
      </c>
      <c r="L20"/>
      <c r="M20"/>
      <c r="N20"/>
      <c r="O20"/>
    </row>
    <row r="21" spans="5:26" ht="15.6">
      <c r="E21" s="355">
        <v>12</v>
      </c>
      <c r="F21" s="358" t="s">
        <v>196</v>
      </c>
      <c r="G21" s="366">
        <f t="shared" si="0"/>
        <v>2016</v>
      </c>
      <c r="H21" s="356">
        <v>105335000</v>
      </c>
      <c r="I21" s="357">
        <v>8513127.8599999994</v>
      </c>
      <c r="J21" s="357">
        <v>125429.92</v>
      </c>
      <c r="K21" s="357">
        <v>136753573.04999998</v>
      </c>
      <c r="L21"/>
      <c r="M21"/>
      <c r="N21"/>
      <c r="O21"/>
    </row>
    <row r="22" spans="5:26" ht="15.6">
      <c r="E22" s="355">
        <v>13</v>
      </c>
      <c r="F22" s="358" t="s">
        <v>197</v>
      </c>
      <c r="G22" s="366">
        <f t="shared" si="0"/>
        <v>2016</v>
      </c>
      <c r="H22" s="359">
        <f>'Balance sheet Sched 2'!F20</f>
        <v>101440000</v>
      </c>
      <c r="I22" s="360">
        <f>'Balance sheet Sched 2'!F24</f>
        <v>8425018</v>
      </c>
      <c r="J22" s="360">
        <f>'Balance sheet Sched 2'!F26</f>
        <v>124570</v>
      </c>
      <c r="K22" s="360">
        <f>'Balance sheet Sched 2'!F16</f>
        <v>134709025</v>
      </c>
      <c r="L22"/>
      <c r="M22"/>
      <c r="N22"/>
      <c r="O22"/>
    </row>
    <row r="23" spans="5:26" ht="15">
      <c r="E23" s="355">
        <v>14</v>
      </c>
      <c r="F23" s="252" t="s">
        <v>363</v>
      </c>
      <c r="G23" s="252"/>
      <c r="H23" s="483" t="s">
        <v>364</v>
      </c>
      <c r="I23" s="484" t="s">
        <v>407</v>
      </c>
      <c r="J23" s="484" t="s">
        <v>365</v>
      </c>
      <c r="K23" s="483" t="s">
        <v>411</v>
      </c>
      <c r="L23" s="193"/>
      <c r="N23" s="193"/>
      <c r="O23" s="193"/>
      <c r="P23" s="193"/>
      <c r="Q23" s="193"/>
      <c r="R23" s="193"/>
    </row>
    <row r="24" spans="5:26" ht="15.6">
      <c r="E24" s="355">
        <v>15</v>
      </c>
      <c r="F24" s="361" t="s">
        <v>209</v>
      </c>
      <c r="G24" s="362"/>
      <c r="H24" s="363">
        <f>SUM(H10:H22)/13</f>
        <v>105035384.61538461</v>
      </c>
      <c r="I24" s="363">
        <f>SUM(I10:I22)/13</f>
        <v>8973770.6946153827</v>
      </c>
      <c r="J24" s="363">
        <f>SUM(J10:J22)/13</f>
        <v>129673.87615384617</v>
      </c>
      <c r="K24" s="363">
        <f t="shared" ref="K24" si="1">SUM(K10:K22)/13</f>
        <v>127621891.37615384</v>
      </c>
      <c r="L24" s="193"/>
    </row>
    <row r="25" spans="5:26">
      <c r="E25" s="350"/>
      <c r="F25" s="350"/>
      <c r="G25" s="350"/>
      <c r="H25" s="350"/>
      <c r="I25" s="350"/>
      <c r="J25" s="350"/>
      <c r="K25" s="364"/>
    </row>
    <row r="26" spans="5:26" ht="15">
      <c r="E26" s="350"/>
      <c r="F26" s="483" t="s">
        <v>408</v>
      </c>
      <c r="G26" s="483"/>
      <c r="H26" s="483" t="s">
        <v>409</v>
      </c>
      <c r="I26" s="483" t="s">
        <v>409</v>
      </c>
      <c r="J26" s="483" t="s">
        <v>409</v>
      </c>
      <c r="K26" s="483" t="s">
        <v>410</v>
      </c>
      <c r="L26" s="193"/>
      <c r="M26" s="193"/>
      <c r="N26" s="193"/>
      <c r="O26" s="193"/>
      <c r="P26" s="193"/>
      <c r="Q26" s="193"/>
      <c r="R26" s="193"/>
    </row>
    <row r="27" spans="5:26" ht="7.5" customHeight="1">
      <c r="F27" s="197"/>
      <c r="K27" s="197"/>
    </row>
    <row r="28" spans="5:26" ht="7.5" customHeight="1"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32" spans="5:26" ht="15"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8:26" ht="15"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8:26" ht="15"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8:26" ht="15"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8:26" ht="15"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8:26" ht="15"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8:26" ht="15"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40" spans="8:26">
      <c r="H40" s="245"/>
    </row>
  </sheetData>
  <mergeCells count="3">
    <mergeCell ref="E5:K5"/>
    <mergeCell ref="E6:K6"/>
    <mergeCell ref="E7:K7"/>
  </mergeCells>
  <pageMargins left="0.2" right="0.2" top="0.75" bottom="0.5" header="0.3" footer="0.3"/>
  <pageSetup orientation="landscape" r:id="rId1"/>
  <headerFooter>
    <oddHeader>&amp;L&amp;"Arial MT,Bold"Rochester Public Utilities
2016 Work Papers&amp;R&amp;"Arial MT,Bold"Exhibit RPU-8
Page 11 of 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D75"/>
  <sheetViews>
    <sheetView zoomScale="90" zoomScaleNormal="90" zoomScaleSheetLayoutView="80" workbookViewId="0">
      <selection activeCell="E3" sqref="E3"/>
    </sheetView>
  </sheetViews>
  <sheetFormatPr defaultColWidth="8.90625" defaultRowHeight="14.4"/>
  <cols>
    <col min="1" max="1" width="61.81640625" style="185" customWidth="1"/>
    <col min="2" max="2" width="7.90625" style="185" customWidth="1"/>
    <col min="3" max="3" width="12.453125" style="185" bestFit="1" customWidth="1"/>
    <col min="4" max="16384" width="8.90625" style="185"/>
  </cols>
  <sheetData>
    <row r="1" spans="1:4" ht="18">
      <c r="A1" s="703" t="str">
        <f>Coversheet!B3</f>
        <v>Rochester Public Utilities</v>
      </c>
      <c r="B1" s="703"/>
      <c r="C1" s="703"/>
      <c r="D1" s="212"/>
    </row>
    <row r="2" spans="1:4" ht="18">
      <c r="A2" s="703" t="s">
        <v>505</v>
      </c>
      <c r="B2" s="703"/>
      <c r="C2" s="703"/>
      <c r="D2" s="212"/>
    </row>
    <row r="3" spans="1:4" ht="18">
      <c r="A3" s="703" t="str">
        <f>'Capital Structure'!E7</f>
        <v>True-up Actual for 12 Months Ended December 31, 2016</v>
      </c>
      <c r="B3" s="703"/>
      <c r="C3" s="703"/>
      <c r="D3" s="212"/>
    </row>
    <row r="5" spans="1:4" ht="15.6">
      <c r="A5" s="198" t="s">
        <v>506</v>
      </c>
      <c r="C5" s="199" t="s">
        <v>2</v>
      </c>
    </row>
    <row r="6" spans="1:4" ht="15.6">
      <c r="A6" s="200" t="s">
        <v>153</v>
      </c>
      <c r="B6" s="201"/>
    </row>
    <row r="7" spans="1:4" ht="15.6">
      <c r="A7" s="202" t="s">
        <v>236</v>
      </c>
      <c r="B7" s="201"/>
      <c r="C7" s="310">
        <v>48027</v>
      </c>
    </row>
    <row r="8" spans="1:4" ht="15.6">
      <c r="A8" s="202" t="s">
        <v>237</v>
      </c>
      <c r="B8" s="201"/>
      <c r="C8" s="311">
        <v>0</v>
      </c>
    </row>
    <row r="9" spans="1:4" ht="15.6">
      <c r="A9" s="202" t="s">
        <v>238</v>
      </c>
      <c r="B9" s="201"/>
      <c r="C9" s="311">
        <v>34045</v>
      </c>
      <c r="D9" s="443" t="s">
        <v>239</v>
      </c>
    </row>
    <row r="10" spans="1:4" ht="15.6">
      <c r="A10" s="202" t="s">
        <v>240</v>
      </c>
      <c r="B10" s="201"/>
      <c r="C10" s="311">
        <v>227197</v>
      </c>
      <c r="D10" s="443" t="s">
        <v>239</v>
      </c>
    </row>
    <row r="11" spans="1:4" ht="15.6">
      <c r="A11" s="202" t="s">
        <v>241</v>
      </c>
      <c r="B11" s="201"/>
      <c r="C11" s="311">
        <v>11073</v>
      </c>
      <c r="D11" s="443" t="s">
        <v>239</v>
      </c>
    </row>
    <row r="12" spans="1:4" ht="15.6">
      <c r="A12" s="202" t="s">
        <v>242</v>
      </c>
      <c r="B12" s="201"/>
      <c r="C12" s="311">
        <v>0</v>
      </c>
      <c r="D12" s="443" t="s">
        <v>243</v>
      </c>
    </row>
    <row r="13" spans="1:4" ht="15.6">
      <c r="A13" s="202" t="s">
        <v>244</v>
      </c>
      <c r="B13" s="201"/>
      <c r="C13" s="311">
        <v>257420</v>
      </c>
      <c r="D13" s="443"/>
    </row>
    <row r="14" spans="1:4" ht="15.6">
      <c r="A14" s="202" t="s">
        <v>245</v>
      </c>
      <c r="B14" s="201"/>
      <c r="C14" s="311">
        <v>0</v>
      </c>
      <c r="D14" s="443"/>
    </row>
    <row r="15" spans="1:4" ht="15.6">
      <c r="A15" s="202" t="s">
        <v>246</v>
      </c>
      <c r="B15" s="201"/>
      <c r="C15" s="311">
        <v>0</v>
      </c>
      <c r="D15" s="443"/>
    </row>
    <row r="16" spans="1:4" ht="15.6">
      <c r="A16" s="202" t="s">
        <v>247</v>
      </c>
      <c r="B16" s="201"/>
      <c r="C16" s="311">
        <v>0</v>
      </c>
      <c r="D16" s="443" t="s">
        <v>243</v>
      </c>
    </row>
    <row r="17" spans="1:4" ht="15.6">
      <c r="A17" s="202" t="s">
        <v>248</v>
      </c>
      <c r="B17" s="201"/>
      <c r="C17" s="311">
        <v>17857</v>
      </c>
      <c r="D17" s="443"/>
    </row>
    <row r="18" spans="1:4" ht="15.6">
      <c r="A18" s="202" t="s">
        <v>249</v>
      </c>
      <c r="B18" s="201"/>
      <c r="C18" s="311">
        <v>59954</v>
      </c>
      <c r="D18" s="443"/>
    </row>
    <row r="19" spans="1:4" ht="15.6">
      <c r="A19" s="202" t="s">
        <v>250</v>
      </c>
      <c r="B19" s="201"/>
      <c r="C19" s="311">
        <v>0</v>
      </c>
      <c r="D19" s="443"/>
    </row>
    <row r="20" spans="1:4" ht="15.6">
      <c r="A20" s="202" t="s">
        <v>251</v>
      </c>
      <c r="B20" s="201"/>
      <c r="C20" s="311">
        <v>7997230</v>
      </c>
      <c r="D20" s="443" t="s">
        <v>252</v>
      </c>
    </row>
    <row r="21" spans="1:4" ht="15.6">
      <c r="A21" s="202" t="s">
        <v>253</v>
      </c>
      <c r="B21" s="201"/>
      <c r="C21" s="311">
        <v>16963</v>
      </c>
      <c r="D21" s="443"/>
    </row>
    <row r="22" spans="1:4" ht="15" customHeight="1">
      <c r="A22" s="202" t="s">
        <v>254</v>
      </c>
      <c r="B22" s="201"/>
      <c r="C22" s="311">
        <v>0</v>
      </c>
      <c r="D22" s="443"/>
    </row>
    <row r="23" spans="1:4" ht="15" customHeight="1">
      <c r="A23" s="219" t="s">
        <v>361</v>
      </c>
      <c r="B23" s="201"/>
      <c r="C23" s="344">
        <f>SUM(C7:C22)</f>
        <v>8669766</v>
      </c>
      <c r="D23" s="443"/>
    </row>
    <row r="24" spans="1:4" ht="15.6">
      <c r="A24" s="200" t="s">
        <v>154</v>
      </c>
      <c r="B24" s="201"/>
      <c r="C24" s="312"/>
      <c r="D24" s="443"/>
    </row>
    <row r="25" spans="1:4" ht="15.6">
      <c r="A25" s="202" t="s">
        <v>255</v>
      </c>
      <c r="B25" s="201"/>
      <c r="C25" s="311">
        <v>10379</v>
      </c>
      <c r="D25" s="443"/>
    </row>
    <row r="26" spans="1:4" ht="15.6">
      <c r="A26" s="202" t="s">
        <v>256</v>
      </c>
      <c r="B26" s="201"/>
      <c r="C26" s="311">
        <v>0</v>
      </c>
      <c r="D26" s="443"/>
    </row>
    <row r="27" spans="1:4" ht="15.6">
      <c r="A27" s="202" t="s">
        <v>257</v>
      </c>
      <c r="B27" s="201"/>
      <c r="C27" s="311">
        <v>0</v>
      </c>
      <c r="D27" s="443"/>
    </row>
    <row r="28" spans="1:4" ht="15.6">
      <c r="A28" s="202" t="s">
        <v>258</v>
      </c>
      <c r="B28" s="201"/>
      <c r="C28" s="311">
        <v>0</v>
      </c>
      <c r="D28" s="443"/>
    </row>
    <row r="29" spans="1:4" ht="15.6">
      <c r="A29" s="202" t="s">
        <v>259</v>
      </c>
      <c r="B29" s="201"/>
      <c r="C29" s="311">
        <v>0</v>
      </c>
      <c r="D29" s="443"/>
    </row>
    <row r="30" spans="1:4" ht="15.6">
      <c r="A30" s="202" t="s">
        <v>260</v>
      </c>
      <c r="B30" s="201"/>
      <c r="C30" s="311">
        <v>0</v>
      </c>
      <c r="D30" s="443"/>
    </row>
    <row r="31" spans="1:4" ht="15.6">
      <c r="A31" s="202" t="s">
        <v>261</v>
      </c>
      <c r="B31" s="201"/>
      <c r="C31" s="311">
        <v>98713</v>
      </c>
      <c r="D31" s="443"/>
    </row>
    <row r="32" spans="1:4" ht="15.6">
      <c r="A32" s="202" t="s">
        <v>262</v>
      </c>
      <c r="B32" s="201"/>
      <c r="C32" s="311">
        <v>86959</v>
      </c>
      <c r="D32" s="443"/>
    </row>
    <row r="33" spans="1:4" ht="15.6">
      <c r="A33" s="202" t="s">
        <v>263</v>
      </c>
      <c r="B33" s="201"/>
      <c r="C33" s="311">
        <v>0</v>
      </c>
      <c r="D33" s="443"/>
    </row>
    <row r="34" spans="1:4" ht="15.6">
      <c r="A34" s="202" t="s">
        <v>264</v>
      </c>
      <c r="B34" s="201"/>
      <c r="C34" s="311">
        <v>0</v>
      </c>
      <c r="D34" s="443"/>
    </row>
    <row r="35" spans="1:4" ht="15.6">
      <c r="A35" s="219" t="s">
        <v>362</v>
      </c>
      <c r="B35" s="201"/>
      <c r="C35" s="313">
        <f>SUM(C25:C34)</f>
        <v>196051</v>
      </c>
      <c r="D35" s="443"/>
    </row>
    <row r="36" spans="1:4" ht="16.8">
      <c r="A36" s="202"/>
      <c r="B36" s="201"/>
      <c r="C36" s="314"/>
      <c r="D36" s="443"/>
    </row>
    <row r="37" spans="1:4">
      <c r="C37" s="315"/>
      <c r="D37" s="443"/>
    </row>
    <row r="38" spans="1:4" ht="15.6">
      <c r="A38" s="202" t="s">
        <v>284</v>
      </c>
      <c r="C38" s="347">
        <f>C23+C35</f>
        <v>8865817</v>
      </c>
      <c r="D38" s="443" t="s">
        <v>265</v>
      </c>
    </row>
    <row r="39" spans="1:4">
      <c r="D39" s="606"/>
    </row>
    <row r="41" spans="1:4">
      <c r="A41" s="203" t="s">
        <v>285</v>
      </c>
    </row>
    <row r="42" spans="1:4">
      <c r="A42" s="204" t="s">
        <v>286</v>
      </c>
      <c r="C42" s="222" t="s">
        <v>404</v>
      </c>
    </row>
    <row r="43" spans="1:4">
      <c r="A43" s="204" t="s">
        <v>287</v>
      </c>
    </row>
    <row r="44" spans="1:4">
      <c r="A44" s="204" t="s">
        <v>288</v>
      </c>
    </row>
    <row r="45" spans="1:4">
      <c r="A45" s="205" t="s">
        <v>289</v>
      </c>
    </row>
    <row r="46" spans="1:4">
      <c r="A46" s="204" t="s">
        <v>290</v>
      </c>
    </row>
    <row r="47" spans="1:4">
      <c r="A47" s="205" t="s">
        <v>289</v>
      </c>
    </row>
    <row r="48" spans="1:4">
      <c r="A48" s="206" t="s">
        <v>291</v>
      </c>
    </row>
    <row r="49" spans="1:3" ht="15.6">
      <c r="A49" s="240" t="s">
        <v>405</v>
      </c>
      <c r="B49" s="222"/>
      <c r="C49" s="316">
        <f>574560*12</f>
        <v>6894720</v>
      </c>
    </row>
    <row r="50" spans="1:3" ht="15.6">
      <c r="A50" s="240" t="s">
        <v>406</v>
      </c>
      <c r="B50" s="222"/>
      <c r="C50" s="242">
        <f>C20-C49</f>
        <v>1102510</v>
      </c>
    </row>
    <row r="51" spans="1:3" ht="15.6">
      <c r="A51" s="241"/>
      <c r="B51" s="222"/>
      <c r="C51" s="243">
        <f>SUM(C49:C50)</f>
        <v>7997230</v>
      </c>
    </row>
    <row r="52" spans="1:3" ht="15.6">
      <c r="A52" s="202"/>
    </row>
    <row r="53" spans="1:3" ht="15.6">
      <c r="A53" s="202"/>
    </row>
    <row r="54" spans="1:3" ht="15.6">
      <c r="A54" s="202"/>
    </row>
    <row r="55" spans="1:3" ht="15.6">
      <c r="A55" s="202"/>
    </row>
    <row r="56" spans="1:3" ht="15.6">
      <c r="A56" s="207"/>
    </row>
    <row r="57" spans="1:3" ht="15.6">
      <c r="A57" s="202"/>
    </row>
    <row r="58" spans="1:3" ht="15.6">
      <c r="A58" s="202"/>
    </row>
    <row r="59" spans="1:3" ht="15.6">
      <c r="A59" s="202"/>
    </row>
    <row r="60" spans="1:3" ht="15.6">
      <c r="A60" s="202"/>
    </row>
    <row r="61" spans="1:3" ht="15.6">
      <c r="A61" s="207"/>
    </row>
    <row r="62" spans="1:3" ht="15.6">
      <c r="A62" s="202"/>
    </row>
    <row r="63" spans="1:3" ht="15.6">
      <c r="A63" s="202"/>
    </row>
    <row r="64" spans="1:3" ht="15.6">
      <c r="A64" s="202"/>
    </row>
    <row r="65" spans="1:1" ht="15.6">
      <c r="A65" s="202"/>
    </row>
    <row r="66" spans="1:1" ht="15.6">
      <c r="A66" s="202"/>
    </row>
    <row r="67" spans="1:1" ht="15.6">
      <c r="A67" s="202"/>
    </row>
    <row r="68" spans="1:1" ht="15.6">
      <c r="A68" s="202"/>
    </row>
    <row r="69" spans="1:1" ht="15.6">
      <c r="A69" s="202"/>
    </row>
    <row r="70" spans="1:1" ht="15.6">
      <c r="A70" s="202"/>
    </row>
    <row r="71" spans="1:1" ht="15.6">
      <c r="A71" s="202"/>
    </row>
    <row r="72" spans="1:1" ht="15.6">
      <c r="A72" s="202"/>
    </row>
    <row r="73" spans="1:1" ht="15.6">
      <c r="A73" s="202"/>
    </row>
    <row r="74" spans="1:1" ht="15.6">
      <c r="A74" s="202"/>
    </row>
    <row r="75" spans="1:1" ht="15.6">
      <c r="A75" s="202"/>
    </row>
  </sheetData>
  <mergeCells count="3">
    <mergeCell ref="A3:C3"/>
    <mergeCell ref="A1:C1"/>
    <mergeCell ref="A2:C2"/>
  </mergeCells>
  <pageMargins left="0.2" right="0.2" top="0.75" bottom="0.5" header="0.3" footer="0.3"/>
  <pageSetup orientation="portrait" r:id="rId1"/>
  <headerFooter>
    <oddHeader>&amp;L&amp;"Arial MT,Bold"Rochester Public Utilities
2016 Work Papers&amp;R&amp;"Arial MT,Bold"Exhibit RPU-8
Page 12 of 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E80"/>
  <sheetViews>
    <sheetView topLeftCell="A22" zoomScale="90" zoomScaleNormal="90" zoomScaleSheetLayoutView="80" workbookViewId="0">
      <selection activeCell="F13" sqref="F13"/>
    </sheetView>
  </sheetViews>
  <sheetFormatPr defaultColWidth="8.90625" defaultRowHeight="14.4"/>
  <cols>
    <col min="1" max="1" width="54.90625" style="185" customWidth="1"/>
    <col min="2" max="2" width="10.36328125" style="185" customWidth="1"/>
    <col min="3" max="3" width="14.54296875" style="185" bestFit="1" customWidth="1"/>
    <col min="4" max="16384" width="8.90625" style="185"/>
  </cols>
  <sheetData>
    <row r="1" spans="1:4" ht="18">
      <c r="A1" s="703" t="str">
        <f>Coversheet!B3</f>
        <v>Rochester Public Utilities</v>
      </c>
      <c r="B1" s="703"/>
      <c r="C1" s="703"/>
      <c r="D1" s="212"/>
    </row>
    <row r="2" spans="1:4" ht="18">
      <c r="A2" s="703" t="s">
        <v>508</v>
      </c>
      <c r="B2" s="703"/>
      <c r="C2" s="703"/>
      <c r="D2" s="212"/>
    </row>
    <row r="3" spans="1:4" ht="18">
      <c r="A3" s="703" t="str">
        <f>'Transmission O&amp;M'!A3</f>
        <v>True-up Actual for 12 Months Ended December 31, 2016</v>
      </c>
      <c r="B3" s="703"/>
      <c r="C3" s="703"/>
      <c r="D3" s="212"/>
    </row>
    <row r="4" spans="1:4" ht="18">
      <c r="A4" s="183"/>
    </row>
    <row r="5" spans="1:4" ht="18">
      <c r="A5" s="183"/>
    </row>
    <row r="6" spans="1:4" ht="15.6">
      <c r="A6" s="198" t="s">
        <v>507</v>
      </c>
      <c r="C6" s="342" t="s">
        <v>2</v>
      </c>
    </row>
    <row r="7" spans="1:4" ht="15.6">
      <c r="A7" s="198"/>
      <c r="C7" s="315"/>
      <c r="D7" s="199"/>
    </row>
    <row r="8" spans="1:4" ht="15.6">
      <c r="A8" s="207" t="s">
        <v>292</v>
      </c>
      <c r="B8" s="201"/>
      <c r="C8" s="343"/>
    </row>
    <row r="9" spans="1:4" ht="15.6">
      <c r="A9" s="202" t="s">
        <v>293</v>
      </c>
      <c r="B9" s="201"/>
      <c r="C9" s="310">
        <v>34654</v>
      </c>
    </row>
    <row r="10" spans="1:4" ht="15.6">
      <c r="A10" s="202" t="s">
        <v>294</v>
      </c>
      <c r="B10" s="201"/>
      <c r="C10" s="311">
        <v>125981</v>
      </c>
    </row>
    <row r="11" spans="1:4" ht="15.6">
      <c r="A11" s="202" t="s">
        <v>295</v>
      </c>
      <c r="B11" s="201"/>
      <c r="C11" s="311">
        <v>1511726</v>
      </c>
    </row>
    <row r="12" spans="1:4" ht="15.6">
      <c r="A12" s="202" t="s">
        <v>296</v>
      </c>
      <c r="B12" s="201"/>
      <c r="C12" s="311">
        <v>204085</v>
      </c>
    </row>
    <row r="13" spans="1:4" ht="15.6">
      <c r="A13" s="202" t="s">
        <v>297</v>
      </c>
      <c r="B13" s="201"/>
      <c r="C13" s="311">
        <v>0</v>
      </c>
    </row>
    <row r="14" spans="1:4" ht="15.6">
      <c r="A14" s="208" t="s">
        <v>298</v>
      </c>
      <c r="B14" s="201"/>
      <c r="C14" s="344">
        <f>SUM(C8:C13)</f>
        <v>1876446</v>
      </c>
      <c r="D14" s="443" t="s">
        <v>299</v>
      </c>
    </row>
    <row r="15" spans="1:4" ht="15.6">
      <c r="A15" s="202"/>
      <c r="B15" s="201"/>
      <c r="C15" s="345"/>
    </row>
    <row r="16" spans="1:4" ht="15.6">
      <c r="A16" s="207" t="s">
        <v>300</v>
      </c>
      <c r="B16" s="201"/>
      <c r="C16" s="345"/>
    </row>
    <row r="17" spans="1:4" ht="15.6">
      <c r="A17" s="202" t="s">
        <v>301</v>
      </c>
      <c r="B17" s="201"/>
      <c r="C17" s="310">
        <v>0</v>
      </c>
    </row>
    <row r="18" spans="1:4" ht="15.6">
      <c r="A18" s="202" t="s">
        <v>302</v>
      </c>
      <c r="B18" s="201"/>
      <c r="C18" s="311">
        <v>873677</v>
      </c>
    </row>
    <row r="19" spans="1:4" ht="15.6">
      <c r="A19" s="202" t="s">
        <v>303</v>
      </c>
      <c r="B19" s="201"/>
      <c r="C19" s="311">
        <v>222040</v>
      </c>
    </row>
    <row r="20" spans="1:4" ht="15.6">
      <c r="A20" s="202" t="s">
        <v>304</v>
      </c>
      <c r="B20" s="201"/>
      <c r="C20" s="311">
        <v>54211</v>
      </c>
    </row>
    <row r="21" spans="1:4" ht="15.6">
      <c r="A21" s="208" t="s">
        <v>305</v>
      </c>
      <c r="B21" s="201"/>
      <c r="C21" s="344">
        <f>SUM(C17:C20)</f>
        <v>1149928</v>
      </c>
      <c r="D21" s="443" t="s">
        <v>306</v>
      </c>
    </row>
    <row r="22" spans="1:4" ht="18" customHeight="1">
      <c r="A22" s="202"/>
      <c r="B22" s="201"/>
      <c r="C22" s="345"/>
    </row>
    <row r="23" spans="1:4" ht="15.6">
      <c r="A23" s="207" t="s">
        <v>307</v>
      </c>
      <c r="B23" s="201"/>
      <c r="C23" s="345"/>
    </row>
    <row r="24" spans="1:4" ht="15.6">
      <c r="A24" s="202" t="s">
        <v>308</v>
      </c>
      <c r="B24" s="201"/>
      <c r="C24" s="310">
        <v>0</v>
      </c>
    </row>
    <row r="25" spans="1:4" ht="15.6">
      <c r="A25" s="202" t="s">
        <v>309</v>
      </c>
      <c r="B25" s="201"/>
      <c r="C25" s="311">
        <v>279684</v>
      </c>
    </row>
    <row r="26" spans="1:4" ht="15.6">
      <c r="A26" s="202" t="s">
        <v>310</v>
      </c>
      <c r="B26" s="201"/>
      <c r="C26" s="311">
        <v>180099</v>
      </c>
    </row>
    <row r="27" spans="1:4" ht="15.6">
      <c r="A27" s="202" t="s">
        <v>311</v>
      </c>
      <c r="B27" s="201"/>
      <c r="C27" s="311">
        <v>53469</v>
      </c>
    </row>
    <row r="28" spans="1:4" ht="15.6">
      <c r="A28" s="207" t="s">
        <v>307</v>
      </c>
      <c r="B28" s="201"/>
      <c r="C28" s="344">
        <f>SUM(C24:C27)</f>
        <v>513252</v>
      </c>
      <c r="D28" s="443" t="s">
        <v>312</v>
      </c>
    </row>
    <row r="29" spans="1:4" ht="15.6">
      <c r="A29" s="202"/>
      <c r="B29" s="201"/>
      <c r="C29" s="345"/>
    </row>
    <row r="30" spans="1:4" ht="15.6">
      <c r="A30" s="207" t="s">
        <v>280</v>
      </c>
      <c r="B30" s="201"/>
      <c r="C30" s="345"/>
    </row>
    <row r="31" spans="1:4" ht="15.6">
      <c r="A31" s="202" t="s">
        <v>266</v>
      </c>
      <c r="B31" s="201"/>
      <c r="C31" s="310">
        <v>2644418</v>
      </c>
    </row>
    <row r="32" spans="1:4" ht="15.6">
      <c r="A32" s="202" t="s">
        <v>267</v>
      </c>
      <c r="B32" s="201"/>
      <c r="C32" s="311">
        <v>1502694</v>
      </c>
    </row>
    <row r="33" spans="1:4" ht="15.6">
      <c r="A33" s="202" t="s">
        <v>268</v>
      </c>
      <c r="B33" s="201"/>
      <c r="C33" s="311">
        <v>0</v>
      </c>
    </row>
    <row r="34" spans="1:4" ht="15.6">
      <c r="A34" s="202" t="s">
        <v>269</v>
      </c>
      <c r="B34" s="201"/>
      <c r="C34" s="311">
        <v>1238659</v>
      </c>
    </row>
    <row r="35" spans="1:4" ht="15.6">
      <c r="A35" s="202" t="s">
        <v>270</v>
      </c>
      <c r="B35" s="201"/>
      <c r="C35" s="311">
        <v>346930</v>
      </c>
    </row>
    <row r="36" spans="1:4" ht="15.6">
      <c r="A36" s="202" t="s">
        <v>271</v>
      </c>
      <c r="B36" s="201"/>
      <c r="C36" s="311">
        <v>829532</v>
      </c>
    </row>
    <row r="37" spans="1:4" ht="15.6">
      <c r="A37" s="202" t="s">
        <v>272</v>
      </c>
      <c r="B37" s="201"/>
      <c r="C37" s="311">
        <v>3985716</v>
      </c>
    </row>
    <row r="38" spans="1:4" ht="15.6">
      <c r="A38" s="202" t="s">
        <v>273</v>
      </c>
      <c r="B38" s="201"/>
      <c r="C38" s="311">
        <v>0</v>
      </c>
    </row>
    <row r="39" spans="1:4" ht="15.6">
      <c r="A39" s="202" t="s">
        <v>274</v>
      </c>
      <c r="B39" s="201"/>
      <c r="C39" s="311">
        <v>940939</v>
      </c>
    </row>
    <row r="40" spans="1:4" ht="15.6">
      <c r="A40" s="202" t="s">
        <v>275</v>
      </c>
      <c r="B40" s="201"/>
      <c r="C40" s="311">
        <v>0</v>
      </c>
    </row>
    <row r="41" spans="1:4" ht="15.6">
      <c r="A41" s="202" t="s">
        <v>276</v>
      </c>
      <c r="B41" s="201"/>
      <c r="C41" s="311">
        <v>69903</v>
      </c>
    </row>
    <row r="42" spans="1:4" ht="15.6">
      <c r="A42" s="202" t="s">
        <v>277</v>
      </c>
      <c r="C42" s="311">
        <v>237693</v>
      </c>
    </row>
    <row r="43" spans="1:4" ht="15.6">
      <c r="A43" s="202" t="s">
        <v>278</v>
      </c>
      <c r="C43" s="311">
        <v>44000</v>
      </c>
    </row>
    <row r="44" spans="1:4" ht="15.6">
      <c r="A44" s="202" t="s">
        <v>279</v>
      </c>
      <c r="C44" s="311">
        <v>876866</v>
      </c>
    </row>
    <row r="45" spans="1:4" ht="15.6">
      <c r="A45" s="207" t="s">
        <v>280</v>
      </c>
      <c r="C45" s="346">
        <f>SUM(C31:C44)</f>
        <v>12717350</v>
      </c>
      <c r="D45" s="443" t="s">
        <v>313</v>
      </c>
    </row>
    <row r="48" spans="1:4">
      <c r="A48" s="203" t="s">
        <v>285</v>
      </c>
    </row>
    <row r="49" spans="1:5">
      <c r="A49" s="209" t="s">
        <v>314</v>
      </c>
      <c r="B49" s="222" t="s">
        <v>402</v>
      </c>
    </row>
    <row r="50" spans="1:5">
      <c r="A50" s="209" t="s">
        <v>287</v>
      </c>
    </row>
    <row r="51" spans="1:5" ht="15.6">
      <c r="A51" s="202"/>
    </row>
    <row r="52" spans="1:5">
      <c r="A52" s="209" t="s">
        <v>315</v>
      </c>
      <c r="B52" s="209"/>
      <c r="C52" s="209"/>
      <c r="D52" s="209"/>
      <c r="E52" s="222" t="s">
        <v>403</v>
      </c>
    </row>
    <row r="53" spans="1:5">
      <c r="A53" s="209" t="s">
        <v>287</v>
      </c>
    </row>
    <row r="54" spans="1:5" ht="15.6">
      <c r="A54" s="202"/>
    </row>
    <row r="55" spans="1:5" ht="15.6">
      <c r="A55" s="202"/>
    </row>
    <row r="56" spans="1:5" ht="15.6">
      <c r="A56" s="207"/>
    </row>
    <row r="57" spans="1:5" ht="15.6">
      <c r="A57" s="202"/>
    </row>
    <row r="58" spans="1:5" ht="15.6">
      <c r="A58" s="202"/>
    </row>
    <row r="59" spans="1:5" ht="15.6">
      <c r="A59" s="202"/>
    </row>
    <row r="60" spans="1:5" ht="15.6">
      <c r="A60" s="202"/>
    </row>
    <row r="61" spans="1:5" ht="15.6">
      <c r="A61" s="207"/>
    </row>
    <row r="62" spans="1:5" ht="15.6">
      <c r="A62" s="202"/>
    </row>
    <row r="63" spans="1:5" ht="15.6">
      <c r="A63" s="202"/>
    </row>
    <row r="64" spans="1:5" ht="15.6">
      <c r="A64" s="202"/>
    </row>
    <row r="65" spans="1:1" ht="15.6">
      <c r="A65" s="202"/>
    </row>
    <row r="66" spans="1:1" ht="15.6">
      <c r="A66" s="207"/>
    </row>
    <row r="67" spans="1:1" ht="15.6">
      <c r="A67" s="202"/>
    </row>
    <row r="68" spans="1:1" ht="15.6">
      <c r="A68" s="202"/>
    </row>
    <row r="69" spans="1:1" ht="15.6">
      <c r="A69" s="202"/>
    </row>
    <row r="70" spans="1:1" ht="15.6">
      <c r="A70" s="202"/>
    </row>
    <row r="71" spans="1:1" ht="15.6">
      <c r="A71" s="202"/>
    </row>
    <row r="72" spans="1:1" ht="15.6">
      <c r="A72" s="202"/>
    </row>
    <row r="73" spans="1:1" ht="15.6">
      <c r="A73" s="202"/>
    </row>
    <row r="74" spans="1:1" ht="15.6">
      <c r="A74" s="202"/>
    </row>
    <row r="75" spans="1:1" ht="15.6">
      <c r="A75" s="202"/>
    </row>
    <row r="76" spans="1:1" ht="15.6">
      <c r="A76" s="202"/>
    </row>
    <row r="77" spans="1:1" ht="15.6">
      <c r="A77" s="202"/>
    </row>
    <row r="78" spans="1:1" ht="15.6">
      <c r="A78" s="202"/>
    </row>
    <row r="79" spans="1:1" ht="15.6">
      <c r="A79" s="202"/>
    </row>
    <row r="80" spans="1:1" ht="15.6">
      <c r="A80" s="202"/>
    </row>
  </sheetData>
  <mergeCells count="3">
    <mergeCell ref="A3:C3"/>
    <mergeCell ref="A1:C1"/>
    <mergeCell ref="A2:C2"/>
  </mergeCells>
  <pageMargins left="0.2" right="0.2" top="0.5" bottom="0.5" header="0.05" footer="0.05"/>
  <pageSetup scale="98" orientation="portrait" r:id="rId1"/>
  <headerFooter>
    <oddHeader>&amp;L&amp;"Arial MT,Bold"Rochester Public Utilities
2016 Work Papers&amp;R&amp;"Arial MT,Bold"Exhibit RPU-8
Page 13 of 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9"/>
  <sheetViews>
    <sheetView topLeftCell="A16" zoomScaleNormal="100" zoomScaleSheetLayoutView="100" workbookViewId="0">
      <selection activeCell="L29" sqref="L29"/>
    </sheetView>
  </sheetViews>
  <sheetFormatPr defaultColWidth="8.90625" defaultRowHeight="14.4"/>
  <cols>
    <col min="1" max="1" width="37.453125" style="220" customWidth="1"/>
    <col min="2" max="2" width="13.08984375" style="220" customWidth="1"/>
    <col min="3" max="3" width="10.36328125" style="220" customWidth="1"/>
    <col min="4" max="4" width="11" style="220" customWidth="1"/>
    <col min="5" max="7" width="8.90625" style="220"/>
    <col min="8" max="8" width="5.453125" style="220" customWidth="1"/>
    <col min="9" max="16384" width="8.90625" style="220"/>
  </cols>
  <sheetData>
    <row r="1" spans="1:9" ht="15.6">
      <c r="A1" s="705" t="str">
        <f>Coversheet!B3</f>
        <v>Rochester Public Utilities</v>
      </c>
      <c r="B1" s="705"/>
      <c r="C1" s="705"/>
      <c r="D1" s="705"/>
      <c r="E1" s="431"/>
      <c r="F1" s="431"/>
    </row>
    <row r="2" spans="1:9" ht="15.6">
      <c r="A2" s="705" t="s">
        <v>509</v>
      </c>
      <c r="B2" s="705"/>
      <c r="C2" s="705"/>
      <c r="D2" s="705"/>
      <c r="E2" s="431"/>
      <c r="F2" s="431"/>
    </row>
    <row r="3" spans="1:9" ht="15.6">
      <c r="A3" s="706" t="s">
        <v>642</v>
      </c>
      <c r="B3" s="706"/>
      <c r="C3" s="706"/>
      <c r="D3" s="706"/>
      <c r="E3" s="431"/>
      <c r="F3" s="431"/>
    </row>
    <row r="4" spans="1:9" ht="15.6">
      <c r="A4" s="325"/>
      <c r="B4" s="325"/>
      <c r="C4" s="325"/>
      <c r="D4" s="325"/>
      <c r="E4" s="325"/>
      <c r="F4" s="325"/>
    </row>
    <row r="5" spans="1:9" ht="15.6">
      <c r="A5" s="704" t="s">
        <v>510</v>
      </c>
      <c r="B5" s="704"/>
      <c r="C5" s="704"/>
      <c r="D5" s="325"/>
      <c r="E5" s="325"/>
      <c r="F5" s="325"/>
    </row>
    <row r="6" spans="1:9" ht="15.6">
      <c r="A6" s="325"/>
      <c r="B6" s="325"/>
      <c r="C6" s="325"/>
      <c r="D6" s="325"/>
      <c r="E6" s="325"/>
      <c r="F6" s="325"/>
    </row>
    <row r="7" spans="1:9" ht="15.6">
      <c r="A7" s="325"/>
      <c r="B7" s="325"/>
      <c r="C7" s="325"/>
      <c r="D7" s="325"/>
      <c r="E7" s="325"/>
      <c r="F7" s="325"/>
    </row>
    <row r="8" spans="1:9" ht="15.6">
      <c r="A8" s="431" t="s">
        <v>204</v>
      </c>
      <c r="C8" s="336">
        <f>C29</f>
        <v>918939</v>
      </c>
      <c r="E8" s="444" t="s">
        <v>367</v>
      </c>
      <c r="F8" s="325"/>
      <c r="I8" s="221"/>
    </row>
    <row r="9" spans="1:9" ht="15.6">
      <c r="A9" s="431" t="s">
        <v>6</v>
      </c>
      <c r="C9" s="333">
        <f>C31</f>
        <v>701376</v>
      </c>
      <c r="E9" s="444" t="s">
        <v>368</v>
      </c>
      <c r="F9" s="325"/>
    </row>
    <row r="10" spans="1:9" ht="15.6">
      <c r="A10" s="431" t="s">
        <v>185</v>
      </c>
      <c r="C10" s="333">
        <f>C33</f>
        <v>3782318</v>
      </c>
      <c r="E10" s="444" t="s">
        <v>369</v>
      </c>
      <c r="F10" s="325"/>
    </row>
    <row r="11" spans="1:9" ht="15.6">
      <c r="A11" s="431" t="s">
        <v>370</v>
      </c>
      <c r="C11" s="337">
        <f>C38</f>
        <v>1321005</v>
      </c>
      <c r="E11" s="444" t="s">
        <v>371</v>
      </c>
      <c r="F11" s="325"/>
    </row>
    <row r="12" spans="1:9" ht="15.6">
      <c r="A12" s="325"/>
      <c r="C12" s="324">
        <f>SUM(C8:C11)</f>
        <v>6723638</v>
      </c>
      <c r="E12" s="444" t="s">
        <v>372</v>
      </c>
      <c r="F12" s="325"/>
    </row>
    <row r="13" spans="1:9" ht="15.6">
      <c r="A13" s="325"/>
      <c r="B13" s="325"/>
      <c r="C13" s="325"/>
      <c r="E13" s="444" t="s">
        <v>552</v>
      </c>
      <c r="F13" s="325"/>
    </row>
    <row r="14" spans="1:9" ht="15.6">
      <c r="A14" s="325"/>
      <c r="B14" s="325"/>
      <c r="C14" s="325"/>
      <c r="E14" s="445" t="s">
        <v>373</v>
      </c>
      <c r="F14" s="325"/>
    </row>
    <row r="15" spans="1:9" ht="15.6">
      <c r="A15" s="325"/>
      <c r="B15" s="325"/>
      <c r="C15" s="325"/>
      <c r="D15" s="326"/>
      <c r="E15" s="325"/>
      <c r="F15" s="325"/>
    </row>
    <row r="16" spans="1:9" ht="15.6">
      <c r="A16" s="325"/>
      <c r="B16" s="325"/>
      <c r="C16" s="325"/>
      <c r="D16" s="325"/>
      <c r="E16" s="325"/>
      <c r="F16" s="325"/>
    </row>
    <row r="17" spans="1:6" ht="15.6">
      <c r="A17" s="325" t="s">
        <v>464</v>
      </c>
      <c r="B17" s="325"/>
      <c r="C17" s="327"/>
      <c r="D17" s="325"/>
      <c r="E17" s="325"/>
      <c r="F17" s="325"/>
    </row>
    <row r="18" spans="1:6" ht="15.6">
      <c r="A18" s="325" t="s">
        <v>551</v>
      </c>
      <c r="B18" s="325"/>
      <c r="C18" s="325"/>
      <c r="D18" s="325"/>
      <c r="E18" s="325"/>
      <c r="F18" s="325"/>
    </row>
    <row r="19" spans="1:6" ht="15.6">
      <c r="A19" s="328"/>
      <c r="B19" s="325"/>
      <c r="C19" s="325"/>
      <c r="D19" s="325"/>
      <c r="E19" s="325"/>
      <c r="F19" s="325"/>
    </row>
    <row r="20" spans="1:6" ht="15.6">
      <c r="A20" s="325" t="s">
        <v>374</v>
      </c>
      <c r="B20" s="325"/>
      <c r="C20" s="325"/>
      <c r="D20" s="325"/>
      <c r="E20" s="325"/>
      <c r="F20" s="325"/>
    </row>
    <row r="21" spans="1:6" ht="15.6">
      <c r="A21" s="329" t="s">
        <v>375</v>
      </c>
      <c r="B21" s="325"/>
      <c r="C21" s="325"/>
      <c r="D21" s="325"/>
      <c r="E21" s="325"/>
      <c r="F21" s="325"/>
    </row>
    <row r="22" spans="1:6" ht="15.6">
      <c r="A22" s="325"/>
      <c r="B22" s="325"/>
      <c r="C22" s="325"/>
      <c r="D22" s="325"/>
      <c r="E22" s="325"/>
      <c r="F22" s="325"/>
    </row>
    <row r="23" spans="1:6" ht="15.6">
      <c r="A23" s="331"/>
      <c r="B23" s="332" t="s">
        <v>376</v>
      </c>
      <c r="C23" s="332" t="s">
        <v>377</v>
      </c>
      <c r="D23" s="332" t="s">
        <v>378</v>
      </c>
      <c r="E23" s="325"/>
      <c r="F23" s="325"/>
    </row>
    <row r="24" spans="1:6" ht="15.6">
      <c r="A24" s="331"/>
      <c r="B24" s="331"/>
      <c r="C24" s="331"/>
      <c r="D24" s="331"/>
      <c r="E24" s="325"/>
      <c r="F24" s="325"/>
    </row>
    <row r="25" spans="1:6" ht="15.6">
      <c r="A25" s="331" t="s">
        <v>155</v>
      </c>
      <c r="B25" s="333">
        <f>D25-C25</f>
        <v>0</v>
      </c>
      <c r="C25" s="338">
        <v>0</v>
      </c>
      <c r="D25" s="333">
        <f>'Op &amp; Maint Sched 7'!F10</f>
        <v>0</v>
      </c>
      <c r="E25" s="330"/>
      <c r="F25" s="325"/>
    </row>
    <row r="26" spans="1:6" ht="15.6">
      <c r="A26" s="331" t="s">
        <v>158</v>
      </c>
      <c r="B26" s="333">
        <f>D26-C26</f>
        <v>157605</v>
      </c>
      <c r="C26" s="338">
        <v>109547</v>
      </c>
      <c r="D26" s="333">
        <f>'Op &amp; Maint Sched 7'!F13</f>
        <v>267152</v>
      </c>
      <c r="E26" s="330"/>
      <c r="F26" s="325"/>
    </row>
    <row r="27" spans="1:6" ht="15.6">
      <c r="A27" s="331" t="s">
        <v>160</v>
      </c>
      <c r="B27" s="333">
        <f>D27-C27</f>
        <v>1672828</v>
      </c>
      <c r="C27" s="338">
        <v>809392</v>
      </c>
      <c r="D27" s="333">
        <f>'Op &amp; Maint Sched 7'!F15</f>
        <v>2482220</v>
      </c>
      <c r="E27" s="330"/>
      <c r="F27" s="325"/>
    </row>
    <row r="28" spans="1:6" ht="15.6">
      <c r="A28" s="331" t="s">
        <v>379</v>
      </c>
      <c r="B28" s="333">
        <f>D28-C28</f>
        <v>84702575</v>
      </c>
      <c r="C28" s="338">
        <v>0</v>
      </c>
      <c r="D28" s="333">
        <f>'Op &amp; Maint Sched 7'!F16</f>
        <v>84702575</v>
      </c>
      <c r="E28" s="330"/>
      <c r="F28" s="325"/>
    </row>
    <row r="29" spans="1:6" ht="15.6">
      <c r="A29" s="331" t="s">
        <v>165</v>
      </c>
      <c r="B29" s="334">
        <f t="shared" ref="B29:C29" si="0">SUM(B25:B28)</f>
        <v>86533008</v>
      </c>
      <c r="C29" s="334">
        <f t="shared" si="0"/>
        <v>918939</v>
      </c>
      <c r="D29" s="334">
        <f>SUM(D25:D28)</f>
        <v>87451947</v>
      </c>
      <c r="E29" s="330"/>
      <c r="F29" s="325"/>
    </row>
    <row r="30" spans="1:6" ht="15.6">
      <c r="A30" s="331"/>
      <c r="B30" s="331"/>
      <c r="C30" s="331"/>
      <c r="D30" s="331"/>
      <c r="E30" s="330"/>
      <c r="F30" s="325"/>
    </row>
    <row r="31" spans="1:6" ht="15.6">
      <c r="A31" s="331" t="s">
        <v>166</v>
      </c>
      <c r="B31" s="333">
        <f>D31-C31</f>
        <v>8164441</v>
      </c>
      <c r="C31" s="338">
        <v>701376</v>
      </c>
      <c r="D31" s="333">
        <f>'Op &amp; Maint Sched 7'!F21</f>
        <v>8865817</v>
      </c>
      <c r="E31" s="330"/>
      <c r="F31" s="615"/>
    </row>
    <row r="32" spans="1:6" ht="15.6">
      <c r="A32" s="331"/>
      <c r="B32" s="331"/>
      <c r="C32" s="335"/>
      <c r="D32" s="331"/>
      <c r="E32" s="330"/>
      <c r="F32" s="325"/>
    </row>
    <row r="33" spans="1:6" ht="15.6">
      <c r="A33" s="331" t="s">
        <v>169</v>
      </c>
      <c r="B33" s="333">
        <f>D33-C33</f>
        <v>1934202</v>
      </c>
      <c r="C33" s="338">
        <v>3782318</v>
      </c>
      <c r="D33" s="333">
        <f>'Op &amp; Maint Sched 7'!F23</f>
        <v>5716520</v>
      </c>
      <c r="E33" s="330"/>
      <c r="F33" s="325"/>
    </row>
    <row r="34" spans="1:6" ht="15.6">
      <c r="A34" s="331"/>
      <c r="B34" s="331"/>
      <c r="C34" s="335"/>
      <c r="D34" s="331"/>
      <c r="E34" s="330"/>
      <c r="F34" s="325"/>
    </row>
    <row r="35" spans="1:6" ht="15.6">
      <c r="A35" s="331" t="s">
        <v>171</v>
      </c>
      <c r="B35" s="333">
        <f t="shared" ref="B35:B37" si="1">D35-C35</f>
        <v>1162524</v>
      </c>
      <c r="C35" s="338">
        <v>713922</v>
      </c>
      <c r="D35" s="333">
        <f>'Op &amp; Maint Sched 7'!F25</f>
        <v>1876446</v>
      </c>
      <c r="E35" s="330"/>
      <c r="F35" s="325"/>
    </row>
    <row r="36" spans="1:6" ht="15.6">
      <c r="A36" s="331" t="s">
        <v>380</v>
      </c>
      <c r="B36" s="333">
        <f t="shared" si="1"/>
        <v>749969</v>
      </c>
      <c r="C36" s="338">
        <v>399959</v>
      </c>
      <c r="D36" s="333">
        <f>'Op &amp; Maint Sched 7'!F27</f>
        <v>1149928</v>
      </c>
      <c r="E36" s="330"/>
      <c r="F36" s="325"/>
    </row>
    <row r="37" spans="1:6" ht="15.6">
      <c r="A37" s="331" t="s">
        <v>307</v>
      </c>
      <c r="B37" s="333">
        <f t="shared" si="1"/>
        <v>306128</v>
      </c>
      <c r="C37" s="338">
        <v>207124</v>
      </c>
      <c r="D37" s="333">
        <f>'Op &amp; Maint Sched 7'!F28</f>
        <v>513252</v>
      </c>
      <c r="E37" s="330"/>
      <c r="F37" s="325"/>
    </row>
    <row r="38" spans="1:6" ht="15.6">
      <c r="A38" s="331" t="s">
        <v>381</v>
      </c>
      <c r="B38" s="334">
        <f t="shared" ref="B38:C38" si="2">SUM(B35:B37)</f>
        <v>2218621</v>
      </c>
      <c r="C38" s="334">
        <f t="shared" si="2"/>
        <v>1321005</v>
      </c>
      <c r="D38" s="334">
        <f>SUM(D35:D37)</f>
        <v>3539626</v>
      </c>
      <c r="E38" s="330"/>
      <c r="F38" s="325"/>
    </row>
    <row r="39" spans="1:6">
      <c r="E39" s="223"/>
    </row>
  </sheetData>
  <mergeCells count="4">
    <mergeCell ref="A5:C5"/>
    <mergeCell ref="A2:D2"/>
    <mergeCell ref="A1:D1"/>
    <mergeCell ref="A3:D3"/>
  </mergeCells>
  <pageMargins left="0.5" right="0.45" top="0.75" bottom="0.5" header="0.3" footer="0.3"/>
  <pageSetup orientation="portrait" r:id="rId1"/>
  <headerFooter>
    <oddHeader>&amp;L&amp;"Arial MT,Bold"Rochester Public Utilities
2016 Work Papers&amp;R&amp;"Arial MT,Bold"Exhibit RPU-8
Page 14 of 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G18"/>
  <sheetViews>
    <sheetView zoomScaleNormal="100" zoomScaleSheetLayoutView="100" workbookViewId="0">
      <selection activeCell="E3" sqref="E3"/>
    </sheetView>
  </sheetViews>
  <sheetFormatPr defaultColWidth="8.90625" defaultRowHeight="14.4"/>
  <cols>
    <col min="1" max="1" width="56.08984375" style="185" bestFit="1" customWidth="1"/>
    <col min="2" max="2" width="8.08984375" style="185" customWidth="1"/>
    <col min="3" max="3" width="8.453125" style="185" customWidth="1"/>
    <col min="4" max="16384" width="8.90625" style="185"/>
  </cols>
  <sheetData>
    <row r="1" spans="1:7" ht="17.399999999999999">
      <c r="A1" s="703" t="str">
        <f>Coversheet!B3</f>
        <v>Rochester Public Utilities</v>
      </c>
      <c r="B1" s="703"/>
      <c r="C1" s="703"/>
      <c r="D1" s="201"/>
      <c r="E1" s="201"/>
      <c r="F1" s="201"/>
      <c r="G1" s="201"/>
    </row>
    <row r="2" spans="1:7" ht="17.399999999999999">
      <c r="A2" s="703" t="s">
        <v>512</v>
      </c>
      <c r="B2" s="703"/>
      <c r="C2" s="703"/>
      <c r="D2" s="201"/>
      <c r="E2" s="201"/>
      <c r="F2" s="201"/>
      <c r="G2" s="201"/>
    </row>
    <row r="3" spans="1:7" ht="17.399999999999999">
      <c r="A3" s="703" t="str">
        <f>'Admin &amp; General'!A3</f>
        <v>True-up Actual for 12 Months Ended December 31, 2016</v>
      </c>
      <c r="B3" s="703"/>
      <c r="C3" s="703"/>
      <c r="D3" s="201"/>
      <c r="E3" s="201"/>
      <c r="F3" s="201"/>
      <c r="G3" s="201"/>
    </row>
    <row r="5" spans="1:7" ht="15.6">
      <c r="A5" s="707" t="s">
        <v>511</v>
      </c>
      <c r="B5" s="707"/>
      <c r="C5" s="707"/>
      <c r="D5" s="203"/>
    </row>
    <row r="6" spans="1:7">
      <c r="E6" s="239"/>
    </row>
    <row r="7" spans="1:7" ht="15.6">
      <c r="A7" s="401"/>
      <c r="B7" s="401" t="s">
        <v>316</v>
      </c>
      <c r="C7" s="392"/>
      <c r="D7" s="210"/>
    </row>
    <row r="8" spans="1:7" ht="15.6">
      <c r="A8" s="198" t="s">
        <v>317</v>
      </c>
      <c r="B8" s="198" t="s">
        <v>318</v>
      </c>
      <c r="C8" s="198" t="s">
        <v>2</v>
      </c>
    </row>
    <row r="9" spans="1:7" ht="15.6">
      <c r="A9" s="392"/>
      <c r="B9" s="392"/>
      <c r="C9" s="392"/>
    </row>
    <row r="10" spans="1:7" ht="15.6">
      <c r="A10" s="200" t="s">
        <v>319</v>
      </c>
      <c r="B10" s="446">
        <v>0</v>
      </c>
      <c r="C10" s="343">
        <v>0</v>
      </c>
    </row>
    <row r="11" spans="1:7" ht="15.6">
      <c r="A11" s="200" t="s">
        <v>320</v>
      </c>
      <c r="B11" s="446">
        <v>0</v>
      </c>
      <c r="C11" s="343">
        <v>0</v>
      </c>
    </row>
    <row r="12" spans="1:7" ht="17.399999999999999">
      <c r="A12" s="200" t="s">
        <v>321</v>
      </c>
      <c r="B12" s="447">
        <v>0</v>
      </c>
      <c r="C12" s="448">
        <v>0</v>
      </c>
    </row>
    <row r="13" spans="1:7" ht="15.6">
      <c r="A13" s="392"/>
      <c r="B13" s="392"/>
      <c r="C13" s="392"/>
    </row>
    <row r="14" spans="1:7" ht="15.6">
      <c r="A14" s="200" t="s">
        <v>3</v>
      </c>
      <c r="B14" s="449">
        <f>SUM(B10:B13)</f>
        <v>0</v>
      </c>
      <c r="C14" s="450">
        <f>SUM(C10:C13)</f>
        <v>0</v>
      </c>
    </row>
    <row r="17" spans="1:1">
      <c r="A17" s="204"/>
    </row>
    <row r="18" spans="1:1">
      <c r="A18" s="204"/>
    </row>
  </sheetData>
  <mergeCells count="4">
    <mergeCell ref="A1:C1"/>
    <mergeCell ref="A3:C3"/>
    <mergeCell ref="A5:C5"/>
    <mergeCell ref="A2:C2"/>
  </mergeCells>
  <pageMargins left="0.7" right="0.7" top="0.75" bottom="0.75" header="0.3" footer="0.3"/>
  <pageSetup orientation="landscape" r:id="rId1"/>
  <headerFooter>
    <oddHeader>&amp;L&amp;"Arial MT,Bold"Rochester Public Utilities
2016 Work Papers&amp;R&amp;"Arial MT,Bold"Exhibit RPU-8
Page 15 of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opLeftCell="A19" zoomScale="80" zoomScaleNormal="80" workbookViewId="0">
      <selection activeCell="B26" sqref="B26"/>
    </sheetView>
  </sheetViews>
  <sheetFormatPr defaultColWidth="9" defaultRowHeight="15.6"/>
  <cols>
    <col min="1" max="1" width="4.54296875" style="555" customWidth="1"/>
    <col min="2" max="2" width="17" style="554" customWidth="1"/>
    <col min="3" max="3" width="56.54296875" style="554" customWidth="1"/>
    <col min="4" max="4" width="45.54296875" style="554" customWidth="1"/>
    <col min="5" max="5" width="12.90625" style="554" bestFit="1" customWidth="1"/>
    <col min="6" max="6" width="10.453125" style="554" customWidth="1"/>
    <col min="7" max="16384" width="9" style="554"/>
  </cols>
  <sheetData>
    <row r="1" spans="1:21">
      <c r="A1"/>
      <c r="B1"/>
      <c r="C1"/>
      <c r="D1"/>
      <c r="E1"/>
      <c r="F1" s="386" t="s">
        <v>643</v>
      </c>
    </row>
    <row r="2" spans="1:21">
      <c r="A2"/>
      <c r="B2"/>
      <c r="C2"/>
      <c r="D2"/>
      <c r="E2"/>
      <c r="F2"/>
    </row>
    <row r="3" spans="1:21">
      <c r="A3" s="665" t="s">
        <v>366</v>
      </c>
      <c r="B3" s="665"/>
      <c r="C3" s="665"/>
      <c r="D3" s="665"/>
      <c r="E3" s="665"/>
      <c r="F3" s="665"/>
    </row>
    <row r="4" spans="1:21">
      <c r="A4" s="665" t="s">
        <v>417</v>
      </c>
      <c r="B4" s="665"/>
      <c r="C4" s="665"/>
      <c r="D4" s="665"/>
      <c r="E4" s="665"/>
      <c r="F4" s="665"/>
    </row>
    <row r="5" spans="1:21">
      <c r="A5" s="665" t="s">
        <v>581</v>
      </c>
      <c r="B5" s="665"/>
      <c r="C5" s="665"/>
      <c r="D5" s="665"/>
      <c r="E5" s="665"/>
      <c r="F5" s="665"/>
    </row>
    <row r="6" spans="1:21">
      <c r="A6" s="258"/>
      <c r="B6" s="258"/>
      <c r="C6" s="258"/>
      <c r="D6" s="258"/>
      <c r="E6" s="258"/>
      <c r="F6" s="258"/>
    </row>
    <row r="7" spans="1:21">
      <c r="A7" s="666" t="str">
        <f>CONCATENATE("Calculation of Schedule 1 Recoverable Expenses for for 12 months ended 12/31/",Coversheet!E40)</f>
        <v>Calculation of Schedule 1 Recoverable Expenses for for 12 months ended 12/31/2016</v>
      </c>
      <c r="B7" s="666"/>
      <c r="C7" s="666"/>
      <c r="D7" s="666"/>
      <c r="E7" s="666"/>
      <c r="F7" s="666"/>
    </row>
    <row r="8" spans="1:21">
      <c r="A8" s="556"/>
      <c r="B8" s="556"/>
      <c r="C8" s="556"/>
      <c r="D8" s="556"/>
      <c r="E8" s="556"/>
      <c r="F8" s="556"/>
    </row>
    <row r="9" spans="1:21">
      <c r="A9" s="667" t="str">
        <f>CONCATENATE("Includes Schedule 1 True-up Adjustment for 12 months ended 12/31/",Coversheet!E39-1,"    (1)")</f>
        <v>Includes Schedule 1 True-up Adjustment for 12 months ended 12/31/2014    (1)</v>
      </c>
      <c r="B9" s="667"/>
      <c r="C9" s="667"/>
      <c r="D9" s="667"/>
      <c r="E9" s="667"/>
      <c r="F9" s="667"/>
    </row>
    <row r="10" spans="1:21" ht="31.2">
      <c r="A10" s="271" t="s">
        <v>199</v>
      </c>
      <c r="B10"/>
      <c r="C10"/>
      <c r="D10"/>
      <c r="E10"/>
      <c r="F10"/>
    </row>
    <row r="11" spans="1:21">
      <c r="A11" s="554"/>
      <c r="B11"/>
      <c r="C11" s="600"/>
      <c r="D11" s="600"/>
      <c r="E11" s="600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</row>
    <row r="12" spans="1:21">
      <c r="A12" s="554"/>
      <c r="B12" s="567"/>
      <c r="C12" s="567"/>
      <c r="D12" s="566"/>
      <c r="E12" s="568" t="s">
        <v>415</v>
      </c>
      <c r="F12" s="568"/>
    </row>
    <row r="13" spans="1:21">
      <c r="A13" s="554"/>
      <c r="B13" s="567"/>
      <c r="C13" s="567"/>
      <c r="D13" s="7"/>
      <c r="E13" s="564"/>
      <c r="F13" s="564"/>
    </row>
    <row r="14" spans="1:21">
      <c r="A14" s="577">
        <f>1+A11</f>
        <v>1</v>
      </c>
      <c r="B14" s="7" t="s">
        <v>566</v>
      </c>
      <c r="C14" s="7"/>
      <c r="D14" s="7" t="s">
        <v>578</v>
      </c>
      <c r="E14" s="570">
        <f>'Transmission O&amp;M'!C9</f>
        <v>34045</v>
      </c>
      <c r="F14" s="570"/>
    </row>
    <row r="15" spans="1:21">
      <c r="A15" s="577">
        <f>1+A14</f>
        <v>2</v>
      </c>
      <c r="B15" s="7" t="s">
        <v>567</v>
      </c>
      <c r="C15" s="7"/>
      <c r="D15" s="7" t="s">
        <v>578</v>
      </c>
      <c r="E15" s="572">
        <f>'Transmission O&amp;M'!C10</f>
        <v>227197</v>
      </c>
      <c r="F15" s="572"/>
    </row>
    <row r="16" spans="1:21">
      <c r="A16" s="577">
        <f>1+A15</f>
        <v>3</v>
      </c>
      <c r="B16" s="7" t="s">
        <v>568</v>
      </c>
      <c r="C16" s="7"/>
      <c r="D16" s="7" t="s">
        <v>578</v>
      </c>
      <c r="E16" s="572">
        <f>'Transmission O&amp;M'!C11</f>
        <v>11073</v>
      </c>
      <c r="F16" s="572"/>
    </row>
    <row r="17" spans="1:8">
      <c r="A17" s="577">
        <f>1+A16</f>
        <v>4</v>
      </c>
      <c r="B17" s="7" t="s">
        <v>569</v>
      </c>
      <c r="C17" s="7"/>
      <c r="D17" s="7" t="s">
        <v>585</v>
      </c>
      <c r="E17" s="578">
        <f>+E14+E15+E16</f>
        <v>272315</v>
      </c>
      <c r="F17" s="570"/>
    </row>
    <row r="18" spans="1:8">
      <c r="A18" s="554"/>
      <c r="B18" s="7"/>
      <c r="C18" s="7"/>
      <c r="D18" s="7"/>
      <c r="E18" s="572"/>
      <c r="F18" s="572"/>
    </row>
    <row r="19" spans="1:8" ht="18.600000000000001">
      <c r="A19" s="577">
        <f>1+A17</f>
        <v>5</v>
      </c>
      <c r="B19" s="2" t="s">
        <v>576</v>
      </c>
      <c r="C19" s="2"/>
      <c r="D19" s="10" t="s">
        <v>582</v>
      </c>
      <c r="E19" s="573">
        <v>0</v>
      </c>
      <c r="F19" s="574"/>
    </row>
    <row r="20" spans="1:8">
      <c r="A20" s="554"/>
      <c r="B20" s="2"/>
      <c r="C20" s="2"/>
      <c r="D20" s="2"/>
      <c r="E20" s="446"/>
      <c r="F20" s="446"/>
    </row>
    <row r="21" spans="1:8" ht="18">
      <c r="A21" s="577">
        <f>1+A19</f>
        <v>6</v>
      </c>
      <c r="B21" s="563" t="s">
        <v>586</v>
      </c>
      <c r="C21" s="2"/>
      <c r="D21" s="2" t="s">
        <v>595</v>
      </c>
      <c r="E21" s="589">
        <f>+E17-E19</f>
        <v>272315</v>
      </c>
      <c r="F21" s="575"/>
    </row>
    <row r="22" spans="1:8">
      <c r="A22" s="554"/>
      <c r="B22" s="2"/>
      <c r="C22" s="2"/>
      <c r="D22" s="2"/>
      <c r="E22" s="2"/>
      <c r="F22" s="2"/>
    </row>
    <row r="23" spans="1:8">
      <c r="A23" s="577">
        <f>1+A21</f>
        <v>7</v>
      </c>
      <c r="B23" s="563" t="s">
        <v>587</v>
      </c>
      <c r="C23" s="2"/>
      <c r="D23" s="10" t="str">
        <f>CONCATENATE("See RPU Attach O_GG ",Coversheet!E39-1," True-up and Workpapers")</f>
        <v>See RPU Attach O_GG 2014 True-up and Workpapers</v>
      </c>
      <c r="E23" s="573">
        <v>0</v>
      </c>
      <c r="F23" s="574"/>
    </row>
    <row r="24" spans="1:8">
      <c r="A24" s="577"/>
      <c r="B24" s="563"/>
      <c r="C24" s="2"/>
      <c r="D24" s="10" t="s">
        <v>612</v>
      </c>
      <c r="E24" s="590"/>
      <c r="F24" s="574"/>
    </row>
    <row r="25" spans="1:8">
      <c r="A25" s="577"/>
      <c r="B25" s="563"/>
      <c r="C25" s="2"/>
      <c r="D25" s="10"/>
      <c r="E25" s="590"/>
      <c r="F25" s="574"/>
    </row>
    <row r="26" spans="1:8">
      <c r="A26" s="577">
        <f>1+A23</f>
        <v>8</v>
      </c>
      <c r="B26" s="563" t="s">
        <v>594</v>
      </c>
      <c r="C26" s="2"/>
      <c r="D26" s="10" t="s">
        <v>611</v>
      </c>
      <c r="E26" s="573">
        <f>'Account 456.1'!D11</f>
        <v>20967.060000000001</v>
      </c>
      <c r="F26"/>
      <c r="G26"/>
      <c r="H26"/>
    </row>
    <row r="27" spans="1:8">
      <c r="A27" s="554"/>
      <c r="B27" s="7"/>
      <c r="C27" s="7"/>
      <c r="D27" s="7"/>
      <c r="E27" s="572"/>
      <c r="F27" s="572"/>
    </row>
    <row r="28" spans="1:8" ht="16.2" thickBot="1">
      <c r="A28" s="577">
        <f>1+A26</f>
        <v>9</v>
      </c>
      <c r="B28" s="564" t="s">
        <v>588</v>
      </c>
      <c r="C28" s="7"/>
      <c r="D28" s="7"/>
      <c r="E28" s="576">
        <f>E21+E23-E26</f>
        <v>251347.94</v>
      </c>
      <c r="F28" s="10"/>
    </row>
    <row r="29" spans="1:8" ht="16.2" thickTop="1">
      <c r="A29" s="554"/>
      <c r="B29" s="7"/>
      <c r="C29" s="7"/>
      <c r="D29" s="7"/>
      <c r="E29" s="7"/>
      <c r="F29" s="7"/>
    </row>
    <row r="30" spans="1:8">
      <c r="A30" s="554"/>
      <c r="B30" s="7" t="s">
        <v>571</v>
      </c>
      <c r="C30" s="7"/>
      <c r="D30" s="7" t="s">
        <v>597</v>
      </c>
      <c r="E30" s="579">
        <f>Divisor!M23</f>
        <v>199698.83333333334</v>
      </c>
      <c r="F30" s="10"/>
    </row>
    <row r="31" spans="1:8">
      <c r="A31" s="554"/>
      <c r="B31" s="7"/>
      <c r="C31" s="7"/>
      <c r="D31" s="7"/>
      <c r="E31" s="7"/>
      <c r="F31" s="7"/>
    </row>
    <row r="32" spans="1:8">
      <c r="A32" s="577">
        <f>1+A28</f>
        <v>10</v>
      </c>
      <c r="B32" s="7" t="s">
        <v>4</v>
      </c>
      <c r="C32" s="7"/>
      <c r="D32" s="7"/>
      <c r="E32" s="597">
        <f>ROUND(E28/E30,8)</f>
        <v>1.25863499</v>
      </c>
      <c r="F32" s="7"/>
    </row>
    <row r="33" spans="1:6">
      <c r="A33" s="554"/>
      <c r="B33" s="7"/>
      <c r="C33" s="7"/>
      <c r="D33" s="7"/>
      <c r="E33" s="7"/>
      <c r="F33" s="7"/>
    </row>
    <row r="34" spans="1:6">
      <c r="B34" s="664" t="s">
        <v>483</v>
      </c>
      <c r="C34" s="664"/>
      <c r="D34" s="664"/>
      <c r="E34" s="664"/>
      <c r="F34" s="664"/>
    </row>
    <row r="36" spans="1:6">
      <c r="B36" s="254" t="s">
        <v>584</v>
      </c>
    </row>
    <row r="37" spans="1:6">
      <c r="B37" s="554" t="s">
        <v>589</v>
      </c>
    </row>
    <row r="38" spans="1:6">
      <c r="B38" s="2" t="s">
        <v>590</v>
      </c>
      <c r="C38" s="562"/>
    </row>
    <row r="39" spans="1:6">
      <c r="B39" s="2" t="s">
        <v>591</v>
      </c>
      <c r="C39" s="562"/>
    </row>
    <row r="40" spans="1:6">
      <c r="B40" s="2" t="s">
        <v>592</v>
      </c>
      <c r="C40" s="562"/>
    </row>
    <row r="41" spans="1:6">
      <c r="B41" s="2" t="s">
        <v>593</v>
      </c>
      <c r="C41" s="562"/>
    </row>
  </sheetData>
  <mergeCells count="6">
    <mergeCell ref="B34:F34"/>
    <mergeCell ref="A3:F3"/>
    <mergeCell ref="A4:F4"/>
    <mergeCell ref="A5:F5"/>
    <mergeCell ref="A7:F7"/>
    <mergeCell ref="A9:F9"/>
  </mergeCells>
  <pageMargins left="0.5" right="0.5" top="0.5" bottom="0.5" header="0.3" footer="0.3"/>
  <pageSetup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29"/>
  <sheetViews>
    <sheetView zoomScaleNormal="100" zoomScaleSheetLayoutView="100" workbookViewId="0">
      <selection activeCell="G26" sqref="G26"/>
    </sheetView>
  </sheetViews>
  <sheetFormatPr defaultColWidth="8.90625" defaultRowHeight="14.4"/>
  <cols>
    <col min="1" max="1" width="71.54296875" style="185" customWidth="1"/>
    <col min="2" max="2" width="9.81640625" style="185" bestFit="1" customWidth="1"/>
    <col min="3" max="3" width="9" style="185" bestFit="1" customWidth="1"/>
    <col min="4" max="4" width="2.1796875" style="185" customWidth="1"/>
    <col min="5" max="5" width="8.1796875" style="185" bestFit="1" customWidth="1"/>
    <col min="6" max="16384" width="8.90625" style="185"/>
  </cols>
  <sheetData>
    <row r="1" spans="1:9" ht="17.399999999999999">
      <c r="A1" s="703" t="str">
        <f>Coversheet!B3</f>
        <v>Rochester Public Utilities</v>
      </c>
      <c r="B1" s="703"/>
      <c r="C1" s="703"/>
      <c r="D1" s="201"/>
      <c r="E1" s="201"/>
      <c r="F1" s="201"/>
      <c r="G1" s="201"/>
      <c r="H1" s="201"/>
    </row>
    <row r="2" spans="1:9" ht="17.399999999999999">
      <c r="A2" s="703" t="s">
        <v>514</v>
      </c>
      <c r="B2" s="703"/>
      <c r="C2" s="703"/>
      <c r="D2" s="201"/>
      <c r="E2" s="201"/>
      <c r="F2" s="201"/>
      <c r="G2" s="201"/>
      <c r="H2" s="201"/>
    </row>
    <row r="3" spans="1:9" ht="17.399999999999999">
      <c r="A3" s="703" t="str">
        <f>'FERC Fees'!A3</f>
        <v>True-up Actual for 12 Months Ended December 31, 2016</v>
      </c>
      <c r="B3" s="703"/>
      <c r="C3" s="703"/>
      <c r="D3" s="201"/>
      <c r="E3" s="201"/>
      <c r="F3" s="201"/>
      <c r="G3" s="201"/>
      <c r="H3" s="201"/>
      <c r="I3" s="201"/>
    </row>
    <row r="5" spans="1:9" ht="17.399999999999999">
      <c r="A5" s="703" t="s">
        <v>513</v>
      </c>
      <c r="B5" s="703"/>
      <c r="C5" s="703"/>
      <c r="D5" s="203"/>
      <c r="E5" s="203"/>
    </row>
    <row r="8" spans="1:9" ht="15.6">
      <c r="A8" s="392" t="s">
        <v>322</v>
      </c>
      <c r="B8" s="343">
        <v>0</v>
      </c>
      <c r="D8" s="434" t="s">
        <v>550</v>
      </c>
      <c r="E8" s="392"/>
      <c r="F8" s="392"/>
    </row>
    <row r="9" spans="1:9" ht="15.6">
      <c r="A9" s="392"/>
      <c r="B9" s="392"/>
      <c r="D9" s="434"/>
      <c r="E9" s="392"/>
      <c r="F9" s="392"/>
    </row>
    <row r="10" spans="1:9" ht="15.6">
      <c r="A10" s="392"/>
      <c r="B10" s="392"/>
      <c r="D10" s="434"/>
      <c r="E10" s="392"/>
      <c r="F10" s="392"/>
    </row>
    <row r="11" spans="1:9" ht="15.6">
      <c r="A11" s="392"/>
      <c r="B11" s="392"/>
      <c r="D11" s="434"/>
      <c r="E11" s="392"/>
      <c r="F11" s="392"/>
    </row>
    <row r="12" spans="1:9" ht="15.6">
      <c r="A12" s="392"/>
      <c r="B12" s="392"/>
      <c r="D12" s="434"/>
      <c r="E12" s="392"/>
      <c r="F12" s="392"/>
    </row>
    <row r="13" spans="1:9" ht="15.6">
      <c r="A13" s="392" t="s">
        <v>517</v>
      </c>
      <c r="B13" s="392"/>
      <c r="D13" s="434"/>
      <c r="E13" s="434" t="s">
        <v>518</v>
      </c>
      <c r="F13" s="392"/>
    </row>
    <row r="14" spans="1:9" ht="15.6">
      <c r="A14" s="451" t="s">
        <v>461</v>
      </c>
      <c r="B14" s="310">
        <v>940939</v>
      </c>
      <c r="D14" s="434" t="s">
        <v>519</v>
      </c>
      <c r="E14" s="392"/>
      <c r="F14" s="392"/>
    </row>
    <row r="15" spans="1:9" ht="15.6">
      <c r="A15" s="200" t="s">
        <v>323</v>
      </c>
      <c r="B15" s="317">
        <v>0</v>
      </c>
      <c r="D15" s="434" t="s">
        <v>462</v>
      </c>
      <c r="E15" s="392"/>
      <c r="F15" s="392"/>
    </row>
    <row r="16" spans="1:9" ht="15.6">
      <c r="A16" s="392"/>
      <c r="B16" s="452">
        <f>SUM(B14:B15)</f>
        <v>940939</v>
      </c>
      <c r="D16" s="434"/>
      <c r="E16" s="392"/>
      <c r="F16" s="392"/>
    </row>
    <row r="17" spans="1:6" ht="15.6">
      <c r="A17" s="392"/>
      <c r="B17" s="392"/>
      <c r="D17" s="434"/>
      <c r="E17" s="392"/>
      <c r="F17" s="392"/>
    </row>
    <row r="18" spans="1:6" ht="15.6">
      <c r="A18" s="392"/>
      <c r="B18" s="392"/>
      <c r="D18" s="434"/>
      <c r="E18" s="392"/>
      <c r="F18" s="392"/>
    </row>
    <row r="19" spans="1:6" ht="15.6">
      <c r="A19" s="392" t="s">
        <v>324</v>
      </c>
      <c r="B19" s="392"/>
      <c r="D19" s="434"/>
      <c r="E19" s="392"/>
      <c r="F19" s="392"/>
    </row>
    <row r="20" spans="1:6" ht="15.6">
      <c r="A20" s="326" t="s">
        <v>393</v>
      </c>
      <c r="B20" s="310">
        <v>69903</v>
      </c>
      <c r="D20" s="444" t="s">
        <v>394</v>
      </c>
      <c r="E20" s="392"/>
      <c r="F20" s="392"/>
    </row>
    <row r="21" spans="1:6" ht="15.6">
      <c r="A21" s="200" t="s">
        <v>325</v>
      </c>
      <c r="B21" s="317">
        <v>0</v>
      </c>
      <c r="D21" s="434" t="s">
        <v>463</v>
      </c>
      <c r="E21" s="392"/>
      <c r="F21" s="392"/>
    </row>
    <row r="22" spans="1:6" ht="18" customHeight="1">
      <c r="A22" s="392"/>
      <c r="B22" s="318">
        <f>SUM(B20:B21)</f>
        <v>69903</v>
      </c>
      <c r="C22" s="392"/>
      <c r="D22" s="392"/>
      <c r="E22" s="392"/>
      <c r="F22" s="392"/>
    </row>
    <row r="23" spans="1:6" ht="15.6">
      <c r="A23" s="392"/>
      <c r="B23" s="392"/>
      <c r="C23" s="392"/>
      <c r="D23" s="392"/>
      <c r="E23" s="392"/>
      <c r="F23" s="392"/>
    </row>
    <row r="24" spans="1:6" ht="15.6">
      <c r="A24" s="392"/>
      <c r="B24" s="392"/>
      <c r="C24" s="392"/>
      <c r="D24" s="392"/>
      <c r="E24" s="392"/>
      <c r="F24" s="392"/>
    </row>
    <row r="25" spans="1:6" ht="15.6">
      <c r="A25" s="207" t="s">
        <v>499</v>
      </c>
      <c r="B25" s="207"/>
      <c r="C25" s="207"/>
      <c r="D25" s="207"/>
      <c r="E25" s="207"/>
      <c r="F25" s="207"/>
    </row>
    <row r="26" spans="1:6" ht="15.6">
      <c r="A26" s="392"/>
      <c r="B26" s="392"/>
      <c r="C26" s="392"/>
      <c r="D26" s="392"/>
      <c r="E26" s="392"/>
      <c r="F26" s="392"/>
    </row>
    <row r="27" spans="1:6" ht="15.6">
      <c r="A27" s="392"/>
      <c r="B27" s="392"/>
      <c r="C27" s="392"/>
      <c r="D27" s="392"/>
      <c r="E27" s="392"/>
      <c r="F27" s="392"/>
    </row>
    <row r="28" spans="1:6" ht="15.6">
      <c r="A28" s="325" t="s">
        <v>401</v>
      </c>
      <c r="B28" s="392"/>
      <c r="C28" s="392"/>
      <c r="D28" s="392"/>
      <c r="E28" s="392"/>
      <c r="F28" s="392"/>
    </row>
    <row r="29" spans="1:6" ht="15.6">
      <c r="A29" s="392"/>
      <c r="B29" s="392"/>
      <c r="C29" s="392"/>
      <c r="D29" s="392"/>
      <c r="E29" s="392"/>
    </row>
  </sheetData>
  <mergeCells count="4">
    <mergeCell ref="A3:C3"/>
    <mergeCell ref="A1:C1"/>
    <mergeCell ref="A5:C5"/>
    <mergeCell ref="A2:C2"/>
  </mergeCells>
  <pageMargins left="0.45" right="0.2" top="0.75" bottom="0.5" header="0.3" footer="0.3"/>
  <pageSetup orientation="landscape" r:id="rId1"/>
  <headerFooter>
    <oddHeader>&amp;L&amp;"Arial MT,Bold"Rochester Public Utilities
2016 Work Papers&amp;R&amp;"Arial MT,Bold"Exhibit RPU-8
Page 16 of 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G16"/>
  <sheetViews>
    <sheetView zoomScaleNormal="100" zoomScaleSheetLayoutView="100" workbookViewId="0">
      <selection activeCell="I19" sqref="I19"/>
    </sheetView>
  </sheetViews>
  <sheetFormatPr defaultColWidth="8.90625" defaultRowHeight="14.4"/>
  <cols>
    <col min="1" max="1" width="32.36328125" style="185" bestFit="1" customWidth="1"/>
    <col min="2" max="3" width="6.54296875" style="185" customWidth="1"/>
    <col min="4" max="4" width="11.54296875" style="185" bestFit="1" customWidth="1"/>
    <col min="5" max="5" width="2.08984375" style="185" customWidth="1"/>
    <col min="6" max="16384" width="8.90625" style="185"/>
  </cols>
  <sheetData>
    <row r="1" spans="1:7" s="634" customFormat="1" ht="15.6">
      <c r="A1" s="708" t="str">
        <f>Coversheet!B3</f>
        <v>Rochester Public Utilities</v>
      </c>
      <c r="B1" s="708"/>
      <c r="C1" s="708"/>
      <c r="D1" s="708"/>
      <c r="E1" s="633"/>
      <c r="F1" s="633"/>
      <c r="G1" s="633"/>
    </row>
    <row r="2" spans="1:7" s="634" customFormat="1" ht="15.6">
      <c r="A2" s="708" t="s">
        <v>515</v>
      </c>
      <c r="B2" s="708"/>
      <c r="C2" s="708"/>
      <c r="D2" s="708"/>
      <c r="E2" s="633"/>
      <c r="F2" s="633"/>
      <c r="G2" s="633"/>
    </row>
    <row r="3" spans="1:7" s="634" customFormat="1" ht="15.6">
      <c r="A3" s="708" t="str">
        <f>'EPRI Reg Comm Non Safety'!A3</f>
        <v>True-up Actual for 12 Months Ended December 31, 2016</v>
      </c>
      <c r="B3" s="708"/>
      <c r="C3" s="708"/>
      <c r="D3" s="708"/>
      <c r="E3" s="633"/>
      <c r="F3" s="633"/>
      <c r="G3" s="633"/>
    </row>
    <row r="4" spans="1:7">
      <c r="A4" s="315"/>
      <c r="B4" s="315"/>
      <c r="C4" s="315"/>
      <c r="D4" s="315"/>
      <c r="E4" s="315"/>
      <c r="F4" s="315"/>
      <c r="G4" s="315"/>
    </row>
    <row r="5" spans="1:7" ht="15.6">
      <c r="A5" s="708" t="s">
        <v>326</v>
      </c>
      <c r="B5" s="708"/>
      <c r="C5" s="708"/>
      <c r="D5" s="708"/>
      <c r="E5" s="315"/>
      <c r="F5" s="315"/>
      <c r="G5" s="315"/>
    </row>
    <row r="6" spans="1:7">
      <c r="A6" s="315"/>
      <c r="B6" s="315"/>
      <c r="C6" s="315"/>
      <c r="D6" s="315"/>
      <c r="E6" s="315"/>
      <c r="F6" s="315"/>
      <c r="G6" s="315"/>
    </row>
    <row r="7" spans="1:7" ht="15.6">
      <c r="A7" s="453" t="s">
        <v>327</v>
      </c>
      <c r="B7" s="315"/>
      <c r="C7" s="315"/>
      <c r="D7" s="310">
        <v>898426.46000000089</v>
      </c>
      <c r="E7" s="315"/>
      <c r="F7" s="456" t="s">
        <v>328</v>
      </c>
      <c r="G7" s="456"/>
    </row>
    <row r="8" spans="1:7" ht="15.6">
      <c r="A8" s="315" t="s">
        <v>329</v>
      </c>
      <c r="B8" s="315"/>
      <c r="C8" s="315"/>
      <c r="D8" s="464">
        <v>0</v>
      </c>
      <c r="E8" s="315"/>
      <c r="F8" s="456" t="s">
        <v>330</v>
      </c>
      <c r="G8" s="456"/>
    </row>
    <row r="9" spans="1:7" ht="15.6">
      <c r="A9" s="315" t="s">
        <v>331</v>
      </c>
      <c r="B9" s="315"/>
      <c r="C9" s="315"/>
      <c r="D9" s="464">
        <v>0</v>
      </c>
      <c r="E9" s="315"/>
      <c r="F9" s="456" t="s">
        <v>332</v>
      </c>
      <c r="G9" s="456"/>
    </row>
    <row r="10" spans="1:7" ht="15.6">
      <c r="A10" s="315" t="s">
        <v>333</v>
      </c>
      <c r="B10" s="315"/>
      <c r="C10" s="315"/>
      <c r="D10" s="464">
        <v>0</v>
      </c>
      <c r="E10" s="315"/>
      <c r="F10" s="456" t="s">
        <v>334</v>
      </c>
      <c r="G10" s="456"/>
    </row>
    <row r="11" spans="1:7" ht="15.6">
      <c r="A11" s="454" t="s">
        <v>184</v>
      </c>
      <c r="B11" s="315"/>
      <c r="C11" s="315"/>
      <c r="D11" s="487">
        <v>8470040.6799999997</v>
      </c>
      <c r="E11" s="315"/>
      <c r="F11" s="456" t="s">
        <v>335</v>
      </c>
      <c r="G11" s="456"/>
    </row>
    <row r="12" spans="1:7" ht="15.6">
      <c r="A12" s="315" t="s">
        <v>336</v>
      </c>
      <c r="B12" s="315"/>
      <c r="C12" s="315"/>
      <c r="D12" s="455">
        <v>0</v>
      </c>
      <c r="E12" s="315"/>
      <c r="F12" s="456" t="s">
        <v>337</v>
      </c>
      <c r="G12" s="456"/>
    </row>
    <row r="13" spans="1:7" ht="15.6">
      <c r="A13" s="315" t="s">
        <v>3</v>
      </c>
      <c r="B13" s="315"/>
      <c r="C13" s="315"/>
      <c r="D13" s="343">
        <f>SUM(D7:D12)</f>
        <v>9368467.1400000006</v>
      </c>
      <c r="E13" s="315"/>
      <c r="F13" s="456" t="s">
        <v>338</v>
      </c>
      <c r="G13" s="456"/>
    </row>
    <row r="14" spans="1:7">
      <c r="A14" s="315"/>
      <c r="B14" s="315"/>
      <c r="C14" s="315"/>
      <c r="D14" s="607">
        <f>ROUND(D13-'Income Sched 3'!C14,0)</f>
        <v>0</v>
      </c>
      <c r="E14" s="315"/>
      <c r="F14" s="456" t="s">
        <v>339</v>
      </c>
      <c r="G14" s="456"/>
    </row>
    <row r="15" spans="1:7">
      <c r="A15" s="315"/>
      <c r="B15" s="315"/>
      <c r="C15" s="315"/>
      <c r="D15" s="315"/>
      <c r="E15" s="315"/>
      <c r="F15" s="456" t="s">
        <v>340</v>
      </c>
      <c r="G15" s="456"/>
    </row>
    <row r="16" spans="1:7">
      <c r="A16" s="315"/>
      <c r="B16" s="315"/>
      <c r="C16" s="315"/>
      <c r="D16" s="315"/>
      <c r="E16" s="315"/>
      <c r="F16" s="456" t="s">
        <v>341</v>
      </c>
      <c r="G16" s="456"/>
    </row>
  </sheetData>
  <mergeCells count="4">
    <mergeCell ref="A1:D1"/>
    <mergeCell ref="A3:D3"/>
    <mergeCell ref="A5:D5"/>
    <mergeCell ref="A2:D2"/>
  </mergeCells>
  <pageMargins left="0.45" right="0.2" top="1" bottom="0.75" header="0.3" footer="0.3"/>
  <pageSetup orientation="landscape" r:id="rId1"/>
  <headerFooter>
    <oddHeader>&amp;L&amp;"Arial MT,Bold"Rochester Public Utilities
2016 Work Papers&amp;R&amp;"Arial MT,Bold"Exhibit RPU-8
Page 17 of 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E23"/>
  <sheetViews>
    <sheetView zoomScaleNormal="100" zoomScaleSheetLayoutView="100" workbookViewId="0">
      <selection activeCell="E25" sqref="E25"/>
    </sheetView>
  </sheetViews>
  <sheetFormatPr defaultColWidth="8.90625" defaultRowHeight="14.4"/>
  <cols>
    <col min="1" max="1" width="5.54296875" style="185" customWidth="1"/>
    <col min="2" max="2" width="60.6328125" style="185" customWidth="1"/>
    <col min="3" max="3" width="8.81640625" style="185" customWidth="1"/>
    <col min="4" max="4" width="0.6328125" style="185" customWidth="1"/>
    <col min="5" max="5" width="57.1796875" style="185" bestFit="1" customWidth="1"/>
    <col min="6" max="16384" width="8.90625" style="185"/>
  </cols>
  <sheetData>
    <row r="1" spans="1:5" ht="15.6">
      <c r="B1" s="401" t="str">
        <f>Coversheet!B3</f>
        <v>Rochester Public Utilities</v>
      </c>
      <c r="C1" s="394"/>
      <c r="D1" s="394"/>
      <c r="E1" s="394"/>
    </row>
    <row r="2" spans="1:5" ht="15.45" customHeight="1">
      <c r="A2" s="708" t="s">
        <v>548</v>
      </c>
      <c r="B2" s="708"/>
      <c r="C2" s="708"/>
      <c r="D2" s="394"/>
      <c r="E2" s="394"/>
    </row>
    <row r="3" spans="1:5" ht="15.6">
      <c r="B3" s="700" t="s">
        <v>642</v>
      </c>
      <c r="C3" s="700"/>
      <c r="D3" s="700"/>
      <c r="E3" s="395"/>
    </row>
    <row r="4" spans="1:5">
      <c r="B4" s="396"/>
      <c r="C4" s="394"/>
      <c r="D4" s="394"/>
    </row>
    <row r="5" spans="1:5">
      <c r="B5" s="414" t="s">
        <v>342</v>
      </c>
      <c r="C5" s="315"/>
      <c r="D5" s="315"/>
      <c r="E5" s="315"/>
    </row>
    <row r="6" spans="1:5">
      <c r="C6" s="397"/>
      <c r="D6" s="397"/>
      <c r="E6" s="315"/>
    </row>
    <row r="7" spans="1:5" ht="17.399999999999999">
      <c r="B7" s="402" t="s">
        <v>547</v>
      </c>
      <c r="C7" s="315"/>
      <c r="D7" s="315"/>
      <c r="E7" s="315"/>
    </row>
    <row r="8" spans="1:5">
      <c r="B8" s="315"/>
      <c r="C8" s="315"/>
      <c r="D8" s="315"/>
      <c r="E8" s="315"/>
    </row>
    <row r="9" spans="1:5" ht="15.6">
      <c r="B9" s="342" t="s">
        <v>343</v>
      </c>
      <c r="C9" s="342" t="s">
        <v>2</v>
      </c>
      <c r="D9" s="315"/>
      <c r="E9" s="434" t="s">
        <v>345</v>
      </c>
    </row>
    <row r="10" spans="1:5" ht="15.6">
      <c r="A10" s="403" t="s">
        <v>182</v>
      </c>
      <c r="B10" s="398"/>
      <c r="C10" s="342"/>
      <c r="D10" s="315"/>
      <c r="E10" s="435" t="s">
        <v>346</v>
      </c>
    </row>
    <row r="11" spans="1:5" ht="15.6">
      <c r="A11" s="404" t="s">
        <v>1</v>
      </c>
      <c r="B11"/>
      <c r="C11" s="315"/>
      <c r="D11" s="315"/>
      <c r="E11" s="434" t="s">
        <v>347</v>
      </c>
    </row>
    <row r="12" spans="1:5" ht="15.6">
      <c r="A12" s="403">
        <v>1</v>
      </c>
      <c r="B12" s="328" t="s">
        <v>390</v>
      </c>
      <c r="C12" s="463">
        <v>250</v>
      </c>
      <c r="D12" s="315"/>
      <c r="E12" s="434" t="s">
        <v>549</v>
      </c>
    </row>
    <row r="13" spans="1:5" ht="15.6">
      <c r="A13" s="403">
        <f>A12+1</f>
        <v>2</v>
      </c>
      <c r="B13" s="325" t="s">
        <v>395</v>
      </c>
      <c r="C13" s="338">
        <v>36420</v>
      </c>
      <c r="D13" s="315"/>
      <c r="E13" s="434" t="s">
        <v>348</v>
      </c>
    </row>
    <row r="14" spans="1:5" ht="15.6">
      <c r="A14" s="403">
        <f t="shared" ref="A14:A16" si="0">A13+1</f>
        <v>3</v>
      </c>
      <c r="B14" s="392" t="s">
        <v>344</v>
      </c>
      <c r="C14" s="464">
        <v>0</v>
      </c>
      <c r="D14" s="315"/>
      <c r="E14" s="434" t="s">
        <v>349</v>
      </c>
    </row>
    <row r="15" spans="1:5" ht="15.6">
      <c r="A15" s="403">
        <f t="shared" si="0"/>
        <v>4</v>
      </c>
      <c r="B15" s="392" t="s">
        <v>344</v>
      </c>
      <c r="C15" s="465">
        <v>0</v>
      </c>
      <c r="D15" s="315"/>
    </row>
    <row r="16" spans="1:5" ht="15.6">
      <c r="A16" s="403">
        <f t="shared" si="0"/>
        <v>5</v>
      </c>
      <c r="B16" s="315" t="s">
        <v>498</v>
      </c>
      <c r="C16" s="466">
        <f>SUM(C12:C15)</f>
        <v>36670</v>
      </c>
      <c r="D16" s="315"/>
      <c r="E16" s="434" t="s">
        <v>545</v>
      </c>
    </row>
    <row r="17" spans="2:5" ht="15.6">
      <c r="B17" s="392"/>
      <c r="C17" s="393"/>
      <c r="D17" s="315"/>
    </row>
    <row r="18" spans="2:5" ht="15.6">
      <c r="B18" s="392"/>
      <c r="C18" s="393"/>
      <c r="D18" s="315"/>
      <c r="E18" s="392"/>
    </row>
    <row r="19" spans="2:5">
      <c r="B19" s="315"/>
      <c r="C19" s="315"/>
      <c r="D19" s="315"/>
    </row>
    <row r="20" spans="2:5" ht="15" customHeight="1">
      <c r="B20" s="399" t="s">
        <v>391</v>
      </c>
      <c r="C20" s="467">
        <v>216210</v>
      </c>
      <c r="D20" s="315"/>
    </row>
    <row r="21" spans="2:5" ht="15" thickBot="1">
      <c r="B21" s="400" t="s">
        <v>392</v>
      </c>
      <c r="C21" s="433">
        <f>C16+C20</f>
        <v>252880</v>
      </c>
      <c r="D21" s="315"/>
    </row>
    <row r="22" spans="2:5" ht="15" thickTop="1">
      <c r="B22" s="315"/>
      <c r="C22" s="315"/>
      <c r="D22" s="315"/>
    </row>
    <row r="23" spans="2:5">
      <c r="B23" s="315"/>
      <c r="C23" s="315"/>
      <c r="D23" s="315"/>
      <c r="E23" s="315"/>
    </row>
  </sheetData>
  <mergeCells count="2">
    <mergeCell ref="B3:D3"/>
    <mergeCell ref="A2:C2"/>
  </mergeCells>
  <pageMargins left="0.7" right="0.45" top="0.75" bottom="0.75" header="0.3" footer="0.3"/>
  <pageSetup orientation="landscape" r:id="rId1"/>
  <headerFooter>
    <oddHeader>&amp;L&amp;"Arial MT,Bold"Rochester Public Utilities
2016 Work Papers&amp;R&amp;"Arial MT,Bold"Exhibit RPU-8
Page 18 of 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45"/>
  <sheetViews>
    <sheetView zoomScale="90" zoomScaleNormal="90" zoomScaleSheetLayoutView="100" workbookViewId="0">
      <selection activeCell="C4" sqref="C4"/>
    </sheetView>
  </sheetViews>
  <sheetFormatPr defaultColWidth="8.90625" defaultRowHeight="14.4"/>
  <cols>
    <col min="1" max="1" width="15.81640625" style="185" customWidth="1"/>
    <col min="2" max="2" width="5" style="185" customWidth="1"/>
    <col min="3" max="3" width="63.6328125" style="185" customWidth="1"/>
    <col min="4" max="4" width="19" style="185" customWidth="1"/>
    <col min="5" max="5" width="1.54296875" style="185" customWidth="1"/>
    <col min="6" max="6" width="21.1796875" style="185" bestFit="1" customWidth="1"/>
    <col min="7" max="16384" width="8.90625" style="185"/>
  </cols>
  <sheetData>
    <row r="1" spans="1:9" ht="20.25" customHeight="1">
      <c r="B1" s="708" t="str">
        <f>Coversheet!B3</f>
        <v>Rochester Public Utilities</v>
      </c>
      <c r="C1" s="708"/>
      <c r="D1" s="708"/>
      <c r="E1" s="394"/>
      <c r="F1" s="201"/>
      <c r="G1" s="201"/>
      <c r="H1" s="201"/>
      <c r="I1" s="201"/>
    </row>
    <row r="2" spans="1:9" ht="20.25" customHeight="1">
      <c r="B2" s="708" t="s">
        <v>516</v>
      </c>
      <c r="C2" s="708"/>
      <c r="D2" s="708"/>
      <c r="E2" s="394"/>
      <c r="F2" s="201"/>
      <c r="G2" s="201"/>
      <c r="H2" s="201"/>
      <c r="I2" s="201"/>
    </row>
    <row r="3" spans="1:9" ht="15.6">
      <c r="B3" s="700" t="s">
        <v>642</v>
      </c>
      <c r="C3" s="700"/>
      <c r="D3" s="700"/>
      <c r="E3" s="430"/>
      <c r="F3" s="213"/>
      <c r="G3" s="213"/>
      <c r="H3" s="213"/>
    </row>
    <row r="4" spans="1:9" ht="15.6">
      <c r="A4" s="211"/>
      <c r="B4" s="201"/>
      <c r="D4" s="432"/>
      <c r="E4" s="405"/>
      <c r="F4" s="405"/>
    </row>
    <row r="5" spans="1:9" ht="15.6">
      <c r="A5" s="201"/>
      <c r="B5" s="201"/>
      <c r="C5" s="394"/>
      <c r="D5" s="405"/>
      <c r="E5" s="405"/>
      <c r="F5" s="405"/>
      <c r="G5" s="201"/>
      <c r="H5" s="201"/>
    </row>
    <row r="6" spans="1:9" ht="15.6">
      <c r="A6" s="201"/>
      <c r="B6" s="403" t="s">
        <v>0</v>
      </c>
      <c r="D6" s="406" t="s">
        <v>350</v>
      </c>
      <c r="E6" s="405"/>
      <c r="F6" s="412"/>
      <c r="G6" s="201"/>
      <c r="H6" s="201"/>
    </row>
    <row r="7" spans="1:9" ht="15.6">
      <c r="A7" s="201"/>
      <c r="B7" s="404" t="s">
        <v>1</v>
      </c>
      <c r="C7" s="459" t="s">
        <v>350</v>
      </c>
      <c r="D7" s="407" t="s">
        <v>351</v>
      </c>
      <c r="E7" s="392"/>
      <c r="F7" s="405"/>
      <c r="G7" s="201"/>
      <c r="H7" s="201"/>
    </row>
    <row r="8" spans="1:9" ht="15.6">
      <c r="A8" s="201"/>
      <c r="B8" s="403"/>
      <c r="C8" s="405"/>
      <c r="D8" s="405"/>
      <c r="E8" s="405"/>
      <c r="F8" s="405"/>
      <c r="G8" s="201"/>
      <c r="H8" s="201"/>
    </row>
    <row r="9" spans="1:9" ht="15.6">
      <c r="A9" s="201"/>
      <c r="B9" s="403">
        <v>1</v>
      </c>
      <c r="C9" s="405" t="s">
        <v>520</v>
      </c>
      <c r="D9" s="460">
        <v>45878.86</v>
      </c>
      <c r="E9" s="405"/>
      <c r="F9" s="405"/>
      <c r="G9" s="201"/>
      <c r="H9" s="201"/>
    </row>
    <row r="10" spans="1:9" ht="15.6">
      <c r="A10" s="201"/>
      <c r="B10" s="403">
        <f>+B9+1</f>
        <v>2</v>
      </c>
      <c r="C10" s="405" t="s">
        <v>521</v>
      </c>
      <c r="D10" s="461">
        <v>220296.51</v>
      </c>
      <c r="E10" s="405"/>
      <c r="F10" s="405"/>
      <c r="G10" s="201"/>
      <c r="H10" s="201"/>
    </row>
    <row r="11" spans="1:9" ht="15.6">
      <c r="A11" s="201"/>
      <c r="B11" s="403">
        <f t="shared" ref="B11:B18" si="0">+B10+1</f>
        <v>3</v>
      </c>
      <c r="C11" s="405" t="s">
        <v>352</v>
      </c>
      <c r="D11" s="461">
        <v>20967.060000000001</v>
      </c>
      <c r="E11" s="405"/>
      <c r="F11" s="405"/>
      <c r="G11" s="201"/>
      <c r="H11" s="201"/>
    </row>
    <row r="12" spans="1:9" ht="15.6">
      <c r="A12" s="201"/>
      <c r="B12" s="403">
        <f t="shared" si="0"/>
        <v>4</v>
      </c>
      <c r="C12" s="405" t="s">
        <v>353</v>
      </c>
      <c r="D12" s="461">
        <v>0</v>
      </c>
      <c r="E12" s="405"/>
      <c r="F12" s="405"/>
      <c r="G12" s="201"/>
      <c r="H12" s="201"/>
    </row>
    <row r="13" spans="1:9" ht="15.6">
      <c r="A13" s="201"/>
      <c r="B13" s="403">
        <f t="shared" si="0"/>
        <v>5</v>
      </c>
      <c r="C13" s="405" t="s">
        <v>354</v>
      </c>
      <c r="D13" s="461">
        <v>0</v>
      </c>
      <c r="E13" s="405"/>
      <c r="F13" s="405"/>
      <c r="G13" s="201"/>
      <c r="H13" s="201"/>
    </row>
    <row r="14" spans="1:9" ht="15.6">
      <c r="A14" s="201"/>
      <c r="B14" s="403">
        <f t="shared" si="0"/>
        <v>6</v>
      </c>
      <c r="C14" s="405" t="s">
        <v>355</v>
      </c>
      <c r="D14" s="461">
        <v>3673134.36</v>
      </c>
      <c r="E14" s="405"/>
      <c r="F14" s="405"/>
      <c r="G14" s="201"/>
      <c r="H14" s="201"/>
    </row>
    <row r="15" spans="1:9" ht="15.6">
      <c r="A15" s="201"/>
      <c r="B15" s="537" t="s">
        <v>360</v>
      </c>
      <c r="C15" s="405" t="s">
        <v>535</v>
      </c>
      <c r="D15" s="461">
        <v>-49722.1</v>
      </c>
      <c r="E15" s="405"/>
      <c r="F15" s="405"/>
      <c r="G15" s="201"/>
      <c r="H15" s="201"/>
    </row>
    <row r="16" spans="1:9" ht="15.6">
      <c r="A16" s="201"/>
      <c r="B16" s="403">
        <f>+B14+1</f>
        <v>7</v>
      </c>
      <c r="C16" s="405" t="s">
        <v>356</v>
      </c>
      <c r="D16" s="461">
        <v>0</v>
      </c>
      <c r="E16" s="405"/>
      <c r="F16" s="413"/>
      <c r="G16" s="201"/>
      <c r="H16" s="201"/>
    </row>
    <row r="17" spans="1:8" ht="15.6">
      <c r="A17" s="201"/>
      <c r="B17" s="403">
        <f t="shared" si="0"/>
        <v>8</v>
      </c>
      <c r="C17" s="405" t="s">
        <v>465</v>
      </c>
      <c r="D17" s="461">
        <v>710416.67</v>
      </c>
      <c r="E17" s="405"/>
      <c r="F17" s="413"/>
      <c r="G17" s="201"/>
      <c r="H17" s="201"/>
    </row>
    <row r="18" spans="1:8" ht="15.6">
      <c r="A18" s="201"/>
      <c r="B18" s="403">
        <f t="shared" si="0"/>
        <v>9</v>
      </c>
      <c r="C18" s="392" t="s">
        <v>557</v>
      </c>
      <c r="D18" s="461">
        <v>0</v>
      </c>
      <c r="E18" s="405"/>
      <c r="F18" s="413"/>
      <c r="G18" s="201"/>
      <c r="H18" s="201"/>
    </row>
    <row r="19" spans="1:8" ht="15.6">
      <c r="A19" s="201"/>
      <c r="B19" s="201"/>
      <c r="C19" s="405" t="s">
        <v>558</v>
      </c>
      <c r="D19" s="408">
        <f>SUM(D9:D18)</f>
        <v>4620971.3600000003</v>
      </c>
      <c r="E19" s="405"/>
      <c r="F19" s="413"/>
      <c r="G19" s="201"/>
      <c r="H19" s="201"/>
    </row>
    <row r="20" spans="1:8" ht="15.6">
      <c r="A20" s="201"/>
      <c r="B20" s="201"/>
      <c r="C20" s="201"/>
      <c r="D20" s="409"/>
      <c r="E20" s="405"/>
      <c r="F20" s="413"/>
      <c r="G20" s="201"/>
      <c r="H20" s="201"/>
    </row>
    <row r="21" spans="1:8" ht="15.6">
      <c r="A21" s="201"/>
      <c r="C21" s="201"/>
      <c r="D21" s="410"/>
      <c r="E21" s="405"/>
      <c r="F21" s="413"/>
      <c r="G21" s="201"/>
      <c r="H21" s="201"/>
    </row>
    <row r="22" spans="1:8" ht="15.6">
      <c r="A22" s="214"/>
      <c r="B22" s="214">
        <f>B18+1</f>
        <v>10</v>
      </c>
      <c r="C22" s="215" t="s">
        <v>7</v>
      </c>
      <c r="D22" s="410">
        <f>D19</f>
        <v>4620971.3600000003</v>
      </c>
      <c r="E22" s="405"/>
      <c r="F22" s="457" t="s">
        <v>541</v>
      </c>
      <c r="G22" s="201"/>
      <c r="H22" s="201"/>
    </row>
    <row r="23" spans="1:8" ht="15.6">
      <c r="A23" s="214"/>
      <c r="B23" s="403">
        <f t="shared" ref="B23:B26" si="1">+B22+1</f>
        <v>11</v>
      </c>
      <c r="C23" s="216" t="s">
        <v>357</v>
      </c>
      <c r="D23" s="410">
        <f>D10+D11+D12+D13+D18</f>
        <v>241263.57</v>
      </c>
      <c r="E23" s="405"/>
      <c r="F23" s="457" t="s">
        <v>358</v>
      </c>
      <c r="G23" s="201"/>
      <c r="H23" s="201"/>
    </row>
    <row r="24" spans="1:8" ht="15.6">
      <c r="A24" s="217"/>
      <c r="B24" s="403">
        <f t="shared" si="1"/>
        <v>12</v>
      </c>
      <c r="C24" s="218" t="s">
        <v>8</v>
      </c>
      <c r="D24" s="410">
        <f>D14+D15</f>
        <v>3623412.26</v>
      </c>
      <c r="E24" s="405"/>
      <c r="F24" s="457" t="s">
        <v>542</v>
      </c>
      <c r="G24" s="201"/>
      <c r="H24" s="201"/>
    </row>
    <row r="25" spans="1:8" ht="15.6">
      <c r="A25" s="217"/>
      <c r="B25" s="403">
        <f t="shared" si="1"/>
        <v>13</v>
      </c>
      <c r="C25" s="218" t="s">
        <v>9</v>
      </c>
      <c r="D25" s="410">
        <f>D16</f>
        <v>0</v>
      </c>
      <c r="E25" s="405"/>
      <c r="F25" s="457" t="s">
        <v>543</v>
      </c>
      <c r="G25" s="201"/>
      <c r="H25" s="201"/>
    </row>
    <row r="26" spans="1:8" ht="15.6">
      <c r="A26" s="214"/>
      <c r="B26" s="403">
        <f t="shared" si="1"/>
        <v>14</v>
      </c>
      <c r="C26" s="218" t="s">
        <v>359</v>
      </c>
      <c r="D26" s="411">
        <f>D22-D23-D24-D25</f>
        <v>756295.53000000026</v>
      </c>
      <c r="E26" s="405"/>
      <c r="F26" s="457" t="s">
        <v>544</v>
      </c>
      <c r="G26" s="201"/>
      <c r="H26" s="201"/>
    </row>
    <row r="29" spans="1:8" ht="15.6">
      <c r="C29" s="709" t="s">
        <v>483</v>
      </c>
      <c r="D29" s="709"/>
    </row>
    <row r="30" spans="1:8" ht="15.6">
      <c r="C30" s="462" t="s">
        <v>618</v>
      </c>
      <c r="D30" s="392"/>
    </row>
    <row r="31" spans="1:8" ht="15.6">
      <c r="C31" s="462" t="s">
        <v>620</v>
      </c>
      <c r="D31" s="392"/>
    </row>
    <row r="32" spans="1:8" ht="15.6">
      <c r="C32" s="462" t="s">
        <v>619</v>
      </c>
      <c r="D32" s="392"/>
    </row>
    <row r="33" spans="3:4" ht="31.5" customHeight="1">
      <c r="C33" s="710" t="s">
        <v>560</v>
      </c>
      <c r="D33" s="710"/>
    </row>
    <row r="34" spans="3:4" ht="15.6">
      <c r="C34" s="392" t="s">
        <v>561</v>
      </c>
    </row>
    <row r="36" spans="3:4" ht="15.6">
      <c r="C36" s="392" t="s">
        <v>562</v>
      </c>
      <c r="D36" s="560">
        <f>D19</f>
        <v>4620971.3600000003</v>
      </c>
    </row>
    <row r="37" spans="3:4" ht="15.6">
      <c r="C37" s="462" t="s">
        <v>621</v>
      </c>
      <c r="D37" s="461">
        <v>46117.73</v>
      </c>
    </row>
    <row r="38" spans="3:4" ht="15.6">
      <c r="C38" s="462" t="s">
        <v>622</v>
      </c>
      <c r="D38" s="461">
        <v>184142.03</v>
      </c>
    </row>
    <row r="39" spans="3:4" ht="16.2" thickBot="1">
      <c r="C39" s="392" t="s">
        <v>559</v>
      </c>
      <c r="D39" s="561">
        <f>SUM(D36:D38)</f>
        <v>4851231.120000001</v>
      </c>
    </row>
    <row r="40" spans="3:4" ht="15" thickTop="1">
      <c r="D40" s="606"/>
    </row>
    <row r="45" spans="3:4" ht="15.6">
      <c r="C45" s="405"/>
    </row>
  </sheetData>
  <mergeCells count="5">
    <mergeCell ref="B1:D1"/>
    <mergeCell ref="B2:D2"/>
    <mergeCell ref="B3:D3"/>
    <mergeCell ref="C29:D29"/>
    <mergeCell ref="C33:D33"/>
  </mergeCells>
  <pageMargins left="0.45" right="0.45" top="0.75" bottom="0.5" header="0.3" footer="0.3"/>
  <pageSetup scale="92" orientation="portrait" r:id="rId1"/>
  <headerFooter>
    <oddHeader>&amp;L&amp;"Arial MT,Bold"Rochester Public Utilities
2016 Work Papers&amp;R&amp;"Arial MT,Bold"Exhibit RPU-8
Page 19 of 19</oddHeader>
  </headerFooter>
  <ignoredErrors>
    <ignoredError sqref="B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499984740745262"/>
  </sheetPr>
  <dimension ref="A1:CD189"/>
  <sheetViews>
    <sheetView topLeftCell="N8" zoomScale="80" zoomScaleNormal="80" workbookViewId="0">
      <selection activeCell="S23" sqref="S23"/>
    </sheetView>
  </sheetViews>
  <sheetFormatPr defaultRowHeight="15"/>
  <cols>
    <col min="1" max="1" width="4.453125" hidden="1" customWidth="1"/>
    <col min="2" max="2" width="6.81640625" hidden="1" customWidth="1"/>
    <col min="3" max="3" width="9.81640625" hidden="1" customWidth="1"/>
    <col min="4" max="4" width="10.90625" hidden="1" customWidth="1"/>
    <col min="5" max="6" width="8.90625" hidden="1" customWidth="1"/>
    <col min="7" max="7" width="9.453125" hidden="1" customWidth="1"/>
    <col min="8" max="9" width="8.90625" hidden="1" customWidth="1"/>
    <col min="10" max="10" width="12.36328125" hidden="1" customWidth="1"/>
    <col min="11" max="11" width="8.90625" hidden="1" customWidth="1"/>
    <col min="12" max="12" width="4.54296875" hidden="1" customWidth="1"/>
    <col min="13" max="13" width="3" hidden="1" customWidth="1"/>
    <col min="14" max="14" width="4.453125" customWidth="1"/>
    <col min="15" max="15" width="25.90625" customWidth="1"/>
    <col min="16" max="16" width="29.1796875" customWidth="1"/>
    <col min="17" max="18" width="19.81640625" customWidth="1"/>
    <col min="19" max="19" width="9.81640625" customWidth="1"/>
    <col min="20" max="20" width="9.6328125" bestFit="1" customWidth="1"/>
    <col min="21" max="21" width="3.08984375" customWidth="1"/>
    <col min="22" max="22" width="13.54296875" customWidth="1"/>
    <col min="24" max="24" width="8" bestFit="1" customWidth="1"/>
    <col min="25" max="25" width="3.81640625" customWidth="1"/>
    <col min="27" max="27" width="7.453125" bestFit="1" customWidth="1"/>
    <col min="28" max="28" width="3.81640625" customWidth="1"/>
    <col min="30" max="30" width="8" bestFit="1" customWidth="1"/>
    <col min="31" max="31" width="3.81640625" customWidth="1"/>
    <col min="33" max="33" width="8" bestFit="1" customWidth="1"/>
    <col min="34" max="34" width="3.81640625" customWidth="1"/>
    <col min="36" max="36" width="8" bestFit="1" customWidth="1"/>
    <col min="37" max="37" width="4.36328125" customWidth="1"/>
    <col min="39" max="39" width="8" bestFit="1" customWidth="1"/>
    <col min="40" max="40" width="3.81640625" customWidth="1"/>
    <col min="42" max="42" width="8" bestFit="1" customWidth="1"/>
    <col min="43" max="43" width="11.453125" customWidth="1"/>
    <col min="45" max="45" width="9.453125" customWidth="1"/>
    <col min="46" max="46" width="3.81640625" customWidth="1"/>
    <col min="48" max="48" width="8" bestFit="1" customWidth="1"/>
    <col min="49" max="49" width="3.81640625" customWidth="1"/>
    <col min="50" max="50" width="9.90625" bestFit="1" customWidth="1"/>
    <col min="51" max="51" width="8" bestFit="1" customWidth="1"/>
    <col min="52" max="52" width="3.81640625" customWidth="1"/>
    <col min="53" max="53" width="9.90625" bestFit="1" customWidth="1"/>
    <col min="54" max="54" width="8" bestFit="1" customWidth="1"/>
    <col min="55" max="55" width="3.81640625" customWidth="1"/>
    <col min="56" max="56" width="9.90625" bestFit="1" customWidth="1"/>
    <col min="57" max="57" width="8" bestFit="1" customWidth="1"/>
    <col min="58" max="58" width="3.81640625" customWidth="1"/>
    <col min="60" max="60" width="7" bestFit="1" customWidth="1"/>
    <col min="61" max="61" width="3.81640625" customWidth="1"/>
    <col min="63" max="63" width="8" bestFit="1" customWidth="1"/>
    <col min="64" max="64" width="3.81640625" customWidth="1"/>
    <col min="66" max="66" width="8" bestFit="1" customWidth="1"/>
    <col min="67" max="67" width="3.81640625" customWidth="1"/>
    <col min="69" max="69" width="8" bestFit="1" customWidth="1"/>
    <col min="70" max="70" width="3.81640625" customWidth="1"/>
    <col min="72" max="72" width="8" bestFit="1" customWidth="1"/>
    <col min="73" max="73" width="3.81640625" customWidth="1"/>
    <col min="75" max="75" width="8" bestFit="1" customWidth="1"/>
    <col min="76" max="76" width="3.81640625" customWidth="1"/>
    <col min="78" max="78" width="8" bestFit="1" customWidth="1"/>
    <col min="79" max="79" width="3.81640625" customWidth="1"/>
    <col min="81" max="81" width="8" bestFit="1" customWidth="1"/>
  </cols>
  <sheetData>
    <row r="1" spans="1:48" ht="15.6">
      <c r="L1" s="386" t="str">
        <f>'Sched 1_RPU'!F1</f>
        <v>For the 12 months ended 12/31/16</v>
      </c>
      <c r="V1" s="386" t="str">
        <f>L1</f>
        <v>For the 12 months ended 12/31/16</v>
      </c>
      <c r="AN1" s="256"/>
      <c r="AO1" s="256"/>
      <c r="AP1" s="256"/>
      <c r="AQ1" s="256"/>
      <c r="AR1" s="256"/>
      <c r="AS1" s="256"/>
      <c r="AT1" s="256"/>
      <c r="AU1" s="256"/>
    </row>
    <row r="2" spans="1:48" ht="15.6">
      <c r="L2" s="9" t="s">
        <v>579</v>
      </c>
      <c r="V2" s="9" t="s">
        <v>412</v>
      </c>
      <c r="AN2" s="256"/>
      <c r="AO2" s="256"/>
      <c r="AP2" s="256"/>
      <c r="AQ2" s="256"/>
      <c r="AR2" s="256"/>
      <c r="AS2" s="256"/>
      <c r="AT2" s="256"/>
      <c r="AU2" s="256"/>
    </row>
    <row r="3" spans="1:48" ht="15" hidden="1" customHeight="1">
      <c r="AN3" s="636"/>
      <c r="AO3" s="636"/>
      <c r="AP3" s="636"/>
      <c r="AQ3" s="636"/>
      <c r="AR3" s="636"/>
      <c r="AS3" s="636"/>
      <c r="AT3" s="636"/>
      <c r="AU3" s="636"/>
      <c r="AV3" s="636"/>
    </row>
    <row r="4" spans="1:48" ht="15.6">
      <c r="A4" s="665" t="s">
        <v>366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N4" s="665" t="s">
        <v>366</v>
      </c>
      <c r="O4" s="665"/>
      <c r="P4" s="665"/>
      <c r="Q4" s="665"/>
      <c r="R4" s="665"/>
      <c r="S4" s="665"/>
      <c r="T4" s="665"/>
      <c r="U4" s="665"/>
      <c r="V4" s="665"/>
      <c r="AN4" s="637"/>
      <c r="AO4" s="637"/>
      <c r="AP4" s="637"/>
      <c r="AQ4" s="637"/>
      <c r="AR4" s="637"/>
      <c r="AS4" s="637"/>
      <c r="AT4" s="637"/>
      <c r="AU4" s="637"/>
      <c r="AV4" s="637"/>
    </row>
    <row r="5" spans="1:48" ht="15.6">
      <c r="A5" s="665" t="s">
        <v>417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N5" s="665" t="s">
        <v>417</v>
      </c>
      <c r="O5" s="665"/>
      <c r="P5" s="665"/>
      <c r="Q5" s="665"/>
      <c r="R5" s="665"/>
      <c r="S5" s="665"/>
      <c r="T5" s="665"/>
      <c r="U5" s="665"/>
      <c r="V5" s="665"/>
      <c r="AN5" s="637"/>
      <c r="AO5" s="637"/>
      <c r="AP5" s="637"/>
      <c r="AQ5" s="637"/>
      <c r="AR5" s="637"/>
      <c r="AS5" s="637"/>
      <c r="AT5" s="637"/>
      <c r="AU5" s="637"/>
      <c r="AV5" s="637"/>
    </row>
    <row r="6" spans="1:48" ht="15.6">
      <c r="A6" s="665" t="s">
        <v>501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N6" s="665" t="s">
        <v>501</v>
      </c>
      <c r="O6" s="665"/>
      <c r="P6" s="665"/>
      <c r="Q6" s="665"/>
      <c r="R6" s="665"/>
      <c r="S6" s="665"/>
      <c r="T6" s="665"/>
      <c r="U6" s="665"/>
      <c r="V6" s="665"/>
      <c r="AN6" s="637"/>
      <c r="AO6" s="637"/>
      <c r="AP6" s="637"/>
      <c r="AQ6" s="637"/>
      <c r="AR6" s="637"/>
      <c r="AS6" s="637"/>
      <c r="AT6" s="637"/>
      <c r="AU6" s="637"/>
      <c r="AV6" s="637"/>
    </row>
    <row r="7" spans="1:48" hidden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N7" s="258"/>
      <c r="O7" s="258"/>
      <c r="P7" s="258"/>
      <c r="Q7" s="258"/>
    </row>
    <row r="8" spans="1:48" ht="15.6">
      <c r="A8" s="677" t="s">
        <v>580</v>
      </c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N8" s="666" t="s">
        <v>596</v>
      </c>
      <c r="O8" s="666"/>
      <c r="P8" s="666"/>
      <c r="Q8" s="666"/>
      <c r="R8" s="666"/>
      <c r="S8" s="666"/>
      <c r="T8" s="666"/>
      <c r="U8" s="666"/>
      <c r="V8" s="666"/>
      <c r="AN8" s="652"/>
      <c r="AO8" s="652"/>
      <c r="AP8" s="652"/>
      <c r="AQ8" s="652"/>
      <c r="AR8" s="652"/>
      <c r="AS8" s="652"/>
      <c r="AT8" s="652"/>
      <c r="AU8" s="652"/>
      <c r="AV8" s="652"/>
    </row>
    <row r="9" spans="1:48" ht="15" hidden="1" customHeight="1">
      <c r="AN9" s="258"/>
      <c r="AO9" s="258"/>
      <c r="AP9" s="258"/>
      <c r="AQ9" s="258"/>
      <c r="AR9" s="258"/>
      <c r="AS9" s="636" t="s">
        <v>497</v>
      </c>
      <c r="AT9" s="387"/>
      <c r="AU9" s="636" t="s">
        <v>497</v>
      </c>
      <c r="AV9" s="258"/>
    </row>
    <row r="10" spans="1:48" ht="31.2">
      <c r="A10" s="271" t="s">
        <v>199</v>
      </c>
      <c r="N10" s="271" t="s">
        <v>199</v>
      </c>
      <c r="S10" s="595" t="s">
        <v>415</v>
      </c>
      <c r="T10" s="595" t="s">
        <v>564</v>
      </c>
      <c r="V10" s="568" t="s">
        <v>565</v>
      </c>
      <c r="Z10" s="668" t="s">
        <v>632</v>
      </c>
      <c r="AA10" s="668"/>
      <c r="AB10" s="668"/>
      <c r="AC10" s="668"/>
      <c r="AD10" s="668"/>
      <c r="AE10" s="641"/>
      <c r="AF10" s="641"/>
      <c r="AN10" s="637"/>
      <c r="AP10" s="258"/>
      <c r="AR10" s="258"/>
      <c r="AT10" s="258"/>
      <c r="AV10" s="258"/>
    </row>
    <row r="11" spans="1:48" ht="15.75" customHeight="1">
      <c r="A11" s="341"/>
      <c r="C11" s="680" t="s">
        <v>523</v>
      </c>
      <c r="D11" s="680"/>
      <c r="E11" s="680"/>
      <c r="F11" s="680"/>
      <c r="G11" s="680"/>
      <c r="H11" s="680"/>
      <c r="I11" s="680"/>
      <c r="J11" s="680"/>
      <c r="O11" s="593" t="s">
        <v>429</v>
      </c>
      <c r="Q11" s="594" t="s">
        <v>430</v>
      </c>
      <c r="S11" s="565" t="s">
        <v>563</v>
      </c>
      <c r="T11" s="565" t="s">
        <v>432</v>
      </c>
      <c r="V11" s="565" t="s">
        <v>433</v>
      </c>
      <c r="W11" s="566"/>
      <c r="Y11" s="566"/>
      <c r="Z11" s="676" t="s">
        <v>633</v>
      </c>
      <c r="AA11" s="676"/>
      <c r="AB11" s="676"/>
      <c r="AC11" s="676"/>
      <c r="AD11" s="676"/>
      <c r="AE11" s="641"/>
      <c r="AF11" s="641"/>
      <c r="AN11" s="637"/>
      <c r="AP11" s="258"/>
      <c r="AR11" s="258"/>
      <c r="AT11" s="258"/>
      <c r="AV11" s="258"/>
    </row>
    <row r="12" spans="1:48" ht="18.600000000000001">
      <c r="A12" s="4">
        <v>1</v>
      </c>
      <c r="C12" s="678" t="s">
        <v>527</v>
      </c>
      <c r="D12" s="678"/>
      <c r="E12" s="678"/>
      <c r="F12" s="678"/>
      <c r="G12" s="678"/>
      <c r="H12" s="678"/>
      <c r="J12" s="542">
        <v>0</v>
      </c>
      <c r="N12" s="559">
        <v>1</v>
      </c>
      <c r="O12" s="7" t="s">
        <v>566</v>
      </c>
      <c r="Q12" s="7" t="s">
        <v>653</v>
      </c>
      <c r="S12" s="570">
        <f>'Transmission O&amp;M'!C9</f>
        <v>34045</v>
      </c>
      <c r="T12" s="569">
        <v>58047.979999999996</v>
      </c>
      <c r="V12" s="580">
        <f>+S12-T12</f>
        <v>-24002.979999999996</v>
      </c>
      <c r="W12" s="568"/>
      <c r="Y12" s="568"/>
      <c r="Z12" s="676"/>
      <c r="AA12" s="676"/>
      <c r="AB12" s="676"/>
      <c r="AC12" s="676"/>
      <c r="AD12" s="676"/>
      <c r="AE12" s="641"/>
      <c r="AF12" s="641"/>
      <c r="AN12" s="637"/>
      <c r="AP12" s="258"/>
      <c r="AR12" s="258"/>
      <c r="AT12" s="258"/>
      <c r="AV12" s="258"/>
    </row>
    <row r="13" spans="1:48" ht="18.600000000000001">
      <c r="A13" s="4">
        <f t="shared" ref="A13:A14" si="0">A12+1</f>
        <v>2</v>
      </c>
      <c r="C13" s="670" t="s">
        <v>528</v>
      </c>
      <c r="D13" s="670"/>
      <c r="E13" s="670"/>
      <c r="F13" s="670"/>
      <c r="G13" s="670"/>
      <c r="H13" s="670"/>
      <c r="J13" s="426"/>
      <c r="N13" s="559">
        <f t="shared" ref="N13:N14" si="1">N12+1</f>
        <v>2</v>
      </c>
      <c r="O13" s="7" t="s">
        <v>567</v>
      </c>
      <c r="Q13" s="7" t="s">
        <v>653</v>
      </c>
      <c r="S13" s="572">
        <f>'Transmission O&amp;M'!C10</f>
        <v>227197</v>
      </c>
      <c r="T13" s="571">
        <v>217225.64499999999</v>
      </c>
      <c r="V13" s="581">
        <f>+S13-T13</f>
        <v>9971.3550000000105</v>
      </c>
      <c r="W13" s="570"/>
      <c r="Y13" s="570"/>
      <c r="Z13" s="676"/>
      <c r="AA13" s="676"/>
      <c r="AB13" s="676"/>
      <c r="AC13" s="676"/>
      <c r="AD13" s="676"/>
      <c r="AE13" s="641"/>
      <c r="AF13" s="641"/>
      <c r="AN13" s="637"/>
      <c r="AP13" s="258"/>
      <c r="AR13" s="258"/>
      <c r="AT13" s="258"/>
      <c r="AV13" s="258"/>
    </row>
    <row r="14" spans="1:48" ht="18.600000000000001">
      <c r="A14" s="4">
        <f t="shared" si="0"/>
        <v>3</v>
      </c>
      <c r="C14" s="679" t="s">
        <v>484</v>
      </c>
      <c r="D14" s="679"/>
      <c r="E14" s="679"/>
      <c r="F14" s="679"/>
      <c r="G14" s="679"/>
      <c r="H14" s="679"/>
      <c r="J14" s="439">
        <f>J12-J13</f>
        <v>0</v>
      </c>
      <c r="N14" s="559">
        <f t="shared" si="1"/>
        <v>3</v>
      </c>
      <c r="O14" s="7" t="s">
        <v>568</v>
      </c>
      <c r="Q14" s="7" t="s">
        <v>653</v>
      </c>
      <c r="S14" s="572">
        <f>'Transmission O&amp;M'!C11</f>
        <v>11073</v>
      </c>
      <c r="T14" s="571">
        <v>10044.02</v>
      </c>
      <c r="V14" s="581">
        <f>+S14-T14</f>
        <v>1028.9799999999996</v>
      </c>
      <c r="W14" s="572"/>
      <c r="Y14" s="572"/>
      <c r="Z14" s="676"/>
      <c r="AA14" s="676"/>
      <c r="AB14" s="676"/>
      <c r="AC14" s="676"/>
      <c r="AD14" s="676"/>
      <c r="AE14" s="641"/>
      <c r="AF14" s="641"/>
      <c r="AN14" s="637"/>
      <c r="AP14" s="258"/>
      <c r="AR14" s="258"/>
      <c r="AT14" s="258"/>
      <c r="AV14" s="258"/>
    </row>
    <row r="15" spans="1:48" ht="15.75" customHeight="1">
      <c r="N15" s="559">
        <f>N14+1</f>
        <v>4</v>
      </c>
      <c r="O15" s="7" t="s">
        <v>569</v>
      </c>
      <c r="Q15" s="7" t="s">
        <v>585</v>
      </c>
      <c r="S15" s="578">
        <f>+S12+S13+S14</f>
        <v>272315</v>
      </c>
      <c r="T15" s="578">
        <f>+T12+T13+T14</f>
        <v>285317.64500000002</v>
      </c>
      <c r="V15" s="578">
        <f>+V12+V13+V14</f>
        <v>-13002.644999999986</v>
      </c>
      <c r="W15" s="572"/>
      <c r="Y15" s="572"/>
      <c r="Z15" s="676"/>
      <c r="AA15" s="676"/>
      <c r="AB15" s="676"/>
      <c r="AC15" s="676"/>
      <c r="AD15" s="676"/>
      <c r="AE15" s="641"/>
      <c r="AF15" s="674" t="s">
        <v>637</v>
      </c>
      <c r="AG15" s="674"/>
      <c r="AN15" s="637"/>
      <c r="AP15" s="258"/>
      <c r="AR15" s="258"/>
      <c r="AT15" s="258"/>
      <c r="AV15" s="258"/>
    </row>
    <row r="16" spans="1:48" ht="15.75" customHeight="1">
      <c r="A16" s="4">
        <f>A14+1</f>
        <v>4</v>
      </c>
      <c r="C16" s="679" t="s">
        <v>485</v>
      </c>
      <c r="D16" s="679"/>
      <c r="E16" s="679"/>
      <c r="F16" s="679"/>
      <c r="G16" s="679"/>
      <c r="H16" s="679"/>
      <c r="J16" s="541">
        <f>IF(J17&gt;0,Divisor!M23,0)</f>
        <v>199698.83333333334</v>
      </c>
      <c r="O16" s="7"/>
      <c r="Q16" s="7"/>
      <c r="S16" s="572"/>
      <c r="T16" s="572"/>
      <c r="V16" s="581"/>
      <c r="W16" s="570"/>
      <c r="Y16" s="570"/>
      <c r="Z16" s="227"/>
      <c r="AA16" s="642" t="s">
        <v>634</v>
      </c>
      <c r="AB16" s="641"/>
      <c r="AC16" s="641"/>
      <c r="AD16" s="641"/>
      <c r="AE16" s="641"/>
      <c r="AF16" s="674"/>
      <c r="AG16" s="674"/>
      <c r="AN16" s="637"/>
      <c r="AP16" s="258"/>
      <c r="AR16" s="258"/>
      <c r="AT16" s="258"/>
      <c r="AV16" s="258"/>
    </row>
    <row r="17" spans="1:48" ht="18.600000000000001">
      <c r="A17" s="4">
        <f>A16+1</f>
        <v>5</v>
      </c>
      <c r="C17" s="671" t="s">
        <v>486</v>
      </c>
      <c r="D17" s="671"/>
      <c r="E17" s="671"/>
      <c r="F17" s="671"/>
      <c r="G17" s="671"/>
      <c r="H17" s="671"/>
      <c r="J17" s="427">
        <v>214833</v>
      </c>
      <c r="N17" s="559">
        <f>N15+1</f>
        <v>5</v>
      </c>
      <c r="O17" s="2" t="s">
        <v>576</v>
      </c>
      <c r="Q17" s="10" t="s">
        <v>582</v>
      </c>
      <c r="S17" s="573">
        <v>0</v>
      </c>
      <c r="T17" s="573"/>
      <c r="V17" s="580">
        <f>+S17-T17</f>
        <v>0</v>
      </c>
      <c r="W17" s="572"/>
      <c r="Y17" s="572"/>
      <c r="Z17" s="227"/>
      <c r="AA17" s="643" t="s">
        <v>635</v>
      </c>
      <c r="AB17" s="641"/>
      <c r="AC17" s="675" t="s">
        <v>636</v>
      </c>
      <c r="AD17" s="675"/>
      <c r="AE17" s="641"/>
      <c r="AF17" s="674"/>
      <c r="AG17" s="674"/>
      <c r="AN17" s="637"/>
      <c r="AP17" s="258"/>
      <c r="AR17" s="258"/>
      <c r="AT17" s="258"/>
      <c r="AV17" s="258"/>
    </row>
    <row r="18" spans="1:48" ht="15.6">
      <c r="A18" s="4">
        <f>A17+1</f>
        <v>6</v>
      </c>
      <c r="C18" s="670" t="s">
        <v>522</v>
      </c>
      <c r="D18" s="670"/>
      <c r="E18" s="670"/>
      <c r="F18" s="670"/>
      <c r="G18" s="670"/>
      <c r="H18" s="670"/>
      <c r="J18" s="436">
        <f>J17-J16</f>
        <v>15134.166666666657</v>
      </c>
      <c r="O18" s="2"/>
      <c r="Q18" s="2"/>
      <c r="S18" s="596"/>
      <c r="T18" s="572"/>
      <c r="V18" s="581"/>
      <c r="W18" s="574"/>
      <c r="Y18" s="570"/>
      <c r="Z18" s="644" t="s">
        <v>186</v>
      </c>
      <c r="AA18" s="645">
        <v>31</v>
      </c>
      <c r="AB18" s="641"/>
      <c r="AC18" s="646"/>
      <c r="AD18" s="646"/>
      <c r="AE18" s="641"/>
      <c r="AF18" s="641"/>
      <c r="AN18" s="637"/>
      <c r="AP18" s="258"/>
      <c r="AR18" s="258"/>
      <c r="AT18" s="258"/>
      <c r="AV18" s="258"/>
    </row>
    <row r="19" spans="1:48" ht="18.600000000000001">
      <c r="A19" s="4">
        <f>A18+1</f>
        <v>7</v>
      </c>
      <c r="C19" s="670" t="s">
        <v>487</v>
      </c>
      <c r="D19" s="670"/>
      <c r="E19" s="670"/>
      <c r="F19" s="670"/>
      <c r="G19" s="670"/>
      <c r="H19" s="670"/>
      <c r="J19" s="540">
        <f>ROUND(J13/J17,3)</f>
        <v>0</v>
      </c>
      <c r="N19" s="559">
        <f>N17+1</f>
        <v>6</v>
      </c>
      <c r="O19" s="2" t="s">
        <v>577</v>
      </c>
      <c r="Q19" s="651" t="s">
        <v>595</v>
      </c>
      <c r="S19" s="575">
        <f>+S15-S17</f>
        <v>272315</v>
      </c>
      <c r="T19" s="575">
        <f>+T15-T17</f>
        <v>285317.64500000002</v>
      </c>
      <c r="V19" s="580">
        <f>+S19-T19</f>
        <v>-13002.645000000019</v>
      </c>
      <c r="W19" s="446"/>
      <c r="Y19" s="572"/>
      <c r="Z19" s="644" t="s">
        <v>187</v>
      </c>
      <c r="AA19" s="645">
        <v>29</v>
      </c>
      <c r="AB19" s="641"/>
      <c r="AC19" s="646"/>
      <c r="AD19" s="646"/>
      <c r="AE19" s="641"/>
      <c r="AF19" s="641"/>
      <c r="AN19" s="637"/>
      <c r="AP19" s="258"/>
      <c r="AR19" s="258"/>
      <c r="AT19" s="258"/>
      <c r="AV19" s="258"/>
    </row>
    <row r="20" spans="1:48" ht="15.6">
      <c r="A20" s="4">
        <f>A19+1</f>
        <v>8</v>
      </c>
      <c r="C20" s="670" t="s">
        <v>607</v>
      </c>
      <c r="D20" s="670"/>
      <c r="E20" s="670"/>
      <c r="F20" s="670"/>
      <c r="G20" s="670"/>
      <c r="H20" s="670"/>
      <c r="J20" s="437">
        <f>ROUND(J18*J19,2)</f>
        <v>0</v>
      </c>
      <c r="O20" s="2"/>
      <c r="Q20" s="2"/>
      <c r="S20" s="2"/>
      <c r="T20" s="7"/>
      <c r="V20" s="583"/>
      <c r="W20" s="575"/>
      <c r="Y20" s="582"/>
      <c r="Z20" s="644" t="s">
        <v>188</v>
      </c>
      <c r="AA20" s="645">
        <v>31</v>
      </c>
      <c r="AB20" s="641"/>
      <c r="AC20" s="646"/>
      <c r="AD20" s="646"/>
      <c r="AE20" s="641"/>
      <c r="AF20" s="641"/>
      <c r="AN20" s="637"/>
      <c r="AP20" s="258"/>
      <c r="AR20" s="258"/>
      <c r="AT20" s="258"/>
      <c r="AV20" s="258"/>
    </row>
    <row r="21" spans="1:48" ht="19.2" thickBot="1">
      <c r="A21" s="4">
        <f>A20+1</f>
        <v>9</v>
      </c>
      <c r="C21" s="458" t="s">
        <v>488</v>
      </c>
      <c r="D21" s="458"/>
      <c r="E21" s="458"/>
      <c r="F21" s="458"/>
      <c r="G21" s="458"/>
      <c r="H21" s="458"/>
      <c r="J21" s="438">
        <f>J14+J20</f>
        <v>0</v>
      </c>
      <c r="N21" s="559">
        <f>N19+1</f>
        <v>7</v>
      </c>
      <c r="O21" s="563" t="s">
        <v>647</v>
      </c>
      <c r="Q21" s="10" t="s">
        <v>611</v>
      </c>
      <c r="S21" s="662">
        <f>Q53</f>
        <v>7461</v>
      </c>
      <c r="T21" s="573">
        <v>0</v>
      </c>
      <c r="V21" s="580">
        <f>+S21-T21</f>
        <v>7461</v>
      </c>
      <c r="W21" s="2"/>
      <c r="Y21" s="7"/>
      <c r="Z21" s="644" t="s">
        <v>189</v>
      </c>
      <c r="AA21" s="645">
        <v>30</v>
      </c>
      <c r="AB21" s="641"/>
      <c r="AC21" s="645">
        <f>SUM(AA18:AA21)</f>
        <v>121</v>
      </c>
      <c r="AD21" s="640">
        <f>ROUND(AC21/AC$30,4)</f>
        <v>0.3306</v>
      </c>
      <c r="AE21" s="641"/>
      <c r="AF21" s="648">
        <f>16417+189300</f>
        <v>205717</v>
      </c>
      <c r="AG21" s="648">
        <f>ROUND(AF21*AD21,0)</f>
        <v>68010</v>
      </c>
      <c r="AN21" s="637"/>
      <c r="AP21" s="258"/>
      <c r="AR21" s="258"/>
      <c r="AT21" s="258"/>
      <c r="AV21" s="258"/>
    </row>
    <row r="22" spans="1:48" ht="16.2" thickTop="1">
      <c r="O22" s="7"/>
      <c r="Q22" s="7"/>
      <c r="S22" s="572"/>
      <c r="T22" s="572"/>
      <c r="V22" s="583"/>
      <c r="W22" s="574"/>
      <c r="Y22" s="582"/>
      <c r="Z22" s="644" t="s">
        <v>190</v>
      </c>
      <c r="AA22" s="645">
        <v>31</v>
      </c>
      <c r="AB22" s="641"/>
      <c r="AC22" s="641"/>
      <c r="AD22" s="641"/>
      <c r="AE22" s="641"/>
      <c r="AF22" s="641"/>
      <c r="AN22" s="637"/>
      <c r="AP22" s="258"/>
      <c r="AR22" s="258"/>
      <c r="AT22" s="258"/>
      <c r="AV22" s="258"/>
    </row>
    <row r="23" spans="1:48" ht="15.9" customHeight="1" thickBot="1">
      <c r="A23" s="4">
        <f>A21+1</f>
        <v>10</v>
      </c>
      <c r="C23" s="671" t="s">
        <v>489</v>
      </c>
      <c r="D23" s="671"/>
      <c r="E23" s="671"/>
      <c r="F23" s="671"/>
      <c r="G23" s="671"/>
      <c r="H23" s="671"/>
      <c r="I23" s="671"/>
      <c r="J23" s="428">
        <f>IF(J21&lt;0,S86,T86)</f>
        <v>2.8999999999999994E-3</v>
      </c>
      <c r="N23" s="559">
        <f>N21+1</f>
        <v>8</v>
      </c>
      <c r="O23" s="7" t="s">
        <v>570</v>
      </c>
      <c r="Q23" s="651" t="s">
        <v>638</v>
      </c>
      <c r="S23" s="576">
        <f>S19-S21</f>
        <v>264854</v>
      </c>
      <c r="T23" s="576">
        <f>T19-T21</f>
        <v>285317.64500000002</v>
      </c>
      <c r="V23" s="576">
        <f>S23-T23</f>
        <v>-20463.645000000019</v>
      </c>
      <c r="W23" s="572"/>
      <c r="Y23" s="7"/>
      <c r="Z23" s="644" t="s">
        <v>191</v>
      </c>
      <c r="AA23" s="645">
        <v>30</v>
      </c>
      <c r="AB23" s="641"/>
      <c r="AC23" s="641"/>
      <c r="AD23" s="641"/>
      <c r="AE23" s="641"/>
      <c r="AF23" s="641"/>
      <c r="AN23" s="637"/>
      <c r="AP23" s="258"/>
      <c r="AR23" s="258"/>
      <c r="AT23" s="258"/>
      <c r="AV23" s="258"/>
    </row>
    <row r="24" spans="1:48" ht="15.9" customHeight="1" thickTop="1">
      <c r="A24" s="4">
        <f>A23+1</f>
        <v>11</v>
      </c>
      <c r="C24" s="672" t="s">
        <v>491</v>
      </c>
      <c r="D24" s="672"/>
      <c r="E24" s="672"/>
      <c r="F24" s="672"/>
      <c r="G24" s="672"/>
      <c r="H24" s="672"/>
      <c r="I24" s="672"/>
      <c r="J24" s="429">
        <v>24</v>
      </c>
      <c r="O24" s="7"/>
      <c r="Q24" s="7"/>
      <c r="S24" s="7"/>
      <c r="T24" s="7"/>
      <c r="V24" s="7"/>
      <c r="W24" s="10"/>
      <c r="Y24" s="10"/>
      <c r="Z24" s="644" t="s">
        <v>192</v>
      </c>
      <c r="AA24" s="645">
        <v>31</v>
      </c>
      <c r="AB24" s="641"/>
      <c r="AC24" s="641"/>
      <c r="AD24" s="641"/>
      <c r="AE24" s="641"/>
      <c r="AF24" s="641"/>
      <c r="AN24" s="637"/>
      <c r="AP24" s="258"/>
      <c r="AR24" s="258"/>
      <c r="AT24" s="258"/>
      <c r="AV24" s="258"/>
    </row>
    <row r="25" spans="1:48" ht="15.9" customHeight="1" thickBot="1">
      <c r="A25" s="4">
        <f>A24+1</f>
        <v>12</v>
      </c>
      <c r="C25" s="672" t="s">
        <v>490</v>
      </c>
      <c r="D25" s="672"/>
      <c r="E25" s="672"/>
      <c r="F25" s="672"/>
      <c r="G25" s="672"/>
      <c r="H25" s="672"/>
      <c r="J25" s="440">
        <f>ROUND(J21*J23*J24,2)</f>
        <v>0</v>
      </c>
      <c r="N25" s="559">
        <f>N23+1</f>
        <v>9</v>
      </c>
      <c r="O25" s="7" t="s">
        <v>571</v>
      </c>
      <c r="Q25" s="7" t="s">
        <v>597</v>
      </c>
      <c r="S25" s="579">
        <f>J16</f>
        <v>199698.83333333334</v>
      </c>
      <c r="T25" s="579">
        <f>V30</f>
        <v>211819</v>
      </c>
      <c r="V25" s="584"/>
      <c r="W25" s="7"/>
      <c r="Y25" s="7"/>
      <c r="Z25" s="644" t="s">
        <v>193</v>
      </c>
      <c r="AA25" s="645">
        <v>31</v>
      </c>
      <c r="AB25" s="641"/>
      <c r="AC25" s="641"/>
      <c r="AD25" s="641"/>
      <c r="AE25" s="641"/>
      <c r="AF25" s="641"/>
      <c r="AN25" s="637"/>
      <c r="AP25" s="258"/>
      <c r="AR25" s="258"/>
      <c r="AT25" s="258"/>
      <c r="AV25" s="258"/>
    </row>
    <row r="26" spans="1:48" ht="16.2" thickTop="1">
      <c r="O26" s="7"/>
      <c r="Q26" s="7"/>
      <c r="T26" s="7"/>
      <c r="V26" s="7"/>
      <c r="W26" s="10"/>
      <c r="Y26" s="10"/>
      <c r="Z26" s="644" t="s">
        <v>194</v>
      </c>
      <c r="AA26" s="645">
        <v>30</v>
      </c>
      <c r="AB26" s="641"/>
      <c r="AC26" s="641"/>
      <c r="AD26" s="641"/>
      <c r="AN26" s="637"/>
      <c r="AP26" s="258"/>
      <c r="AR26" s="258"/>
      <c r="AT26" s="258"/>
      <c r="AV26" s="258"/>
    </row>
    <row r="27" spans="1:48" ht="15.6">
      <c r="A27" s="4">
        <f>A25+1</f>
        <v>13</v>
      </c>
      <c r="C27" s="678" t="s">
        <v>524</v>
      </c>
      <c r="D27" s="678"/>
      <c r="E27" s="678"/>
      <c r="F27" s="678"/>
      <c r="G27" s="678"/>
      <c r="H27" s="678"/>
      <c r="J27" s="542">
        <v>3597957.4628499351</v>
      </c>
      <c r="N27" s="559">
        <f>N25+1</f>
        <v>10</v>
      </c>
      <c r="O27" s="7" t="s">
        <v>4</v>
      </c>
      <c r="Q27" s="7"/>
      <c r="S27" s="10">
        <f>ROUND(S23/S25,8)</f>
        <v>1.3262671399999999</v>
      </c>
      <c r="T27" s="10">
        <f>ROUND(T23/T25,8)</f>
        <v>1.34698797</v>
      </c>
      <c r="V27" s="585"/>
      <c r="W27" s="7"/>
      <c r="Y27" s="7"/>
      <c r="Z27" s="644" t="s">
        <v>195</v>
      </c>
      <c r="AA27" s="645">
        <v>31</v>
      </c>
      <c r="AB27" s="641"/>
      <c r="AC27" s="641"/>
      <c r="AD27" s="641"/>
      <c r="AN27" s="637"/>
      <c r="AP27" s="258"/>
      <c r="AR27" s="258"/>
      <c r="AT27" s="258"/>
      <c r="AV27" s="258"/>
    </row>
    <row r="28" spans="1:48" ht="15.6">
      <c r="A28" s="4">
        <f>A27+1</f>
        <v>14</v>
      </c>
      <c r="C28" s="670" t="str">
        <f>CONCATENATE("Actual Att GG Receipts for 12 months ending 12/31/",Coversheet!E40,"                         (9)")</f>
        <v>Actual Att GG Receipts for 12 months ending 12/31/2016                         (9)</v>
      </c>
      <c r="D28" s="670"/>
      <c r="E28" s="670"/>
      <c r="F28" s="670"/>
      <c r="G28" s="670"/>
      <c r="H28" s="670"/>
      <c r="J28" s="486">
        <f>'Account 456.1'!D14+'Account 456.1'!D15</f>
        <v>3623412.26</v>
      </c>
      <c r="O28" s="7"/>
      <c r="Q28" s="7"/>
      <c r="V28" s="7"/>
      <c r="W28" s="7"/>
      <c r="Y28" s="7"/>
      <c r="Z28" s="644" t="s">
        <v>196</v>
      </c>
      <c r="AA28" s="645">
        <v>30</v>
      </c>
      <c r="AB28" s="641"/>
      <c r="AC28" s="641"/>
      <c r="AD28" s="641"/>
      <c r="AN28" s="637"/>
      <c r="AP28" s="258"/>
      <c r="AR28" s="258"/>
      <c r="AT28" s="258"/>
      <c r="AV28" s="258"/>
    </row>
    <row r="29" spans="1:48" ht="15.6">
      <c r="A29" s="4">
        <f>A28+1</f>
        <v>15</v>
      </c>
      <c r="C29" s="679" t="s">
        <v>525</v>
      </c>
      <c r="D29" s="679"/>
      <c r="E29" s="679"/>
      <c r="F29" s="679"/>
      <c r="G29" s="679"/>
      <c r="H29" s="679"/>
      <c r="J29" s="439">
        <f>J27-J28</f>
        <v>-25454.797150064725</v>
      </c>
      <c r="N29" s="559">
        <f>N27+1</f>
        <v>11</v>
      </c>
      <c r="O29" s="7" t="s">
        <v>479</v>
      </c>
      <c r="Q29" s="7"/>
      <c r="V29" s="541">
        <f>S25</f>
        <v>199698.83333333334</v>
      </c>
      <c r="W29" s="7"/>
      <c r="X29" s="7"/>
      <c r="Y29" s="7"/>
      <c r="Z29" s="644" t="s">
        <v>197</v>
      </c>
      <c r="AA29" s="645">
        <v>31</v>
      </c>
      <c r="AC29" s="645">
        <f>SUM(AA22:AA29)</f>
        <v>245</v>
      </c>
      <c r="AD29" s="640">
        <f>ROUND(AC29/AC$30,4)</f>
        <v>0.6694</v>
      </c>
      <c r="AF29" s="648">
        <v>214833</v>
      </c>
      <c r="AG29" s="648">
        <f>ROUND(AF29*AD29,0)</f>
        <v>143809</v>
      </c>
      <c r="AN29" s="637"/>
      <c r="AP29" s="258"/>
      <c r="AR29" s="258"/>
      <c r="AT29" s="258"/>
      <c r="AV29" s="258"/>
    </row>
    <row r="30" spans="1:48" ht="18.600000000000001">
      <c r="A30" s="4"/>
      <c r="J30" s="458"/>
      <c r="N30" s="559">
        <f>N29+1</f>
        <v>12</v>
      </c>
      <c r="O30" s="7" t="s">
        <v>645</v>
      </c>
      <c r="Q30" s="7"/>
      <c r="T30" s="649"/>
      <c r="V30" s="650">
        <f>AG30</f>
        <v>211819</v>
      </c>
      <c r="W30" s="7"/>
      <c r="X30" s="7"/>
      <c r="Y30" s="7"/>
      <c r="AA30" s="645">
        <f>SUM(AA18:AA29)</f>
        <v>366</v>
      </c>
      <c r="AC30" s="645">
        <f>SUM(AC18:AC29)</f>
        <v>366</v>
      </c>
      <c r="AD30" s="647">
        <f>SUM(AD18:AD29)</f>
        <v>1</v>
      </c>
      <c r="AG30" s="648">
        <f>SUM(AG18:AG29)</f>
        <v>211819</v>
      </c>
      <c r="AN30" s="637"/>
      <c r="AP30" s="258"/>
      <c r="AR30" s="258"/>
      <c r="AT30" s="258"/>
      <c r="AV30" s="258"/>
    </row>
    <row r="31" spans="1:48" ht="15.6">
      <c r="A31" s="4">
        <f>A29+1</f>
        <v>16</v>
      </c>
      <c r="C31" s="671" t="s">
        <v>489</v>
      </c>
      <c r="D31" s="671"/>
      <c r="E31" s="671"/>
      <c r="F31" s="671"/>
      <c r="G31" s="671"/>
      <c r="H31" s="671"/>
      <c r="I31" s="671"/>
      <c r="J31" s="428">
        <f>IF(J29&lt;0,S86,T86)</f>
        <v>2.6099999999999995E-3</v>
      </c>
      <c r="N31" s="559">
        <f>N30+1</f>
        <v>13</v>
      </c>
      <c r="O31" s="7" t="s">
        <v>600</v>
      </c>
      <c r="Q31" s="7" t="s">
        <v>598</v>
      </c>
      <c r="V31" s="586">
        <f>V30-V29</f>
        <v>12120.166666666657</v>
      </c>
      <c r="W31" s="7"/>
      <c r="X31" s="7"/>
      <c r="Y31" s="7"/>
      <c r="AN31" s="637"/>
      <c r="AP31" s="258"/>
      <c r="AR31" s="258"/>
      <c r="AT31" s="258"/>
      <c r="AV31" s="258"/>
    </row>
    <row r="32" spans="1:48" ht="15.6">
      <c r="A32" s="4">
        <f>A31+1</f>
        <v>17</v>
      </c>
      <c r="C32" s="672" t="s">
        <v>491</v>
      </c>
      <c r="D32" s="672"/>
      <c r="E32" s="672"/>
      <c r="F32" s="672"/>
      <c r="G32" s="672"/>
      <c r="H32" s="672"/>
      <c r="I32" s="672"/>
      <c r="J32" s="429">
        <v>24</v>
      </c>
      <c r="O32" s="7"/>
      <c r="Q32" s="7"/>
      <c r="V32" s="7"/>
      <c r="W32" s="7"/>
      <c r="X32" s="7"/>
      <c r="Y32" s="7"/>
      <c r="AN32" s="637"/>
      <c r="AP32" s="428"/>
      <c r="AR32" s="428"/>
      <c r="AT32" s="551"/>
      <c r="AV32" s="258"/>
    </row>
    <row r="33" spans="1:48" ht="16.2" thickBot="1">
      <c r="A33" s="4">
        <f>A32+1</f>
        <v>18</v>
      </c>
      <c r="C33" s="672" t="s">
        <v>526</v>
      </c>
      <c r="D33" s="672"/>
      <c r="E33" s="672"/>
      <c r="F33" s="672"/>
      <c r="G33" s="672"/>
      <c r="H33" s="672"/>
      <c r="J33" s="440">
        <f>ROUND(J29*J31*J32,2)</f>
        <v>-1594.49</v>
      </c>
      <c r="N33" s="559">
        <f>N31+1</f>
        <v>14</v>
      </c>
      <c r="O33" s="7" t="s">
        <v>480</v>
      </c>
      <c r="Q33" s="7" t="s">
        <v>599</v>
      </c>
      <c r="V33" s="7">
        <f>T27</f>
        <v>1.34698797</v>
      </c>
      <c r="W33" s="7"/>
      <c r="X33" s="7"/>
      <c r="Y33" s="7"/>
      <c r="AN33" s="637"/>
      <c r="AP33" s="637"/>
      <c r="AR33" s="637"/>
      <c r="AT33" s="637"/>
      <c r="AV33" s="637"/>
    </row>
    <row r="34" spans="1:48" ht="16.2" thickTop="1">
      <c r="O34" s="7"/>
      <c r="Q34" s="7"/>
      <c r="V34" s="7"/>
      <c r="W34" s="7"/>
      <c r="X34" s="7"/>
      <c r="Y34" s="7"/>
      <c r="AN34" s="637"/>
      <c r="AP34" s="637"/>
      <c r="AQ34" s="637"/>
      <c r="AR34" s="637"/>
      <c r="AT34" s="637"/>
    </row>
    <row r="35" spans="1:48" ht="16.5" customHeight="1" thickBot="1">
      <c r="A35" s="4"/>
      <c r="N35" s="559">
        <f>N33+1</f>
        <v>15</v>
      </c>
      <c r="O35" s="7" t="s">
        <v>481</v>
      </c>
      <c r="Q35" s="7" t="s">
        <v>601</v>
      </c>
      <c r="V35" s="587">
        <f>V31*V33</f>
        <v>16325.718694394987</v>
      </c>
      <c r="W35" s="7"/>
      <c r="X35" s="7"/>
      <c r="Y35" s="7"/>
      <c r="AN35" s="552"/>
      <c r="AO35" s="552"/>
      <c r="AP35" s="552"/>
      <c r="AQ35" s="552"/>
      <c r="AR35" s="552"/>
      <c r="AS35" s="552"/>
      <c r="AT35" s="552"/>
      <c r="AU35" s="552"/>
      <c r="AV35" s="552"/>
    </row>
    <row r="36" spans="1:48" ht="16.2" thickTop="1">
      <c r="A36" s="4"/>
      <c r="O36" s="7"/>
      <c r="Q36" s="7"/>
      <c r="V36" s="7"/>
      <c r="W36" s="7"/>
      <c r="X36" s="7"/>
      <c r="Y36" s="7"/>
      <c r="AN36" s="637"/>
      <c r="AO36" s="637"/>
      <c r="AP36" s="637"/>
      <c r="AQ36" s="637"/>
      <c r="AR36" s="637"/>
      <c r="AS36" s="637"/>
      <c r="AT36" s="637"/>
      <c r="AU36" s="542"/>
    </row>
    <row r="37" spans="1:48" ht="16.5" customHeight="1" thickBot="1">
      <c r="A37" s="4"/>
      <c r="B37" s="664" t="s">
        <v>483</v>
      </c>
      <c r="C37" s="664"/>
      <c r="D37" s="664"/>
      <c r="E37" s="664"/>
      <c r="F37" s="664"/>
      <c r="G37" s="664"/>
      <c r="H37" s="664"/>
      <c r="I37" s="664"/>
      <c r="J37" s="664"/>
      <c r="N37" s="559">
        <f>N35+1</f>
        <v>16</v>
      </c>
      <c r="O37" s="564" t="s">
        <v>572</v>
      </c>
      <c r="Q37" s="7" t="s">
        <v>602</v>
      </c>
      <c r="V37" s="588">
        <f>V35+V23</f>
        <v>-4137.9263056050313</v>
      </c>
      <c r="W37" s="7"/>
      <c r="X37" s="7"/>
      <c r="Y37" s="7"/>
      <c r="AN37" s="552"/>
      <c r="AO37" s="552"/>
      <c r="AP37" s="552"/>
      <c r="AQ37" s="552"/>
      <c r="AR37" s="552"/>
      <c r="AS37" s="552"/>
      <c r="AT37" s="552"/>
      <c r="AU37" s="552"/>
      <c r="AV37" s="552"/>
    </row>
    <row r="38" spans="1:48" ht="16.5" customHeight="1" thickTop="1">
      <c r="A38" s="4"/>
      <c r="B38" s="341" t="str">
        <f>CONCATENATE("(1) Att O_RPU Page 1 of 5, line 7 of RPU True-up Attachment O for 12 months ended 12/31/",Coversheet!E40)</f>
        <v>(1) Att O_RPU Page 1 of 5, line 7 of RPU True-up Attachment O for 12 months ended 12/31/2016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N38" s="559">
        <f>N37+1</f>
        <v>17</v>
      </c>
      <c r="O38" s="7" t="s">
        <v>613</v>
      </c>
      <c r="P38" s="558"/>
      <c r="Q38" s="7" t="s">
        <v>641</v>
      </c>
      <c r="V38" s="598">
        <f>IF(V37&lt;0,S86,T86)</f>
        <v>2.6099999999999995E-3</v>
      </c>
      <c r="W38" s="7"/>
      <c r="X38" s="7"/>
      <c r="Y38" s="7"/>
      <c r="AN38" s="637"/>
      <c r="AO38" s="637"/>
      <c r="AP38" s="637"/>
      <c r="AQ38" s="637"/>
      <c r="AR38" s="637"/>
      <c r="AS38" s="637"/>
      <c r="AT38" s="637"/>
      <c r="AU38" s="542"/>
    </row>
    <row r="39" spans="1:48" ht="15.6">
      <c r="A39" s="4"/>
      <c r="B39" s="341" t="str">
        <f>CONCATENATE("(2) Att O_RPU Page 1 of 5, line 7of RPU FLTY Attachment O for 12 months ended 12/31/",Coversheet!E40)</f>
        <v>(2) Att O_RPU Page 1 of 5, line 7of RPU FLTY Attachment O for 12 months ended 12/31/2016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N39" s="559">
        <f>N38+1</f>
        <v>18</v>
      </c>
      <c r="O39" s="7" t="s">
        <v>573</v>
      </c>
      <c r="P39" s="558"/>
      <c r="Q39" s="7"/>
      <c r="V39" s="591">
        <v>24</v>
      </c>
      <c r="AN39" s="637"/>
      <c r="AO39" s="637"/>
      <c r="AP39" s="637"/>
      <c r="AQ39" s="637"/>
      <c r="AR39" s="637"/>
      <c r="AS39" s="637"/>
      <c r="AT39" s="637"/>
      <c r="AU39" s="542"/>
    </row>
    <row r="40" spans="1:48" ht="15.75" customHeight="1">
      <c r="A40" s="4"/>
      <c r="B40" s="341" t="str">
        <f>CONCATENATE("(3) Att O_RPU Page 1 of 5, line 8 of RPU True-up Attachment O for 12 months ended 12/31/",Coversheet!E40)</f>
        <v>(3) Att O_RPU Page 1 of 5, line 8 of RPU True-up Attachment O for 12 months ended 12/31/2016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O40" s="7"/>
      <c r="P40" s="558"/>
      <c r="Q40" s="7"/>
      <c r="V40" s="7"/>
      <c r="W40" s="7"/>
      <c r="X40" s="7"/>
      <c r="Y40" s="7"/>
      <c r="AA40" s="554"/>
      <c r="AN40" s="637"/>
      <c r="AO40" s="637"/>
      <c r="AP40" s="637"/>
      <c r="AQ40" s="637"/>
      <c r="AR40" s="637"/>
      <c r="AS40" s="637"/>
      <c r="AT40" s="637"/>
      <c r="AU40" s="542"/>
    </row>
    <row r="41" spans="1:48" ht="15.6">
      <c r="A41" s="4"/>
      <c r="B41" s="341" t="str">
        <f>CONCATENATE("(4) Att O_RPU Page 1 of 5, line 8 of RPU FLTY Attachment O for 12 months ended 12/31/",Coversheet!E40)</f>
        <v>(4) Att O_RPU Page 1 of 5, line 8 of RPU FLTY Attachment O for 12 months ended 12/31/2016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N41" s="559">
        <f>N39+1</f>
        <v>19</v>
      </c>
      <c r="O41" s="7" t="s">
        <v>574</v>
      </c>
      <c r="P41" s="558"/>
      <c r="Q41" s="7" t="s">
        <v>603</v>
      </c>
      <c r="V41" s="582">
        <f>ROUND(V37*V38*V39,0)</f>
        <v>-259</v>
      </c>
      <c r="W41" s="7"/>
      <c r="X41" s="7"/>
      <c r="Y41" s="7"/>
      <c r="AN41" s="637"/>
      <c r="AO41" s="637"/>
      <c r="AP41" s="637"/>
      <c r="AQ41" s="637"/>
      <c r="AR41" s="637"/>
      <c r="AS41" s="637"/>
      <c r="AT41" s="637"/>
      <c r="AU41" s="542"/>
    </row>
    <row r="42" spans="1:48" ht="15.6">
      <c r="A42" s="4"/>
      <c r="B42" s="341" t="str">
        <f>CONCATENATE("(5) Att O_RPU Page 1 of 5, line 16 of RPU FLTY Attachment O for 12 months ended 12/31/",Coversheet!E40)</f>
        <v>(5) Att O_RPU Page 1 of 5, line 16 of RPU FLTY Attachment O for 12 months ended 12/31/2016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O42" s="7"/>
      <c r="P42" s="558"/>
      <c r="Q42" s="7"/>
      <c r="V42" s="7"/>
      <c r="W42" s="7"/>
      <c r="X42" s="583"/>
      <c r="Y42" s="7"/>
    </row>
    <row r="43" spans="1:48" ht="16.2" thickBot="1">
      <c r="A43" s="4"/>
      <c r="B43" s="681" t="s">
        <v>494</v>
      </c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N43" s="559">
        <f>N41+1</f>
        <v>20</v>
      </c>
      <c r="O43" s="564" t="s">
        <v>575</v>
      </c>
      <c r="P43" s="558"/>
      <c r="Q43" s="7" t="s">
        <v>604</v>
      </c>
      <c r="V43" s="592">
        <f>V37+V41</f>
        <v>-4396.9263056050313</v>
      </c>
      <c r="W43" s="7"/>
      <c r="X43" s="583"/>
      <c r="Y43" s="7"/>
    </row>
    <row r="44" spans="1:48" ht="16.2" thickTop="1">
      <c r="A44" s="4"/>
      <c r="B44" s="682" t="s">
        <v>608</v>
      </c>
      <c r="C44" s="679"/>
      <c r="D44" s="679"/>
      <c r="E44" s="679"/>
      <c r="F44" s="679"/>
      <c r="G44" s="679"/>
      <c r="H44" s="679"/>
      <c r="I44" s="679"/>
      <c r="J44" s="679"/>
      <c r="K44" s="679"/>
      <c r="L44" s="679"/>
      <c r="W44" s="7"/>
      <c r="X44" s="583"/>
      <c r="Y44" s="7"/>
    </row>
    <row r="45" spans="1:48" ht="15.6">
      <c r="A45" s="4"/>
      <c r="B45" s="679" t="s">
        <v>609</v>
      </c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O45" s="557" t="s">
        <v>483</v>
      </c>
      <c r="P45" s="557"/>
      <c r="Q45" s="557"/>
      <c r="R45" s="557"/>
      <c r="S45" s="557"/>
      <c r="T45" s="557"/>
      <c r="U45" s="557"/>
      <c r="V45" s="557"/>
      <c r="W45" s="7"/>
      <c r="X45" s="7"/>
      <c r="Y45" s="7"/>
    </row>
    <row r="46" spans="1:48" ht="15.6">
      <c r="A46" s="4"/>
      <c r="B46" s="679" t="s">
        <v>610</v>
      </c>
      <c r="C46" s="679"/>
      <c r="D46" s="679"/>
      <c r="E46" s="679"/>
      <c r="F46" s="679"/>
      <c r="G46" s="679"/>
      <c r="H46" s="679"/>
      <c r="I46" s="679"/>
      <c r="J46" s="679"/>
      <c r="K46" s="679"/>
      <c r="L46" s="679"/>
      <c r="O46" s="254" t="s">
        <v>583</v>
      </c>
      <c r="W46" s="7"/>
      <c r="X46" s="7"/>
      <c r="Y46" s="7"/>
    </row>
    <row r="47" spans="1:48" ht="15.6">
      <c r="A47" s="4"/>
      <c r="B47" s="341" t="str">
        <f>CONCATENATE("(7) Interest began accruing in January ",Coversheet!E$40," and will begin to be paid back in January ",Coversheet!E$41+1)</f>
        <v>(7) Interest began accruing in January 2016 and will begin to be paid back in January 2018</v>
      </c>
      <c r="O47" s="254" t="s">
        <v>605</v>
      </c>
    </row>
    <row r="48" spans="1:48" ht="15.6">
      <c r="A48" s="4"/>
      <c r="B48" s="488" t="str">
        <f>CONCATENATE("(8) Att GG_RPU Page 2 of 2, line 2 col (12) of RPU True-up Attachment GG for 12 months ended 12/31/",Coversheet!E40)</f>
        <v>(8) Att GG_RPU Page 2 of 2, line 2 col (12) of RPU True-up Attachment GG for 12 months ended 12/31/2016</v>
      </c>
      <c r="C48" s="341"/>
      <c r="D48" s="341"/>
      <c r="E48" s="341"/>
      <c r="F48" s="341"/>
      <c r="G48" s="341"/>
      <c r="H48" s="341"/>
      <c r="O48" s="254" t="s">
        <v>606</v>
      </c>
      <c r="P48" s="258"/>
      <c r="Q48" s="258"/>
      <c r="R48" s="258"/>
      <c r="S48" s="258"/>
    </row>
    <row r="49" spans="2:82" ht="45" customHeight="1">
      <c r="B49" s="488" t="s">
        <v>555</v>
      </c>
      <c r="O49" s="669" t="s">
        <v>648</v>
      </c>
      <c r="P49" s="669"/>
      <c r="Q49" s="669"/>
      <c r="R49" s="669"/>
      <c r="S49" s="669"/>
      <c r="T49" s="669"/>
      <c r="U49" s="669"/>
      <c r="V49" s="669"/>
    </row>
    <row r="50" spans="2:82" ht="15.6">
      <c r="O50" s="658" t="s">
        <v>649</v>
      </c>
      <c r="R50" s="254"/>
    </row>
    <row r="51" spans="2:82" ht="15.6">
      <c r="O51" s="659" t="s">
        <v>650</v>
      </c>
      <c r="Q51" s="660">
        <f>ROUND('Account 456.1'!D11,0)</f>
        <v>20967</v>
      </c>
      <c r="R51" s="254"/>
    </row>
    <row r="52" spans="2:82" ht="15.6">
      <c r="N52" s="258"/>
      <c r="O52" s="659" t="s">
        <v>651</v>
      </c>
      <c r="Q52" s="660">
        <f>ROUND(13505.98,0)</f>
        <v>13506</v>
      </c>
      <c r="R52" s="254"/>
    </row>
    <row r="53" spans="2:82" ht="15.6">
      <c r="N53" s="258"/>
      <c r="O53" s="659" t="s">
        <v>652</v>
      </c>
      <c r="P53" s="254"/>
      <c r="Q53" s="661">
        <f>+Q51-Q52</f>
        <v>7461</v>
      </c>
      <c r="R53" s="254"/>
    </row>
    <row r="54" spans="2:82" ht="33.75" customHeight="1">
      <c r="N54" s="258"/>
      <c r="O54" s="673" t="s">
        <v>646</v>
      </c>
      <c r="P54" s="673"/>
      <c r="Q54" s="673"/>
      <c r="R54" s="673"/>
      <c r="S54" s="673"/>
      <c r="T54" s="673"/>
      <c r="U54" s="673"/>
      <c r="V54" s="258"/>
    </row>
    <row r="55" spans="2:82">
      <c r="M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</row>
    <row r="56" spans="2:82" ht="15.6">
      <c r="M56" s="258"/>
      <c r="N56" s="256"/>
      <c r="O56" s="256"/>
      <c r="P56" s="256"/>
      <c r="T56" s="386" t="str">
        <f>L1</f>
        <v>For the 12 months ended 12/31/16</v>
      </c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</row>
    <row r="57" spans="2:82" ht="15.6">
      <c r="M57" s="258"/>
      <c r="N57" s="256"/>
      <c r="O57" s="256"/>
      <c r="P57" s="256"/>
      <c r="Q57" s="258"/>
      <c r="R57" s="258"/>
      <c r="S57" s="258"/>
      <c r="T57" s="9" t="s">
        <v>413</v>
      </c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</row>
    <row r="58" spans="2:82" ht="15.6">
      <c r="M58" s="258"/>
      <c r="N58" s="665" t="s">
        <v>366</v>
      </c>
      <c r="O58" s="665"/>
      <c r="P58" s="665"/>
      <c r="Q58" s="665"/>
      <c r="R58" s="665"/>
      <c r="S58" s="665"/>
      <c r="T58" s="665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</row>
    <row r="59" spans="2:82" ht="15.6">
      <c r="M59" s="258"/>
      <c r="N59" s="665" t="s">
        <v>417</v>
      </c>
      <c r="O59" s="665"/>
      <c r="P59" s="665"/>
      <c r="Q59" s="665"/>
      <c r="R59" s="665"/>
      <c r="S59" s="665"/>
      <c r="T59" s="665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</row>
    <row r="60" spans="2:82" ht="15.6">
      <c r="M60" s="258"/>
      <c r="N60" s="665" t="s">
        <v>546</v>
      </c>
      <c r="O60" s="665"/>
      <c r="P60" s="665"/>
      <c r="Q60" s="665"/>
      <c r="R60" s="665"/>
      <c r="S60" s="665"/>
      <c r="T60" s="665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</row>
    <row r="61" spans="2:82">
      <c r="M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</row>
    <row r="62" spans="2:82" ht="15.6">
      <c r="M62" s="258"/>
      <c r="N62" s="677" t="s">
        <v>482</v>
      </c>
      <c r="O62" s="677"/>
      <c r="P62" s="677"/>
      <c r="Q62" s="677"/>
      <c r="R62" s="677"/>
      <c r="S62" s="677"/>
      <c r="T62" s="677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</row>
    <row r="63" spans="2:82">
      <c r="M63" s="258"/>
      <c r="N63" s="258"/>
      <c r="O63" s="258"/>
      <c r="P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</row>
    <row r="64" spans="2:82" ht="62.4">
      <c r="M64" s="388"/>
      <c r="N64" s="271" t="s">
        <v>199</v>
      </c>
      <c r="O64" s="638" t="s">
        <v>201</v>
      </c>
      <c r="P64" s="638" t="s">
        <v>427</v>
      </c>
      <c r="Q64" s="340" t="s">
        <v>639</v>
      </c>
      <c r="R64" s="340" t="s">
        <v>640</v>
      </c>
      <c r="S64" s="340" t="s">
        <v>473</v>
      </c>
      <c r="T64" s="340" t="s">
        <v>474</v>
      </c>
      <c r="W64" s="390"/>
      <c r="X64" s="391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</row>
    <row r="65" spans="13:81" ht="15.6">
      <c r="M65" s="8"/>
      <c r="N65" s="637"/>
      <c r="O65" s="637"/>
      <c r="P65" s="637"/>
      <c r="Q65" s="637"/>
      <c r="R65" s="254"/>
      <c r="S65" s="254"/>
      <c r="T65" s="637"/>
      <c r="W65" s="258"/>
      <c r="X65" s="391">
        <f>ROUND(AVERAGE(X66:X88),4)</f>
        <v>0.42549999999999999</v>
      </c>
      <c r="Y65" s="258"/>
      <c r="Z65" s="258"/>
      <c r="AA65" s="391">
        <f>ROUND(AVERAGE(AA66:AA88),4)</f>
        <v>0.43130000000000002</v>
      </c>
      <c r="AB65" s="258"/>
      <c r="AC65" s="258"/>
      <c r="AD65" s="391">
        <f>ROUND(AVERAGE(AD66:AD88),4)</f>
        <v>0.43640000000000001</v>
      </c>
      <c r="AE65" s="258"/>
      <c r="AF65" s="258"/>
      <c r="AG65" s="391">
        <f>ROUND(AVERAGE(AG66:AG88),4)</f>
        <v>0.43740000000000001</v>
      </c>
      <c r="AH65" s="258"/>
      <c r="AI65" s="258"/>
      <c r="AJ65" s="391">
        <f>ROUND(AVERAGE(AJ66:AJ88),4)</f>
        <v>0.4425</v>
      </c>
      <c r="AK65" s="258"/>
      <c r="AL65" s="258"/>
      <c r="AM65" s="391">
        <f>ROUND(AVERAGE(AM66:AM88),4)</f>
        <v>0.45269999999999999</v>
      </c>
      <c r="AN65" s="258"/>
      <c r="AO65" s="258"/>
      <c r="AP65" s="391">
        <f>ROUND(AVERAGE(AP66:AP88),4)</f>
        <v>0.4829</v>
      </c>
      <c r="AQ65" s="258"/>
      <c r="AR65" s="258"/>
      <c r="AS65" s="391">
        <f>ROUND(AVERAGE(AS66:AS88),4)</f>
        <v>0.51219999999999999</v>
      </c>
      <c r="AT65" s="258"/>
      <c r="AU65" s="258"/>
      <c r="AV65" s="391">
        <f>ROUND(AVERAGE(AV66:AV88),4)</f>
        <v>0.52700000000000002</v>
      </c>
      <c r="AW65" s="258"/>
      <c r="AX65" s="258"/>
      <c r="AY65" s="391">
        <f>ROUND(AVERAGE(AY66:AY88),4)</f>
        <v>0.53080000000000005</v>
      </c>
      <c r="AZ65" s="258"/>
      <c r="BA65" s="258"/>
      <c r="BB65" s="391">
        <f>ROUND(AVERAGE(BB66:BB88),4)</f>
        <v>0.56310000000000004</v>
      </c>
      <c r="BC65" s="258"/>
      <c r="BD65" s="258"/>
      <c r="BE65" s="391">
        <f>ROUND(AVERAGE(BE66:BE88),4)</f>
        <v>0.71199999999999997</v>
      </c>
      <c r="BF65" s="258"/>
      <c r="BG65" s="258"/>
      <c r="BH65" s="391">
        <f>ROUND(AVERAGE(BH66:BH88),4)</f>
        <v>0.77139999999999997</v>
      </c>
      <c r="BI65" s="258"/>
      <c r="BJ65" s="258"/>
      <c r="BK65" s="391">
        <f>ROUND(AVERAGE(BK66:BK88),4)</f>
        <v>0.77669999999999995</v>
      </c>
      <c r="BL65" s="258"/>
      <c r="BM65" s="258"/>
      <c r="BN65" s="391">
        <f>ROUND(AVERAGE(BN66:BN88),4)</f>
        <v>0.92859999999999998</v>
      </c>
      <c r="BO65" s="258"/>
      <c r="BP65" s="258"/>
      <c r="BQ65" s="391">
        <f>ROUND(AVERAGE(BQ66:BQ88),4)</f>
        <v>0.99070000000000003</v>
      </c>
      <c r="BR65" s="258"/>
      <c r="BS65" s="258"/>
      <c r="BT65" s="391" t="str">
        <f>IF(SUM(BT66:BT88)=0,"",ROUND(AVERAGE(BT66:BT88),4))</f>
        <v/>
      </c>
      <c r="BU65" s="258"/>
      <c r="BV65" s="258"/>
      <c r="BW65" s="391" t="str">
        <f>IF(SUM(BW66:BW88)=0,"",ROUND(AVERAGE(BW66:BW88),4))</f>
        <v/>
      </c>
      <c r="BX65" s="258"/>
      <c r="BY65" s="258"/>
      <c r="BZ65" s="391" t="str">
        <f>IF(SUM(BZ66:BZ88)=0,"",ROUND(AVERAGE(BZ66:BZ88),4))</f>
        <v/>
      </c>
      <c r="CA65" s="258"/>
      <c r="CB65" s="258"/>
      <c r="CC65" s="391" t="str">
        <f>IF(SUM(CC66:CC88)=0,"",ROUND(AVERAGE(CC66:CC88),4))</f>
        <v/>
      </c>
    </row>
    <row r="66" spans="13:81" ht="15.6">
      <c r="M66" s="8"/>
      <c r="N66" s="639">
        <v>1</v>
      </c>
      <c r="O66" s="339">
        <f>Coversheet!E$40</f>
        <v>2016</v>
      </c>
      <c r="P66" s="358" t="s">
        <v>186</v>
      </c>
      <c r="Q66" s="630">
        <v>2.7000000000000001E-3</v>
      </c>
      <c r="R66" s="631">
        <f>X$65/100</f>
        <v>4.2550000000000001E-3</v>
      </c>
      <c r="S66" s="631">
        <f t="shared" ref="S66:S85" si="2">Q66</f>
        <v>2.7000000000000001E-3</v>
      </c>
      <c r="T66" s="631">
        <f t="shared" ref="T66:T85" si="3">IF(Q66&lt;R66,Q66,R66)</f>
        <v>2.7000000000000001E-3</v>
      </c>
      <c r="W66" s="422">
        <v>42370</v>
      </c>
      <c r="X66" s="423"/>
      <c r="Y66" s="424"/>
      <c r="Z66" s="422">
        <v>42401</v>
      </c>
      <c r="AA66" s="425">
        <v>0.42699999999999999</v>
      </c>
      <c r="AB66" s="424"/>
      <c r="AC66" s="422">
        <v>42430</v>
      </c>
      <c r="AD66" s="423">
        <v>0.43525000000000003</v>
      </c>
      <c r="AE66" s="424"/>
      <c r="AF66" s="422">
        <v>42461</v>
      </c>
      <c r="AG66" s="423">
        <v>0.43735000000000002</v>
      </c>
      <c r="AH66" s="424"/>
      <c r="AI66" s="422">
        <v>42492</v>
      </c>
      <c r="AJ66" s="423"/>
      <c r="AK66" s="424"/>
      <c r="AL66" s="422">
        <v>42522</v>
      </c>
      <c r="AM66" s="423">
        <v>0.46955000000000002</v>
      </c>
      <c r="AN66" s="424"/>
      <c r="AO66" s="422">
        <v>42552</v>
      </c>
      <c r="AP66" s="423">
        <v>0.46755000000000002</v>
      </c>
      <c r="AQ66" s="424"/>
      <c r="AR66" s="422">
        <v>42583</v>
      </c>
      <c r="AS66" s="423">
        <v>0.49390000000000001</v>
      </c>
      <c r="AT66" s="424"/>
      <c r="AU66" s="422">
        <v>42614</v>
      </c>
      <c r="AV66" s="423">
        <v>0.52293999999999996</v>
      </c>
      <c r="AW66" s="424"/>
      <c r="AX66" s="422">
        <v>42646</v>
      </c>
      <c r="AY66" s="423">
        <v>0.52832999999999997</v>
      </c>
      <c r="AZ66" s="424"/>
      <c r="BA66" s="422">
        <v>42675</v>
      </c>
      <c r="BB66" s="423">
        <v>0.53044000000000002</v>
      </c>
      <c r="BC66" s="424"/>
      <c r="BD66" s="422">
        <v>42705</v>
      </c>
      <c r="BE66" s="423">
        <v>0.63449999999999995</v>
      </c>
      <c r="BF66" s="424"/>
      <c r="BG66" s="422">
        <v>42737</v>
      </c>
      <c r="BH66" s="423"/>
      <c r="BI66" s="424"/>
      <c r="BJ66" s="422">
        <v>42767</v>
      </c>
      <c r="BK66" s="425">
        <v>0.78</v>
      </c>
      <c r="BL66" s="424"/>
      <c r="BM66" s="422">
        <v>42795</v>
      </c>
      <c r="BN66" s="423">
        <v>0.81055999999999995</v>
      </c>
      <c r="BO66" s="424"/>
      <c r="BP66" s="422">
        <v>42828</v>
      </c>
      <c r="BQ66" s="423">
        <v>0.98333000000000004</v>
      </c>
      <c r="BR66" s="424"/>
      <c r="BS66" s="422">
        <v>42857</v>
      </c>
      <c r="BT66" s="423"/>
      <c r="BU66" s="424"/>
      <c r="BV66" s="422">
        <v>42887</v>
      </c>
      <c r="BW66" s="423"/>
      <c r="BX66" s="424"/>
      <c r="BY66" s="422">
        <v>42917</v>
      </c>
      <c r="BZ66" s="423"/>
      <c r="CA66" s="424"/>
      <c r="CB66" s="422">
        <v>42948</v>
      </c>
      <c r="CC66" s="423"/>
    </row>
    <row r="67" spans="13:81" ht="15.6">
      <c r="M67" s="8"/>
      <c r="N67" s="639">
        <f t="shared" ref="N67:N86" si="4">N66+1</f>
        <v>2</v>
      </c>
      <c r="O67" s="637"/>
      <c r="P67" s="358" t="s">
        <v>187</v>
      </c>
      <c r="Q67" s="630">
        <v>2.7000000000000001E-3</v>
      </c>
      <c r="R67" s="631">
        <f>AA$65/100</f>
        <v>4.313E-3</v>
      </c>
      <c r="S67" s="631">
        <f t="shared" si="2"/>
        <v>2.7000000000000001E-3</v>
      </c>
      <c r="T67" s="631">
        <f t="shared" si="3"/>
        <v>2.7000000000000001E-3</v>
      </c>
      <c r="W67" s="422">
        <v>42373</v>
      </c>
      <c r="X67" s="423">
        <v>0.42249999999999999</v>
      </c>
      <c r="Y67" s="424"/>
      <c r="Z67" s="422">
        <v>42402</v>
      </c>
      <c r="AA67" s="423">
        <v>0.42849999999999999</v>
      </c>
      <c r="AB67" s="424"/>
      <c r="AC67" s="422">
        <v>42431</v>
      </c>
      <c r="AD67" s="423">
        <v>0.43759999999999999</v>
      </c>
      <c r="AE67" s="424"/>
      <c r="AF67" s="422">
        <v>42464</v>
      </c>
      <c r="AG67" s="423">
        <v>0.44019999999999998</v>
      </c>
      <c r="AH67" s="424"/>
      <c r="AI67" s="422">
        <v>42493</v>
      </c>
      <c r="AJ67" s="423">
        <v>0.43590000000000001</v>
      </c>
      <c r="AK67" s="424"/>
      <c r="AL67" s="422">
        <v>42523</v>
      </c>
      <c r="AM67" s="423">
        <v>0.46305000000000002</v>
      </c>
      <c r="AN67" s="424"/>
      <c r="AO67" s="422">
        <v>42555</v>
      </c>
      <c r="AP67" s="423">
        <v>0.46955000000000002</v>
      </c>
      <c r="AQ67" s="424"/>
      <c r="AR67" s="422">
        <v>42584</v>
      </c>
      <c r="AS67" s="423">
        <v>0.49390000000000001</v>
      </c>
      <c r="AT67" s="424"/>
      <c r="AU67" s="422">
        <v>42615</v>
      </c>
      <c r="AV67" s="423">
        <v>0.52571999999999997</v>
      </c>
      <c r="AW67" s="424"/>
      <c r="AX67" s="422">
        <v>42647</v>
      </c>
      <c r="AY67" s="423">
        <v>0.52722000000000002</v>
      </c>
      <c r="AZ67" s="424"/>
      <c r="BA67" s="422">
        <v>42676</v>
      </c>
      <c r="BB67" s="423">
        <v>0.53200000000000003</v>
      </c>
      <c r="BC67" s="424"/>
      <c r="BD67" s="422">
        <v>42706</v>
      </c>
      <c r="BE67" s="423">
        <v>0.64666999999999997</v>
      </c>
      <c r="BF67" s="424"/>
      <c r="BG67" s="422">
        <v>42738</v>
      </c>
      <c r="BH67" s="423">
        <v>0.77332999999999996</v>
      </c>
      <c r="BI67" s="424"/>
      <c r="BJ67" s="422">
        <v>42768</v>
      </c>
      <c r="BK67" s="423">
        <v>0.77666999999999997</v>
      </c>
      <c r="BL67" s="424"/>
      <c r="BM67" s="422">
        <v>42796</v>
      </c>
      <c r="BN67" s="423">
        <v>0.83</v>
      </c>
      <c r="BO67" s="424"/>
      <c r="BP67" s="422">
        <v>42829</v>
      </c>
      <c r="BQ67" s="423">
        <v>0.98611000000000004</v>
      </c>
      <c r="BR67" s="424"/>
      <c r="BS67" s="422">
        <v>42858</v>
      </c>
      <c r="BT67" s="423"/>
      <c r="BU67" s="424"/>
      <c r="BV67" s="422">
        <v>42888</v>
      </c>
      <c r="BW67" s="423"/>
      <c r="BX67" s="424"/>
      <c r="BY67" s="422">
        <v>42920</v>
      </c>
      <c r="BZ67" s="423"/>
      <c r="CA67" s="424"/>
      <c r="CB67" s="422">
        <v>42949</v>
      </c>
      <c r="CC67" s="423"/>
    </row>
    <row r="68" spans="13:81" ht="15.6">
      <c r="M68" s="8"/>
      <c r="N68" s="639">
        <f t="shared" si="4"/>
        <v>3</v>
      </c>
      <c r="O68" s="637"/>
      <c r="P68" s="358" t="s">
        <v>188</v>
      </c>
      <c r="Q68" s="630">
        <v>2.7000000000000001E-3</v>
      </c>
      <c r="R68" s="631">
        <f>AD$65/100</f>
        <v>4.3639999999999998E-3</v>
      </c>
      <c r="S68" s="631">
        <f t="shared" si="2"/>
        <v>2.7000000000000001E-3</v>
      </c>
      <c r="T68" s="631">
        <f t="shared" si="3"/>
        <v>2.7000000000000001E-3</v>
      </c>
      <c r="W68" s="422">
        <v>42374</v>
      </c>
      <c r="X68" s="423">
        <v>0.42199999999999999</v>
      </c>
      <c r="Y68" s="424"/>
      <c r="Z68" s="422">
        <v>42403</v>
      </c>
      <c r="AA68" s="423">
        <v>0.42849999999999999</v>
      </c>
      <c r="AB68" s="424"/>
      <c r="AC68" s="422">
        <v>42432</v>
      </c>
      <c r="AD68" s="423">
        <v>0.4405</v>
      </c>
      <c r="AE68" s="424"/>
      <c r="AF68" s="422">
        <v>42465</v>
      </c>
      <c r="AG68" s="423">
        <v>0.4385</v>
      </c>
      <c r="AH68" s="424"/>
      <c r="AI68" s="422">
        <v>42494</v>
      </c>
      <c r="AJ68" s="423">
        <v>0.43590000000000001</v>
      </c>
      <c r="AK68" s="424"/>
      <c r="AL68" s="422">
        <v>42524</v>
      </c>
      <c r="AM68" s="423">
        <v>0.46479999999999999</v>
      </c>
      <c r="AN68" s="424"/>
      <c r="AO68" s="422">
        <v>42556</v>
      </c>
      <c r="AP68" s="423">
        <v>0.4703</v>
      </c>
      <c r="AQ68" s="424"/>
      <c r="AR68" s="422">
        <v>42585</v>
      </c>
      <c r="AS68" s="423">
        <v>0.49690000000000001</v>
      </c>
      <c r="AT68" s="424"/>
      <c r="AU68" s="422">
        <v>42618</v>
      </c>
      <c r="AV68" s="423">
        <v>0.51932999999999996</v>
      </c>
      <c r="AW68" s="424"/>
      <c r="AX68" s="422">
        <v>42648</v>
      </c>
      <c r="AY68" s="423">
        <v>0.52566999999999997</v>
      </c>
      <c r="AZ68" s="424"/>
      <c r="BA68" s="422">
        <v>42677</v>
      </c>
      <c r="BB68" s="423">
        <v>0.53256000000000003</v>
      </c>
      <c r="BC68" s="424"/>
      <c r="BD68" s="422">
        <v>42709</v>
      </c>
      <c r="BE68" s="423">
        <v>0.65193999999999996</v>
      </c>
      <c r="BF68" s="424"/>
      <c r="BG68" s="422">
        <v>42739</v>
      </c>
      <c r="BH68" s="423">
        <v>0.76556000000000002</v>
      </c>
      <c r="BI68" s="424"/>
      <c r="BJ68" s="422">
        <v>42769</v>
      </c>
      <c r="BK68" s="423">
        <v>0.77556000000000003</v>
      </c>
      <c r="BL68" s="424"/>
      <c r="BM68" s="422">
        <v>42797</v>
      </c>
      <c r="BN68" s="423">
        <v>0.83443999999999996</v>
      </c>
      <c r="BO68" s="424"/>
      <c r="BP68" s="422">
        <v>42830</v>
      </c>
      <c r="BQ68" s="423">
        <v>0.98555999999999999</v>
      </c>
      <c r="BR68" s="424"/>
      <c r="BS68" s="422">
        <v>42859</v>
      </c>
      <c r="BT68" s="423"/>
      <c r="BU68" s="424"/>
      <c r="BV68" s="422">
        <v>42889</v>
      </c>
      <c r="BW68" s="423"/>
      <c r="BX68" s="424"/>
      <c r="BY68" s="422">
        <v>42921</v>
      </c>
      <c r="BZ68" s="423"/>
      <c r="CA68" s="424"/>
      <c r="CB68" s="422">
        <v>42950</v>
      </c>
      <c r="CC68" s="423"/>
    </row>
    <row r="69" spans="13:81" ht="15.6">
      <c r="M69" s="8"/>
      <c r="N69" s="639">
        <f t="shared" si="4"/>
        <v>4</v>
      </c>
      <c r="O69" s="637"/>
      <c r="P69" s="358" t="s">
        <v>189</v>
      </c>
      <c r="Q69" s="630">
        <v>2.8999999999999998E-3</v>
      </c>
      <c r="R69" s="631">
        <f>AG$65/100</f>
        <v>4.3740000000000003E-3</v>
      </c>
      <c r="S69" s="631">
        <f t="shared" si="2"/>
        <v>2.8999999999999998E-3</v>
      </c>
      <c r="T69" s="631">
        <f t="shared" si="3"/>
        <v>2.8999999999999998E-3</v>
      </c>
      <c r="W69" s="422">
        <v>42375</v>
      </c>
      <c r="X69" s="423">
        <v>0.42349999999999999</v>
      </c>
      <c r="Y69" s="424"/>
      <c r="Z69" s="422">
        <v>42404</v>
      </c>
      <c r="AA69" s="423">
        <v>0.42770000000000002</v>
      </c>
      <c r="AB69" s="424"/>
      <c r="AC69" s="422">
        <v>42433</v>
      </c>
      <c r="AD69" s="423">
        <v>0.438</v>
      </c>
      <c r="AE69" s="424"/>
      <c r="AF69" s="422">
        <v>42466</v>
      </c>
      <c r="AG69" s="423">
        <v>0.439</v>
      </c>
      <c r="AH69" s="424"/>
      <c r="AI69" s="422">
        <v>42495</v>
      </c>
      <c r="AJ69" s="423">
        <v>0.43714999999999998</v>
      </c>
      <c r="AK69" s="424"/>
      <c r="AL69" s="422">
        <v>42527</v>
      </c>
      <c r="AM69" s="423">
        <v>0.44705</v>
      </c>
      <c r="AN69" s="424"/>
      <c r="AO69" s="422">
        <v>42557</v>
      </c>
      <c r="AP69" s="423">
        <v>0.47255000000000003</v>
      </c>
      <c r="AQ69" s="424"/>
      <c r="AR69" s="422">
        <v>42586</v>
      </c>
      <c r="AS69" s="423">
        <v>0.49840000000000001</v>
      </c>
      <c r="AT69" s="424"/>
      <c r="AU69" s="422">
        <v>42619</v>
      </c>
      <c r="AV69" s="423">
        <v>0.51656000000000002</v>
      </c>
      <c r="AW69" s="424"/>
      <c r="AX69" s="422">
        <v>42649</v>
      </c>
      <c r="AY69" s="423">
        <v>0.52956000000000003</v>
      </c>
      <c r="AZ69" s="424"/>
      <c r="BA69" s="422">
        <v>42678</v>
      </c>
      <c r="BB69" s="423">
        <v>0.53532999999999997</v>
      </c>
      <c r="BC69" s="424"/>
      <c r="BD69" s="422">
        <v>42710</v>
      </c>
      <c r="BE69" s="423">
        <v>0.64888999999999997</v>
      </c>
      <c r="BF69" s="424"/>
      <c r="BG69" s="422">
        <v>42740</v>
      </c>
      <c r="BH69" s="423">
        <v>0.76556000000000002</v>
      </c>
      <c r="BI69" s="424"/>
      <c r="BJ69" s="422">
        <v>42772</v>
      </c>
      <c r="BK69" s="423">
        <v>0.77527999999999997</v>
      </c>
      <c r="BL69" s="424"/>
      <c r="BM69" s="422">
        <v>42800</v>
      </c>
      <c r="BN69" s="423">
        <v>0.84667000000000003</v>
      </c>
      <c r="BO69" s="424"/>
      <c r="BP69" s="422">
        <v>42831</v>
      </c>
      <c r="BQ69" s="423">
        <v>0.98943999999999999</v>
      </c>
      <c r="BR69" s="424"/>
      <c r="BS69" s="422">
        <v>42860</v>
      </c>
      <c r="BT69" s="423"/>
      <c r="BU69" s="424"/>
      <c r="BV69" s="422">
        <v>42892</v>
      </c>
      <c r="BW69" s="423"/>
      <c r="BX69" s="424"/>
      <c r="BY69" s="422">
        <v>42922</v>
      </c>
      <c r="BZ69" s="423"/>
      <c r="CA69" s="424"/>
      <c r="CB69" s="422">
        <v>42951</v>
      </c>
      <c r="CC69" s="423"/>
    </row>
    <row r="70" spans="13:81" ht="15.6">
      <c r="M70" s="8"/>
      <c r="N70" s="639">
        <f t="shared" si="4"/>
        <v>5</v>
      </c>
      <c r="O70" s="339"/>
      <c r="P70" s="358" t="s">
        <v>190</v>
      </c>
      <c r="Q70" s="630">
        <v>2.8999999999999998E-3</v>
      </c>
      <c r="R70" s="631">
        <f>AJ$65/100</f>
        <v>4.4250000000000001E-3</v>
      </c>
      <c r="S70" s="631">
        <f t="shared" si="2"/>
        <v>2.8999999999999998E-3</v>
      </c>
      <c r="T70" s="631">
        <f t="shared" si="3"/>
        <v>2.8999999999999998E-3</v>
      </c>
      <c r="W70" s="422">
        <v>42376</v>
      </c>
      <c r="X70" s="423">
        <v>0.42349999999999999</v>
      </c>
      <c r="Y70" s="424"/>
      <c r="Z70" s="422">
        <v>42405</v>
      </c>
      <c r="AA70" s="423">
        <v>0.4289</v>
      </c>
      <c r="AB70" s="424"/>
      <c r="AC70" s="422">
        <v>42436</v>
      </c>
      <c r="AD70" s="423">
        <v>0.4405</v>
      </c>
      <c r="AE70" s="424"/>
      <c r="AF70" s="422">
        <v>42467</v>
      </c>
      <c r="AG70" s="423">
        <v>0.43645</v>
      </c>
      <c r="AH70" s="424"/>
      <c r="AI70" s="422">
        <v>42496</v>
      </c>
      <c r="AJ70" s="423"/>
      <c r="AK70" s="424"/>
      <c r="AL70" s="422">
        <v>42528</v>
      </c>
      <c r="AM70" s="423">
        <v>0.44579999999999997</v>
      </c>
      <c r="AN70" s="424"/>
      <c r="AO70" s="422">
        <v>42558</v>
      </c>
      <c r="AP70" s="423">
        <v>0.4743</v>
      </c>
      <c r="AQ70" s="424"/>
      <c r="AR70" s="422">
        <v>42587</v>
      </c>
      <c r="AS70" s="423">
        <v>0.50390000000000001</v>
      </c>
      <c r="AT70" s="424"/>
      <c r="AU70" s="422">
        <v>42620</v>
      </c>
      <c r="AV70" s="423">
        <v>0.51322000000000001</v>
      </c>
      <c r="AW70" s="424"/>
      <c r="AX70" s="422">
        <v>42650</v>
      </c>
      <c r="AY70" s="423">
        <v>0.52900000000000003</v>
      </c>
      <c r="AZ70" s="424"/>
      <c r="BA70" s="422">
        <v>42681</v>
      </c>
      <c r="BB70" s="423">
        <v>0.53532999999999997</v>
      </c>
      <c r="BC70" s="424"/>
      <c r="BD70" s="422">
        <v>42711</v>
      </c>
      <c r="BE70" s="423">
        <v>0.65417000000000003</v>
      </c>
      <c r="BF70" s="424"/>
      <c r="BG70" s="422">
        <v>42741</v>
      </c>
      <c r="BH70" s="423">
        <v>0.76332999999999995</v>
      </c>
      <c r="BI70" s="424"/>
      <c r="BJ70" s="422">
        <v>42773</v>
      </c>
      <c r="BK70" s="423">
        <v>0.77278000000000002</v>
      </c>
      <c r="BL70" s="424"/>
      <c r="BM70" s="422">
        <v>42801</v>
      </c>
      <c r="BN70" s="423">
        <v>0.85443999999999998</v>
      </c>
      <c r="BO70" s="424"/>
      <c r="BP70" s="422">
        <v>42832</v>
      </c>
      <c r="BQ70" s="423">
        <v>0.99</v>
      </c>
      <c r="BR70" s="424"/>
      <c r="BS70" s="422">
        <v>42861</v>
      </c>
      <c r="BT70" s="423"/>
      <c r="BU70" s="424"/>
      <c r="BV70" s="422">
        <v>42893</v>
      </c>
      <c r="BW70" s="423"/>
      <c r="BX70" s="424"/>
      <c r="BY70" s="422">
        <v>42923</v>
      </c>
      <c r="BZ70" s="423"/>
      <c r="CA70" s="424"/>
      <c r="CB70" s="422">
        <v>42952</v>
      </c>
      <c r="CC70" s="423"/>
    </row>
    <row r="71" spans="13:81" ht="15.6">
      <c r="M71" s="8"/>
      <c r="N71" s="639">
        <f t="shared" si="4"/>
        <v>6</v>
      </c>
      <c r="O71" s="637"/>
      <c r="P71" s="358" t="s">
        <v>191</v>
      </c>
      <c r="Q71" s="630">
        <v>2.8999999999999998E-3</v>
      </c>
      <c r="R71" s="631">
        <f>AM$65/100</f>
        <v>4.5269999999999998E-3</v>
      </c>
      <c r="S71" s="631">
        <f t="shared" si="2"/>
        <v>2.8999999999999998E-3</v>
      </c>
      <c r="T71" s="631">
        <f t="shared" si="3"/>
        <v>2.8999999999999998E-3</v>
      </c>
      <c r="W71" s="422">
        <v>42377</v>
      </c>
      <c r="X71" s="423">
        <v>0.42380000000000001</v>
      </c>
      <c r="Y71" s="424"/>
      <c r="Z71" s="422">
        <v>42408</v>
      </c>
      <c r="AA71" s="423">
        <v>0.42925000000000002</v>
      </c>
      <c r="AB71" s="424"/>
      <c r="AC71" s="422">
        <v>42437</v>
      </c>
      <c r="AD71" s="423">
        <v>0.44185000000000002</v>
      </c>
      <c r="AE71" s="424"/>
      <c r="AF71" s="422">
        <v>42468</v>
      </c>
      <c r="AG71" s="423">
        <v>0.43469999999999998</v>
      </c>
      <c r="AH71" s="424"/>
      <c r="AI71" s="422">
        <v>42499</v>
      </c>
      <c r="AJ71" s="423">
        <v>0.43864999999999998</v>
      </c>
      <c r="AK71" s="424"/>
      <c r="AL71" s="422">
        <v>42529</v>
      </c>
      <c r="AM71" s="423">
        <v>0.44529999999999997</v>
      </c>
      <c r="AN71" s="424"/>
      <c r="AO71" s="422">
        <v>42559</v>
      </c>
      <c r="AP71" s="423">
        <v>0.4758</v>
      </c>
      <c r="AQ71" s="424"/>
      <c r="AR71" s="422">
        <v>42590</v>
      </c>
      <c r="AS71" s="423">
        <v>0.51190000000000002</v>
      </c>
      <c r="AT71" s="424"/>
      <c r="AU71" s="422">
        <v>42621</v>
      </c>
      <c r="AV71" s="423">
        <v>0.51822000000000001</v>
      </c>
      <c r="AW71" s="424"/>
      <c r="AX71" s="422">
        <v>42653</v>
      </c>
      <c r="AY71" s="423">
        <v>0.52956000000000003</v>
      </c>
      <c r="AZ71" s="424"/>
      <c r="BA71" s="422">
        <v>42682</v>
      </c>
      <c r="BB71" s="423">
        <v>0.53700000000000003</v>
      </c>
      <c r="BC71" s="424"/>
      <c r="BD71" s="422">
        <v>42712</v>
      </c>
      <c r="BE71" s="423">
        <v>0.66388999999999998</v>
      </c>
      <c r="BF71" s="424"/>
      <c r="BG71" s="422">
        <v>42744</v>
      </c>
      <c r="BH71" s="423">
        <v>0.76332999999999995</v>
      </c>
      <c r="BI71" s="424"/>
      <c r="BJ71" s="422">
        <v>42774</v>
      </c>
      <c r="BK71" s="423">
        <v>0.77166999999999997</v>
      </c>
      <c r="BL71" s="424"/>
      <c r="BM71" s="422">
        <v>42802</v>
      </c>
      <c r="BN71" s="423">
        <v>0.85777999999999999</v>
      </c>
      <c r="BO71" s="424"/>
      <c r="BP71" s="422">
        <v>42833</v>
      </c>
      <c r="BQ71" s="423"/>
      <c r="BR71" s="424"/>
      <c r="BS71" s="422">
        <v>42864</v>
      </c>
      <c r="BT71" s="423"/>
      <c r="BU71" s="424"/>
      <c r="BV71" s="422">
        <v>42894</v>
      </c>
      <c r="BW71" s="423"/>
      <c r="BX71" s="424"/>
      <c r="BY71" s="422">
        <v>42924</v>
      </c>
      <c r="BZ71" s="423"/>
      <c r="CA71" s="424"/>
      <c r="CB71" s="422">
        <v>42955</v>
      </c>
      <c r="CC71" s="423"/>
    </row>
    <row r="72" spans="13:81" ht="15.6">
      <c r="M72" s="8"/>
      <c r="N72" s="639">
        <f t="shared" si="4"/>
        <v>7</v>
      </c>
      <c r="O72" s="637"/>
      <c r="P72" s="358" t="s">
        <v>192</v>
      </c>
      <c r="Q72" s="630">
        <v>2.8999999999999998E-3</v>
      </c>
      <c r="R72" s="631">
        <f>AP$65/100</f>
        <v>4.829E-3</v>
      </c>
      <c r="S72" s="631">
        <f t="shared" si="2"/>
        <v>2.8999999999999998E-3</v>
      </c>
      <c r="T72" s="631">
        <f t="shared" si="3"/>
        <v>2.8999999999999998E-3</v>
      </c>
      <c r="W72" s="422">
        <v>42380</v>
      </c>
      <c r="X72" s="423">
        <v>0.42399999999999999</v>
      </c>
      <c r="Y72" s="424"/>
      <c r="Z72" s="422">
        <v>42409</v>
      </c>
      <c r="AA72" s="423">
        <v>0.42849999999999999</v>
      </c>
      <c r="AB72" s="424"/>
      <c r="AC72" s="422">
        <v>42438</v>
      </c>
      <c r="AD72" s="423">
        <v>0.438</v>
      </c>
      <c r="AE72" s="424"/>
      <c r="AF72" s="422">
        <v>42471</v>
      </c>
      <c r="AG72" s="423">
        <v>0.43590000000000001</v>
      </c>
      <c r="AH72" s="424"/>
      <c r="AI72" s="422">
        <v>42500</v>
      </c>
      <c r="AJ72" s="423">
        <v>0.43730000000000002</v>
      </c>
      <c r="AK72" s="424"/>
      <c r="AL72" s="422">
        <v>42530</v>
      </c>
      <c r="AM72" s="423">
        <v>0.44705</v>
      </c>
      <c r="AN72" s="424"/>
      <c r="AO72" s="422">
        <v>42562</v>
      </c>
      <c r="AP72" s="423">
        <v>0.47785</v>
      </c>
      <c r="AQ72" s="424"/>
      <c r="AR72" s="422">
        <v>42591</v>
      </c>
      <c r="AS72" s="423">
        <v>0.51315</v>
      </c>
      <c r="AT72" s="424"/>
      <c r="AU72" s="422">
        <v>42622</v>
      </c>
      <c r="AV72" s="423">
        <v>0.52688999999999997</v>
      </c>
      <c r="AW72" s="424"/>
      <c r="AX72" s="422">
        <v>42654</v>
      </c>
      <c r="AY72" s="423">
        <v>0.53066999999999998</v>
      </c>
      <c r="AZ72" s="424"/>
      <c r="BA72" s="422">
        <v>42683</v>
      </c>
      <c r="BB72" s="423">
        <v>0.53644000000000003</v>
      </c>
      <c r="BC72" s="424"/>
      <c r="BD72" s="422">
        <v>42713</v>
      </c>
      <c r="BE72" s="423">
        <v>0.68</v>
      </c>
      <c r="BF72" s="424"/>
      <c r="BG72" s="422">
        <v>42745</v>
      </c>
      <c r="BH72" s="423">
        <v>0.76500000000000001</v>
      </c>
      <c r="BI72" s="424"/>
      <c r="BJ72" s="422">
        <v>42775</v>
      </c>
      <c r="BK72" s="423">
        <v>0.77056000000000002</v>
      </c>
      <c r="BL72" s="424"/>
      <c r="BM72" s="422">
        <v>42803</v>
      </c>
      <c r="BN72" s="423">
        <v>0.88139000000000001</v>
      </c>
      <c r="BO72" s="424"/>
      <c r="BP72" s="422">
        <v>42836</v>
      </c>
      <c r="BQ72" s="423">
        <v>0.99</v>
      </c>
      <c r="BR72" s="424"/>
      <c r="BS72" s="422">
        <v>42865</v>
      </c>
      <c r="BT72" s="423"/>
      <c r="BU72" s="424"/>
      <c r="BV72" s="422">
        <v>42895</v>
      </c>
      <c r="BW72" s="423"/>
      <c r="BX72" s="424"/>
      <c r="BY72" s="422">
        <v>42927</v>
      </c>
      <c r="BZ72" s="423"/>
      <c r="CA72" s="424"/>
      <c r="CB72" s="422">
        <v>42956</v>
      </c>
      <c r="CC72" s="423"/>
    </row>
    <row r="73" spans="13:81" ht="15.6">
      <c r="M73" s="8"/>
      <c r="N73" s="639">
        <f t="shared" si="4"/>
        <v>8</v>
      </c>
      <c r="O73" s="637"/>
      <c r="P73" s="358" t="s">
        <v>193</v>
      </c>
      <c r="Q73" s="630">
        <v>2.8999999999999998E-3</v>
      </c>
      <c r="R73" s="631">
        <f>AS$65/100</f>
        <v>5.1219999999999998E-3</v>
      </c>
      <c r="S73" s="631">
        <f t="shared" si="2"/>
        <v>2.8999999999999998E-3</v>
      </c>
      <c r="T73" s="631">
        <f t="shared" si="3"/>
        <v>2.8999999999999998E-3</v>
      </c>
      <c r="W73" s="422">
        <v>42381</v>
      </c>
      <c r="X73" s="423">
        <v>0.42449999999999999</v>
      </c>
      <c r="Y73" s="424"/>
      <c r="Z73" s="422">
        <v>42410</v>
      </c>
      <c r="AA73" s="423">
        <v>0.42649999999999999</v>
      </c>
      <c r="AB73" s="424"/>
      <c r="AC73" s="422">
        <v>42439</v>
      </c>
      <c r="AD73" s="423">
        <v>0.43809999999999999</v>
      </c>
      <c r="AE73" s="424"/>
      <c r="AF73" s="422">
        <v>42472</v>
      </c>
      <c r="AG73" s="423">
        <v>0.43714999999999998</v>
      </c>
      <c r="AH73" s="424"/>
      <c r="AI73" s="422">
        <v>42501</v>
      </c>
      <c r="AJ73" s="423">
        <v>0.43464999999999998</v>
      </c>
      <c r="AK73" s="424"/>
      <c r="AL73" s="422">
        <v>42531</v>
      </c>
      <c r="AM73" s="423">
        <v>0.44655</v>
      </c>
      <c r="AN73" s="424"/>
      <c r="AO73" s="422">
        <v>42563</v>
      </c>
      <c r="AP73" s="423">
        <v>0.47935</v>
      </c>
      <c r="AQ73" s="424"/>
      <c r="AR73" s="422">
        <v>42592</v>
      </c>
      <c r="AS73" s="423">
        <v>0.51765000000000005</v>
      </c>
      <c r="AT73" s="424"/>
      <c r="AU73" s="422">
        <v>42625</v>
      </c>
      <c r="AV73" s="423">
        <v>0.52771999999999997</v>
      </c>
      <c r="AW73" s="424"/>
      <c r="AX73" s="422">
        <v>42655</v>
      </c>
      <c r="AY73" s="423">
        <v>0.53456000000000004</v>
      </c>
      <c r="AZ73" s="424"/>
      <c r="BA73" s="422">
        <v>42684</v>
      </c>
      <c r="BB73" s="423">
        <v>0.53817000000000004</v>
      </c>
      <c r="BC73" s="424"/>
      <c r="BD73" s="422">
        <v>42716</v>
      </c>
      <c r="BE73" s="423">
        <v>0.69472</v>
      </c>
      <c r="BF73" s="424"/>
      <c r="BG73" s="422">
        <v>42746</v>
      </c>
      <c r="BH73" s="423">
        <v>0.76722000000000001</v>
      </c>
      <c r="BI73" s="424"/>
      <c r="BJ73" s="422">
        <v>42776</v>
      </c>
      <c r="BK73" s="423">
        <v>0.77110999999999996</v>
      </c>
      <c r="BL73" s="424"/>
      <c r="BM73" s="422">
        <v>42804</v>
      </c>
      <c r="BN73" s="423">
        <v>0.89056000000000002</v>
      </c>
      <c r="BO73" s="424"/>
      <c r="BP73" s="422">
        <v>42837</v>
      </c>
      <c r="BQ73" s="423">
        <v>0.99389000000000005</v>
      </c>
      <c r="BR73" s="424"/>
      <c r="BS73" s="422">
        <v>42866</v>
      </c>
      <c r="BT73" s="423"/>
      <c r="BU73" s="424"/>
      <c r="BV73" s="422">
        <v>42896</v>
      </c>
      <c r="BW73" s="423"/>
      <c r="BX73" s="424"/>
      <c r="BY73" s="422">
        <v>42928</v>
      </c>
      <c r="BZ73" s="423"/>
      <c r="CA73" s="424"/>
      <c r="CB73" s="422">
        <v>42957</v>
      </c>
      <c r="CC73" s="423"/>
    </row>
    <row r="74" spans="13:81" ht="15.6">
      <c r="M74" s="8"/>
      <c r="N74" s="639">
        <f t="shared" si="4"/>
        <v>9</v>
      </c>
      <c r="O74" s="637"/>
      <c r="P74" s="358" t="s">
        <v>194</v>
      </c>
      <c r="Q74" s="630">
        <v>2.8999999999999998E-3</v>
      </c>
      <c r="R74" s="631">
        <f>AV$65/100</f>
        <v>5.2700000000000004E-3</v>
      </c>
      <c r="S74" s="631">
        <f t="shared" si="2"/>
        <v>2.8999999999999998E-3</v>
      </c>
      <c r="T74" s="631">
        <f t="shared" si="3"/>
        <v>2.8999999999999998E-3</v>
      </c>
      <c r="W74" s="422">
        <v>42382</v>
      </c>
      <c r="X74" s="423">
        <v>0.42549999999999999</v>
      </c>
      <c r="Y74" s="424"/>
      <c r="Z74" s="422">
        <v>42411</v>
      </c>
      <c r="AA74" s="423">
        <v>0.42699999999999999</v>
      </c>
      <c r="AB74" s="424"/>
      <c r="AC74" s="422">
        <v>42440</v>
      </c>
      <c r="AD74" s="423">
        <v>0.43619999999999998</v>
      </c>
      <c r="AE74" s="424"/>
      <c r="AF74" s="422">
        <v>42473</v>
      </c>
      <c r="AG74" s="423">
        <v>0.43275000000000002</v>
      </c>
      <c r="AH74" s="424"/>
      <c r="AI74" s="422">
        <v>42502</v>
      </c>
      <c r="AJ74" s="423">
        <v>0.43445</v>
      </c>
      <c r="AK74" s="424"/>
      <c r="AL74" s="422">
        <v>42534</v>
      </c>
      <c r="AM74" s="423">
        <v>0.44205</v>
      </c>
      <c r="AN74" s="424"/>
      <c r="AO74" s="422">
        <v>42564</v>
      </c>
      <c r="AP74" s="423">
        <v>0.48135</v>
      </c>
      <c r="AQ74" s="424"/>
      <c r="AR74" s="422">
        <v>42593</v>
      </c>
      <c r="AS74" s="423">
        <v>0.50765000000000005</v>
      </c>
      <c r="AT74" s="424"/>
      <c r="AU74" s="422">
        <v>42626</v>
      </c>
      <c r="AV74" s="423">
        <v>0.52427999999999997</v>
      </c>
      <c r="AW74" s="424"/>
      <c r="AX74" s="422">
        <v>42656</v>
      </c>
      <c r="AY74" s="423">
        <v>0.53456000000000004</v>
      </c>
      <c r="AZ74" s="424"/>
      <c r="BA74" s="422">
        <v>42685</v>
      </c>
      <c r="BB74" s="423">
        <v>0.53817000000000004</v>
      </c>
      <c r="BC74" s="424"/>
      <c r="BD74" s="422">
        <v>42717</v>
      </c>
      <c r="BE74" s="423">
        <v>0.70389000000000002</v>
      </c>
      <c r="BF74" s="424"/>
      <c r="BG74" s="422">
        <v>42747</v>
      </c>
      <c r="BH74" s="423">
        <v>0.76722000000000001</v>
      </c>
      <c r="BI74" s="424"/>
      <c r="BJ74" s="422">
        <v>42779</v>
      </c>
      <c r="BK74" s="423">
        <v>0.77</v>
      </c>
      <c r="BL74" s="424"/>
      <c r="BM74" s="422">
        <v>42807</v>
      </c>
      <c r="BN74" s="423">
        <v>0.91222000000000003</v>
      </c>
      <c r="BO74" s="424"/>
      <c r="BP74" s="422">
        <v>42838</v>
      </c>
      <c r="BQ74" s="423">
        <v>0.99443999999999999</v>
      </c>
      <c r="BR74" s="424"/>
      <c r="BS74" s="422">
        <v>42867</v>
      </c>
      <c r="BT74" s="423"/>
      <c r="BU74" s="424"/>
      <c r="BV74" s="422">
        <v>42899</v>
      </c>
      <c r="BW74" s="423"/>
      <c r="BX74" s="424"/>
      <c r="BY74" s="422">
        <v>42929</v>
      </c>
      <c r="BZ74" s="423"/>
      <c r="CA74" s="424"/>
      <c r="CB74" s="422">
        <v>42958</v>
      </c>
      <c r="CC74" s="423"/>
    </row>
    <row r="75" spans="13:81" ht="15.6">
      <c r="M75" s="8"/>
      <c r="N75" s="639">
        <f t="shared" si="4"/>
        <v>10</v>
      </c>
      <c r="O75" s="637"/>
      <c r="P75" s="358" t="s">
        <v>195</v>
      </c>
      <c r="Q75" s="630">
        <v>2.8999999999999998E-3</v>
      </c>
      <c r="R75" s="631">
        <f>AY$65/100</f>
        <v>5.3080000000000002E-3</v>
      </c>
      <c r="S75" s="631">
        <f t="shared" si="2"/>
        <v>2.8999999999999998E-3</v>
      </c>
      <c r="T75" s="631">
        <f t="shared" si="3"/>
        <v>2.8999999999999998E-3</v>
      </c>
      <c r="W75" s="422">
        <v>42383</v>
      </c>
      <c r="X75" s="423">
        <v>0.42549999999999999</v>
      </c>
      <c r="Y75" s="424"/>
      <c r="Z75" s="422">
        <v>42412</v>
      </c>
      <c r="AA75" s="423">
        <v>0.43049999999999999</v>
      </c>
      <c r="AB75" s="424"/>
      <c r="AC75" s="422">
        <v>42443</v>
      </c>
      <c r="AD75" s="423">
        <v>0.44130000000000003</v>
      </c>
      <c r="AE75" s="424"/>
      <c r="AF75" s="422">
        <v>42474</v>
      </c>
      <c r="AG75" s="423">
        <v>0.43625000000000003</v>
      </c>
      <c r="AH75" s="424"/>
      <c r="AI75" s="422">
        <v>42503</v>
      </c>
      <c r="AJ75" s="423">
        <v>0.43395</v>
      </c>
      <c r="AK75" s="424"/>
      <c r="AL75" s="422">
        <v>42535</v>
      </c>
      <c r="AM75" s="423">
        <v>0.44230000000000003</v>
      </c>
      <c r="AN75" s="424"/>
      <c r="AO75" s="422">
        <v>42565</v>
      </c>
      <c r="AP75" s="423">
        <v>0.48209999999999997</v>
      </c>
      <c r="AQ75" s="424"/>
      <c r="AR75" s="422">
        <v>42594</v>
      </c>
      <c r="AS75" s="423">
        <v>0.50665000000000004</v>
      </c>
      <c r="AT75" s="424"/>
      <c r="AU75" s="422">
        <v>42627</v>
      </c>
      <c r="AV75" s="423">
        <v>0.52956000000000003</v>
      </c>
      <c r="AW75" s="424"/>
      <c r="AX75" s="422">
        <v>42657</v>
      </c>
      <c r="AY75" s="423">
        <v>0.53566999999999998</v>
      </c>
      <c r="AZ75" s="424"/>
      <c r="BA75" s="422">
        <v>42688</v>
      </c>
      <c r="BB75" s="423">
        <v>0.54205999999999999</v>
      </c>
      <c r="BC75" s="424"/>
      <c r="BD75" s="422">
        <v>42718</v>
      </c>
      <c r="BE75" s="423">
        <v>0.70728000000000002</v>
      </c>
      <c r="BF75" s="424"/>
      <c r="BG75" s="422">
        <v>42748</v>
      </c>
      <c r="BH75" s="423">
        <v>0.76832999999999996</v>
      </c>
      <c r="BI75" s="424"/>
      <c r="BJ75" s="422">
        <v>42780</v>
      </c>
      <c r="BK75" s="423">
        <v>0.77</v>
      </c>
      <c r="BL75" s="424"/>
      <c r="BM75" s="422">
        <v>42808</v>
      </c>
      <c r="BN75" s="423">
        <v>0.92832999999999999</v>
      </c>
      <c r="BO75" s="424"/>
      <c r="BP75" s="422">
        <v>42839</v>
      </c>
      <c r="BQ75" s="423"/>
      <c r="BR75" s="424"/>
      <c r="BS75" s="422">
        <v>42868</v>
      </c>
      <c r="BT75" s="423"/>
      <c r="BU75" s="424"/>
      <c r="BV75" s="422">
        <v>42900</v>
      </c>
      <c r="BW75" s="423"/>
      <c r="BX75" s="424"/>
      <c r="BY75" s="422">
        <v>42930</v>
      </c>
      <c r="BZ75" s="423"/>
      <c r="CA75" s="424"/>
      <c r="CB75" s="422">
        <v>42959</v>
      </c>
      <c r="CC75" s="423"/>
    </row>
    <row r="76" spans="13:81" ht="15.6">
      <c r="M76" s="8"/>
      <c r="N76" s="639">
        <f t="shared" si="4"/>
        <v>11</v>
      </c>
      <c r="O76" s="637"/>
      <c r="P76" s="358" t="s">
        <v>196</v>
      </c>
      <c r="Q76" s="630">
        <v>2.8999999999999998E-3</v>
      </c>
      <c r="R76" s="631">
        <f>BB$65/100</f>
        <v>5.6310000000000006E-3</v>
      </c>
      <c r="S76" s="631">
        <f t="shared" si="2"/>
        <v>2.8999999999999998E-3</v>
      </c>
      <c r="T76" s="631">
        <f t="shared" si="3"/>
        <v>2.8999999999999998E-3</v>
      </c>
      <c r="W76" s="422">
        <v>42384</v>
      </c>
      <c r="X76" s="423">
        <v>0.42549999999999999</v>
      </c>
      <c r="Y76" s="424"/>
      <c r="Z76" s="422">
        <v>42415</v>
      </c>
      <c r="AA76" s="423">
        <v>0.42925000000000002</v>
      </c>
      <c r="AB76" s="424"/>
      <c r="AC76" s="422">
        <v>42444</v>
      </c>
      <c r="AD76" s="423">
        <v>0.44124999999999998</v>
      </c>
      <c r="AE76" s="424"/>
      <c r="AF76" s="422">
        <v>42475</v>
      </c>
      <c r="AG76" s="423">
        <v>0.43625000000000003</v>
      </c>
      <c r="AH76" s="424"/>
      <c r="AI76" s="422">
        <v>42506</v>
      </c>
      <c r="AJ76" s="423">
        <v>0.43619999999999998</v>
      </c>
      <c r="AK76" s="424"/>
      <c r="AL76" s="422">
        <v>42536</v>
      </c>
      <c r="AM76" s="423">
        <v>0.44605</v>
      </c>
      <c r="AN76" s="424"/>
      <c r="AO76" s="422">
        <v>42566</v>
      </c>
      <c r="AP76" s="423">
        <v>0.48330000000000001</v>
      </c>
      <c r="AQ76" s="424"/>
      <c r="AR76" s="422">
        <v>42597</v>
      </c>
      <c r="AS76" s="423">
        <v>0.50744</v>
      </c>
      <c r="AT76" s="424"/>
      <c r="AU76" s="422">
        <v>42628</v>
      </c>
      <c r="AV76" s="423">
        <v>0.53093999999999997</v>
      </c>
      <c r="AW76" s="424"/>
      <c r="AX76" s="422">
        <v>42660</v>
      </c>
      <c r="AY76" s="423">
        <v>0.52788999999999997</v>
      </c>
      <c r="AZ76" s="424"/>
      <c r="BA76" s="422">
        <v>42689</v>
      </c>
      <c r="BB76" s="423">
        <v>0.55010999999999999</v>
      </c>
      <c r="BC76" s="424"/>
      <c r="BD76" s="422">
        <v>42719</v>
      </c>
      <c r="BE76" s="423">
        <v>0.73621999999999999</v>
      </c>
      <c r="BF76" s="424"/>
      <c r="BG76" s="422">
        <v>42751</v>
      </c>
      <c r="BH76" s="423">
        <v>0.76778000000000002</v>
      </c>
      <c r="BI76" s="424"/>
      <c r="BJ76" s="422">
        <v>42781</v>
      </c>
      <c r="BK76" s="423">
        <v>0.77222000000000002</v>
      </c>
      <c r="BL76" s="424"/>
      <c r="BM76" s="422">
        <v>42809</v>
      </c>
      <c r="BN76" s="423">
        <v>0.94277999999999995</v>
      </c>
      <c r="BO76" s="424"/>
      <c r="BP76" s="422">
        <v>42840</v>
      </c>
      <c r="BQ76" s="423"/>
      <c r="BR76" s="424"/>
      <c r="BS76" s="422">
        <v>42871</v>
      </c>
      <c r="BT76" s="423"/>
      <c r="BU76" s="424"/>
      <c r="BV76" s="422">
        <v>42901</v>
      </c>
      <c r="BW76" s="423"/>
      <c r="BX76" s="424"/>
      <c r="BY76" s="422">
        <v>42931</v>
      </c>
      <c r="BZ76" s="423"/>
      <c r="CA76" s="424"/>
      <c r="CB76" s="422">
        <v>42962</v>
      </c>
      <c r="CC76" s="423"/>
    </row>
    <row r="77" spans="13:81" ht="15.6">
      <c r="M77" s="8"/>
      <c r="N77" s="639">
        <f t="shared" si="4"/>
        <v>12</v>
      </c>
      <c r="O77" s="637"/>
      <c r="P77" s="358" t="s">
        <v>197</v>
      </c>
      <c r="Q77" s="630">
        <v>2.8999999999999998E-3</v>
      </c>
      <c r="R77" s="631">
        <f>BE$65/100</f>
        <v>7.1199999999999996E-3</v>
      </c>
      <c r="S77" s="631">
        <f t="shared" si="2"/>
        <v>2.8999999999999998E-3</v>
      </c>
      <c r="T77" s="631">
        <f t="shared" si="3"/>
        <v>2.8999999999999998E-3</v>
      </c>
      <c r="W77" s="422">
        <v>42387</v>
      </c>
      <c r="X77" s="423">
        <v>0.42599999999999999</v>
      </c>
      <c r="Y77" s="424"/>
      <c r="Z77" s="422">
        <v>42416</v>
      </c>
      <c r="AA77" s="423">
        <v>0.42949999999999999</v>
      </c>
      <c r="AB77" s="424"/>
      <c r="AC77" s="422">
        <v>42445</v>
      </c>
      <c r="AD77" s="423">
        <v>0.43990000000000001</v>
      </c>
      <c r="AE77" s="424"/>
      <c r="AF77" s="422">
        <v>42478</v>
      </c>
      <c r="AG77" s="423">
        <v>0.43874999999999997</v>
      </c>
      <c r="AH77" s="424"/>
      <c r="AI77" s="422">
        <v>42507</v>
      </c>
      <c r="AJ77" s="423">
        <v>0.43869999999999998</v>
      </c>
      <c r="AK77" s="424"/>
      <c r="AL77" s="422">
        <v>42537</v>
      </c>
      <c r="AM77" s="423">
        <v>0.44805</v>
      </c>
      <c r="AN77" s="424"/>
      <c r="AO77" s="422">
        <v>42569</v>
      </c>
      <c r="AP77" s="423">
        <v>0.48654999999999998</v>
      </c>
      <c r="AQ77" s="424"/>
      <c r="AR77" s="422">
        <v>42598</v>
      </c>
      <c r="AS77" s="423">
        <v>0.50744</v>
      </c>
      <c r="AT77" s="424"/>
      <c r="AU77" s="422">
        <v>42629</v>
      </c>
      <c r="AV77" s="423">
        <v>0.53178000000000003</v>
      </c>
      <c r="AW77" s="424"/>
      <c r="AX77" s="422">
        <v>42661</v>
      </c>
      <c r="AY77" s="423">
        <v>0.52566999999999997</v>
      </c>
      <c r="AZ77" s="424"/>
      <c r="BA77" s="422">
        <v>42690</v>
      </c>
      <c r="BB77" s="423">
        <v>0.55456000000000005</v>
      </c>
      <c r="BC77" s="424"/>
      <c r="BD77" s="422">
        <v>42720</v>
      </c>
      <c r="BE77" s="423">
        <v>0.73899999999999999</v>
      </c>
      <c r="BF77" s="424"/>
      <c r="BG77" s="422">
        <v>42752</v>
      </c>
      <c r="BH77" s="423">
        <v>0.76944000000000001</v>
      </c>
      <c r="BI77" s="424"/>
      <c r="BJ77" s="422">
        <v>42782</v>
      </c>
      <c r="BK77" s="423">
        <v>0.78056000000000003</v>
      </c>
      <c r="BL77" s="424"/>
      <c r="BM77" s="422">
        <v>42810</v>
      </c>
      <c r="BN77" s="423">
        <v>0.97833000000000003</v>
      </c>
      <c r="BO77" s="424"/>
      <c r="BP77" s="422">
        <v>42843</v>
      </c>
      <c r="BQ77" s="423">
        <v>0.99278</v>
      </c>
      <c r="BR77" s="424"/>
      <c r="BS77" s="422">
        <v>42872</v>
      </c>
      <c r="BT77" s="423"/>
      <c r="BU77" s="424"/>
      <c r="BV77" s="422">
        <v>42902</v>
      </c>
      <c r="BW77" s="423"/>
      <c r="BX77" s="424"/>
      <c r="BY77" s="422">
        <v>42934</v>
      </c>
      <c r="BZ77" s="423"/>
      <c r="CA77" s="424"/>
      <c r="CB77" s="422">
        <v>42963</v>
      </c>
      <c r="CC77" s="423"/>
    </row>
    <row r="78" spans="13:81" ht="15.6">
      <c r="M78" s="8"/>
      <c r="N78" s="639">
        <f t="shared" si="4"/>
        <v>13</v>
      </c>
      <c r="O78" s="339">
        <f>Coversheet!E$41</f>
        <v>2017</v>
      </c>
      <c r="P78" s="358" t="s">
        <v>186</v>
      </c>
      <c r="Q78" s="630">
        <v>2.8999999999999998E-3</v>
      </c>
      <c r="R78" s="631">
        <f>BH$65/100</f>
        <v>7.7139999999999995E-3</v>
      </c>
      <c r="S78" s="631">
        <f t="shared" si="2"/>
        <v>2.8999999999999998E-3</v>
      </c>
      <c r="T78" s="631">
        <f t="shared" si="3"/>
        <v>2.8999999999999998E-3</v>
      </c>
      <c r="W78" s="422">
        <v>42388</v>
      </c>
      <c r="X78" s="423">
        <v>0.42499999999999999</v>
      </c>
      <c r="Y78" s="424"/>
      <c r="Z78" s="422">
        <v>42417</v>
      </c>
      <c r="AA78" s="423">
        <v>0.43004999999999999</v>
      </c>
      <c r="AB78" s="424"/>
      <c r="AC78" s="422">
        <v>42446</v>
      </c>
      <c r="AD78" s="423">
        <v>0.43209999999999998</v>
      </c>
      <c r="AE78" s="424"/>
      <c r="AF78" s="422">
        <v>42479</v>
      </c>
      <c r="AG78" s="423">
        <v>0.44114999999999999</v>
      </c>
      <c r="AH78" s="424"/>
      <c r="AI78" s="422">
        <v>42508</v>
      </c>
      <c r="AJ78" s="423">
        <v>0.43845000000000001</v>
      </c>
      <c r="AK78" s="424"/>
      <c r="AL78" s="422">
        <v>42538</v>
      </c>
      <c r="AM78" s="423">
        <v>0.44779999999999998</v>
      </c>
      <c r="AN78" s="424"/>
      <c r="AO78" s="422">
        <v>42570</v>
      </c>
      <c r="AP78" s="423">
        <v>0.48530000000000001</v>
      </c>
      <c r="AQ78" s="424"/>
      <c r="AR78" s="422">
        <v>42599</v>
      </c>
      <c r="AS78" s="423">
        <v>0.51410999999999996</v>
      </c>
      <c r="AT78" s="424"/>
      <c r="AU78" s="422">
        <v>42632</v>
      </c>
      <c r="AV78" s="423">
        <v>0.53617000000000004</v>
      </c>
      <c r="AW78" s="424"/>
      <c r="AX78" s="422">
        <v>42662</v>
      </c>
      <c r="AY78" s="423">
        <v>0.52456000000000003</v>
      </c>
      <c r="AZ78" s="424"/>
      <c r="BA78" s="422">
        <v>42691</v>
      </c>
      <c r="BB78" s="423">
        <v>0.56177999999999995</v>
      </c>
      <c r="BC78" s="424"/>
      <c r="BD78" s="422">
        <v>42723</v>
      </c>
      <c r="BE78" s="423">
        <v>0.74399999999999999</v>
      </c>
      <c r="BF78" s="424"/>
      <c r="BG78" s="422">
        <v>42753</v>
      </c>
      <c r="BH78" s="423">
        <v>0.77666999999999997</v>
      </c>
      <c r="BI78" s="424"/>
      <c r="BJ78" s="422">
        <v>42783</v>
      </c>
      <c r="BK78" s="423">
        <v>0.77944000000000002</v>
      </c>
      <c r="BL78" s="424"/>
      <c r="BM78" s="422">
        <v>42811</v>
      </c>
      <c r="BN78" s="423">
        <v>0.97611000000000003</v>
      </c>
      <c r="BO78" s="424"/>
      <c r="BP78" s="422">
        <v>42844</v>
      </c>
      <c r="BQ78" s="423">
        <v>0.99111000000000005</v>
      </c>
      <c r="BR78" s="424"/>
      <c r="BS78" s="422">
        <v>42873</v>
      </c>
      <c r="BT78" s="423"/>
      <c r="BU78" s="424"/>
      <c r="BV78" s="422">
        <v>42903</v>
      </c>
      <c r="BW78" s="423"/>
      <c r="BX78" s="424"/>
      <c r="BY78" s="422">
        <v>42935</v>
      </c>
      <c r="BZ78" s="423"/>
      <c r="CA78" s="424"/>
      <c r="CB78" s="422">
        <v>42964</v>
      </c>
      <c r="CC78" s="423"/>
    </row>
    <row r="79" spans="13:81" ht="15.6">
      <c r="M79" s="8"/>
      <c r="N79" s="639">
        <f t="shared" si="4"/>
        <v>14</v>
      </c>
      <c r="O79" s="637"/>
      <c r="P79" s="358" t="s">
        <v>187</v>
      </c>
      <c r="Q79" s="630">
        <v>2.8999999999999998E-3</v>
      </c>
      <c r="R79" s="631">
        <f>BK$65/100</f>
        <v>7.7669999999999996E-3</v>
      </c>
      <c r="S79" s="631">
        <f t="shared" si="2"/>
        <v>2.8999999999999998E-3</v>
      </c>
      <c r="T79" s="631">
        <f t="shared" si="3"/>
        <v>2.8999999999999998E-3</v>
      </c>
      <c r="W79" s="422">
        <v>42389</v>
      </c>
      <c r="X79" s="423">
        <v>0.42530000000000001</v>
      </c>
      <c r="Y79" s="424"/>
      <c r="Z79" s="422">
        <v>42418</v>
      </c>
      <c r="AA79" s="423">
        <v>0.432</v>
      </c>
      <c r="AB79" s="424"/>
      <c r="AC79" s="422">
        <v>42447</v>
      </c>
      <c r="AD79" s="423">
        <v>0.42830000000000001</v>
      </c>
      <c r="AE79" s="424"/>
      <c r="AF79" s="422">
        <v>42480</v>
      </c>
      <c r="AG79" s="423">
        <v>0.44124999999999998</v>
      </c>
      <c r="AH79" s="424"/>
      <c r="AI79" s="422">
        <v>42509</v>
      </c>
      <c r="AJ79" s="423">
        <v>0.443</v>
      </c>
      <c r="AK79" s="424"/>
      <c r="AL79" s="422">
        <v>42541</v>
      </c>
      <c r="AM79" s="423">
        <v>0.44805</v>
      </c>
      <c r="AN79" s="424"/>
      <c r="AO79" s="422">
        <v>42571</v>
      </c>
      <c r="AP79" s="423">
        <v>0.4874</v>
      </c>
      <c r="AQ79" s="424"/>
      <c r="AR79" s="422">
        <v>42600</v>
      </c>
      <c r="AS79" s="423">
        <v>0.51244000000000001</v>
      </c>
      <c r="AT79" s="424"/>
      <c r="AU79" s="422">
        <v>42633</v>
      </c>
      <c r="AV79" s="423">
        <v>0.54305999999999999</v>
      </c>
      <c r="AW79" s="424"/>
      <c r="AX79" s="422">
        <v>42663</v>
      </c>
      <c r="AY79" s="423">
        <v>0.52400000000000002</v>
      </c>
      <c r="AZ79" s="424"/>
      <c r="BA79" s="422">
        <v>42692</v>
      </c>
      <c r="BB79" s="423">
        <v>0.56599999999999995</v>
      </c>
      <c r="BC79" s="424"/>
      <c r="BD79" s="422">
        <v>42724</v>
      </c>
      <c r="BE79" s="423">
        <v>0.749</v>
      </c>
      <c r="BF79" s="424"/>
      <c r="BG79" s="422">
        <v>42754</v>
      </c>
      <c r="BH79" s="423">
        <v>0.77639000000000002</v>
      </c>
      <c r="BI79" s="424"/>
      <c r="BJ79" s="422">
        <v>42786</v>
      </c>
      <c r="BK79" s="423">
        <v>0.77722000000000002</v>
      </c>
      <c r="BL79" s="424"/>
      <c r="BM79" s="422">
        <v>42814</v>
      </c>
      <c r="BN79" s="423">
        <v>0.97721999999999998</v>
      </c>
      <c r="BO79" s="424"/>
      <c r="BP79" s="422">
        <v>42845</v>
      </c>
      <c r="BQ79" s="423">
        <v>0.98833000000000004</v>
      </c>
      <c r="BR79" s="424"/>
      <c r="BS79" s="422">
        <v>42874</v>
      </c>
      <c r="BT79" s="423"/>
      <c r="BU79" s="424"/>
      <c r="BV79" s="422">
        <v>42906</v>
      </c>
      <c r="BW79" s="423"/>
      <c r="BX79" s="424"/>
      <c r="BY79" s="422">
        <v>42936</v>
      </c>
      <c r="BZ79" s="423"/>
      <c r="CA79" s="424"/>
      <c r="CB79" s="422">
        <v>42965</v>
      </c>
      <c r="CC79" s="423"/>
    </row>
    <row r="80" spans="13:81" ht="15.6">
      <c r="M80" s="8"/>
      <c r="N80" s="639">
        <f t="shared" si="4"/>
        <v>15</v>
      </c>
      <c r="O80" s="637"/>
      <c r="P80" s="358" t="s">
        <v>188</v>
      </c>
      <c r="Q80" s="630">
        <v>2.8999999999999998E-3</v>
      </c>
      <c r="R80" s="631">
        <f>BN$65/100</f>
        <v>9.2859999999999991E-3</v>
      </c>
      <c r="S80" s="631">
        <f t="shared" si="2"/>
        <v>2.8999999999999998E-3</v>
      </c>
      <c r="T80" s="631">
        <f t="shared" si="3"/>
        <v>2.8999999999999998E-3</v>
      </c>
      <c r="W80" s="422">
        <v>42390</v>
      </c>
      <c r="X80" s="423">
        <v>0.42649999999999999</v>
      </c>
      <c r="Y80" s="424"/>
      <c r="Z80" s="422">
        <v>42419</v>
      </c>
      <c r="AA80" s="423">
        <v>0.4335</v>
      </c>
      <c r="AB80" s="424"/>
      <c r="AC80" s="422">
        <v>42450</v>
      </c>
      <c r="AD80" s="423">
        <v>0.43180000000000002</v>
      </c>
      <c r="AE80" s="424"/>
      <c r="AF80" s="422">
        <v>42481</v>
      </c>
      <c r="AG80" s="423">
        <v>0.43885000000000002</v>
      </c>
      <c r="AH80" s="424"/>
      <c r="AI80" s="422">
        <v>42510</v>
      </c>
      <c r="AJ80" s="423">
        <v>0.44324999999999998</v>
      </c>
      <c r="AK80" s="424"/>
      <c r="AL80" s="422">
        <v>42542</v>
      </c>
      <c r="AM80" s="423">
        <v>0.45079999999999998</v>
      </c>
      <c r="AN80" s="424"/>
      <c r="AO80" s="422">
        <v>42572</v>
      </c>
      <c r="AP80" s="423">
        <v>0.4879</v>
      </c>
      <c r="AQ80" s="424"/>
      <c r="AR80" s="422">
        <v>42601</v>
      </c>
      <c r="AS80" s="423">
        <v>0.52105999999999997</v>
      </c>
      <c r="AT80" s="424"/>
      <c r="AU80" s="422">
        <v>42634</v>
      </c>
      <c r="AV80" s="423">
        <v>0.54632999999999998</v>
      </c>
      <c r="AW80" s="424"/>
      <c r="AX80" s="422">
        <v>42664</v>
      </c>
      <c r="AY80" s="423">
        <v>0.53400000000000003</v>
      </c>
      <c r="AZ80" s="424"/>
      <c r="BA80" s="422">
        <v>42695</v>
      </c>
      <c r="BB80" s="423">
        <v>0.56777999999999995</v>
      </c>
      <c r="BC80" s="424"/>
      <c r="BD80" s="422">
        <v>42725</v>
      </c>
      <c r="BE80" s="423">
        <v>0.755</v>
      </c>
      <c r="BF80" s="424"/>
      <c r="BG80" s="422">
        <v>42755</v>
      </c>
      <c r="BH80" s="423">
        <v>0.77527999999999997</v>
      </c>
      <c r="BI80" s="424"/>
      <c r="BJ80" s="422">
        <v>42787</v>
      </c>
      <c r="BK80" s="423">
        <v>0.77944000000000002</v>
      </c>
      <c r="BL80" s="424"/>
      <c r="BM80" s="422">
        <v>42815</v>
      </c>
      <c r="BN80" s="423">
        <v>0.97721999999999998</v>
      </c>
      <c r="BO80" s="424"/>
      <c r="BP80" s="422">
        <v>42846</v>
      </c>
      <c r="BQ80" s="423">
        <v>0.99056</v>
      </c>
      <c r="BR80" s="424"/>
      <c r="BS80" s="422">
        <v>42875</v>
      </c>
      <c r="BT80" s="423"/>
      <c r="BU80" s="424"/>
      <c r="BV80" s="422">
        <v>42907</v>
      </c>
      <c r="BW80" s="423"/>
      <c r="BX80" s="424"/>
      <c r="BY80" s="422">
        <v>42937</v>
      </c>
      <c r="BZ80" s="423"/>
      <c r="CA80" s="424"/>
      <c r="CB80" s="422">
        <v>42966</v>
      </c>
      <c r="CC80" s="423"/>
    </row>
    <row r="81" spans="13:82" ht="15.6">
      <c r="M81" s="8"/>
      <c r="N81" s="639">
        <f t="shared" si="4"/>
        <v>16</v>
      </c>
      <c r="O81" s="637"/>
      <c r="P81" s="358" t="s">
        <v>189</v>
      </c>
      <c r="Q81" s="630">
        <v>3.0999999999999999E-3</v>
      </c>
      <c r="R81" s="631">
        <f>BQ$65/100</f>
        <v>9.9070000000000009E-3</v>
      </c>
      <c r="S81" s="631">
        <f t="shared" si="2"/>
        <v>3.0999999999999999E-3</v>
      </c>
      <c r="T81" s="631">
        <f t="shared" si="3"/>
        <v>3.0999999999999999E-3</v>
      </c>
      <c r="W81" s="422">
        <v>42391</v>
      </c>
      <c r="X81" s="423">
        <v>0.42549999999999999</v>
      </c>
      <c r="Y81" s="424"/>
      <c r="Z81" s="422">
        <v>42422</v>
      </c>
      <c r="AA81" s="423">
        <v>0.4335</v>
      </c>
      <c r="AB81" s="424"/>
      <c r="AC81" s="422">
        <v>42451</v>
      </c>
      <c r="AD81" s="423">
        <v>0.43149999999999999</v>
      </c>
      <c r="AE81" s="424"/>
      <c r="AF81" s="422">
        <v>42482</v>
      </c>
      <c r="AG81" s="423">
        <v>0.43645</v>
      </c>
      <c r="AH81" s="424"/>
      <c r="AI81" s="422">
        <v>42513</v>
      </c>
      <c r="AJ81" s="423">
        <v>0.44600000000000001</v>
      </c>
      <c r="AK81" s="424"/>
      <c r="AL81" s="422">
        <v>42543</v>
      </c>
      <c r="AM81" s="423">
        <v>0.45205000000000001</v>
      </c>
      <c r="AN81" s="424"/>
      <c r="AO81" s="422">
        <v>42573</v>
      </c>
      <c r="AP81" s="423">
        <v>0.4904</v>
      </c>
      <c r="AQ81" s="424"/>
      <c r="AR81" s="422">
        <v>42604</v>
      </c>
      <c r="AS81" s="423">
        <v>0.52217000000000002</v>
      </c>
      <c r="AT81" s="424"/>
      <c r="AU81" s="422">
        <v>42635</v>
      </c>
      <c r="AV81" s="423">
        <v>0.52527999999999997</v>
      </c>
      <c r="AW81" s="424"/>
      <c r="AX81" s="422">
        <v>42667</v>
      </c>
      <c r="AY81" s="423">
        <v>0.53400000000000003</v>
      </c>
      <c r="AZ81" s="424"/>
      <c r="BA81" s="422">
        <v>42696</v>
      </c>
      <c r="BB81" s="423">
        <v>0.58421999999999996</v>
      </c>
      <c r="BC81" s="424"/>
      <c r="BD81" s="422">
        <v>42726</v>
      </c>
      <c r="BE81" s="423">
        <v>0.75610999999999995</v>
      </c>
      <c r="BF81" s="424"/>
      <c r="BG81" s="422">
        <v>42758</v>
      </c>
      <c r="BH81" s="423">
        <v>0.77110999999999996</v>
      </c>
      <c r="BI81" s="424"/>
      <c r="BJ81" s="422">
        <v>42788</v>
      </c>
      <c r="BK81" s="423">
        <v>0.77944000000000002</v>
      </c>
      <c r="BL81" s="424"/>
      <c r="BM81" s="422">
        <v>42816</v>
      </c>
      <c r="BN81" s="423">
        <v>0.98389000000000004</v>
      </c>
      <c r="BO81" s="424"/>
      <c r="BP81" s="422">
        <v>42847</v>
      </c>
      <c r="BQ81" s="423">
        <v>0.99111000000000005</v>
      </c>
      <c r="BR81" s="424"/>
      <c r="BS81" s="422">
        <v>42878</v>
      </c>
      <c r="BT81" s="423"/>
      <c r="BU81" s="424"/>
      <c r="BV81" s="422">
        <v>42908</v>
      </c>
      <c r="BW81" s="423"/>
      <c r="BX81" s="424"/>
      <c r="BY81" s="422">
        <v>42938</v>
      </c>
      <c r="BZ81" s="423"/>
      <c r="CA81" s="424"/>
      <c r="CB81" s="422">
        <v>42969</v>
      </c>
      <c r="CC81" s="423"/>
    </row>
    <row r="82" spans="13:82" ht="15.6">
      <c r="M82" s="8"/>
      <c r="N82" s="639">
        <f t="shared" si="4"/>
        <v>17</v>
      </c>
      <c r="O82" s="637"/>
      <c r="P82" s="358" t="s">
        <v>190</v>
      </c>
      <c r="Q82" s="630">
        <v>3.0999999999999999E-3</v>
      </c>
      <c r="R82" s="655" t="str">
        <f>IF(BT$65="","",BT$65/100)</f>
        <v/>
      </c>
      <c r="S82" s="631">
        <f t="shared" si="2"/>
        <v>3.0999999999999999E-3</v>
      </c>
      <c r="T82" s="631">
        <f t="shared" si="3"/>
        <v>3.0999999999999999E-3</v>
      </c>
      <c r="W82" s="422">
        <v>42394</v>
      </c>
      <c r="X82" s="423">
        <v>0.43059999999999998</v>
      </c>
      <c r="Y82" s="424"/>
      <c r="Z82" s="422">
        <v>42423</v>
      </c>
      <c r="AA82" s="423">
        <v>0.43580000000000002</v>
      </c>
      <c r="AB82" s="424"/>
      <c r="AC82" s="422">
        <v>42452</v>
      </c>
      <c r="AD82" s="423">
        <v>0.433</v>
      </c>
      <c r="AE82" s="424"/>
      <c r="AF82" s="422">
        <v>42485</v>
      </c>
      <c r="AG82" s="423">
        <v>0.43695000000000001</v>
      </c>
      <c r="AH82" s="424"/>
      <c r="AI82" s="422">
        <v>42514</v>
      </c>
      <c r="AJ82" s="423">
        <v>0.44419999999999998</v>
      </c>
      <c r="AK82" s="424"/>
      <c r="AL82" s="422">
        <v>42544</v>
      </c>
      <c r="AM82" s="423">
        <v>0.45329999999999998</v>
      </c>
      <c r="AN82" s="424"/>
      <c r="AO82" s="422">
        <v>42576</v>
      </c>
      <c r="AP82" s="423">
        <v>0.4909</v>
      </c>
      <c r="AQ82" s="424"/>
      <c r="AR82" s="422">
        <v>42605</v>
      </c>
      <c r="AS82" s="423">
        <v>0.52439000000000002</v>
      </c>
      <c r="AT82" s="424"/>
      <c r="AU82" s="422">
        <v>42636</v>
      </c>
      <c r="AV82" s="425">
        <v>0.52222000000000002</v>
      </c>
      <c r="AW82" s="424"/>
      <c r="AX82" s="422">
        <v>42668</v>
      </c>
      <c r="AY82" s="423">
        <v>0.53588999999999998</v>
      </c>
      <c r="AZ82" s="424"/>
      <c r="BA82" s="422">
        <v>42697</v>
      </c>
      <c r="BB82" s="423">
        <v>0.59199999999999997</v>
      </c>
      <c r="BC82" s="424"/>
      <c r="BD82" s="422">
        <v>42727</v>
      </c>
      <c r="BE82" s="423">
        <v>0.76110999999999995</v>
      </c>
      <c r="BF82" s="424"/>
      <c r="BG82" s="422">
        <v>42759</v>
      </c>
      <c r="BH82" s="423">
        <v>0.77332999999999996</v>
      </c>
      <c r="BI82" s="424"/>
      <c r="BJ82" s="422">
        <v>42789</v>
      </c>
      <c r="BK82" s="423">
        <v>0.77832999999999997</v>
      </c>
      <c r="BL82" s="424"/>
      <c r="BM82" s="422">
        <v>42817</v>
      </c>
      <c r="BN82" s="423">
        <v>0.98167000000000004</v>
      </c>
      <c r="BO82" s="424"/>
      <c r="BP82" s="422">
        <v>42850</v>
      </c>
      <c r="BQ82" s="423">
        <v>0.99221999999999999</v>
      </c>
      <c r="BR82" s="424"/>
      <c r="BS82" s="422">
        <v>42879</v>
      </c>
      <c r="BT82" s="423"/>
      <c r="BU82" s="424"/>
      <c r="BV82" s="422">
        <v>42909</v>
      </c>
      <c r="BW82" s="423"/>
      <c r="BX82" s="424"/>
      <c r="BY82" s="422">
        <v>42941</v>
      </c>
      <c r="BZ82" s="423"/>
      <c r="CA82" s="424"/>
      <c r="CB82" s="422">
        <v>42970</v>
      </c>
      <c r="CC82" s="423"/>
    </row>
    <row r="83" spans="13:82" ht="15.45" customHeight="1">
      <c r="M83" s="8"/>
      <c r="N83" s="639">
        <f t="shared" si="4"/>
        <v>18</v>
      </c>
      <c r="O83" s="637"/>
      <c r="P83" s="358" t="s">
        <v>191</v>
      </c>
      <c r="Q83" s="630">
        <v>3.0999999999999999E-3</v>
      </c>
      <c r="R83" s="655" t="str">
        <f>IF(BW$65="","",BW$65/100)</f>
        <v/>
      </c>
      <c r="S83" s="631">
        <f t="shared" si="2"/>
        <v>3.0999999999999999E-3</v>
      </c>
      <c r="T83" s="631">
        <f t="shared" si="3"/>
        <v>3.0999999999999999E-3</v>
      </c>
      <c r="W83" s="422">
        <v>42395</v>
      </c>
      <c r="X83" s="423">
        <v>0.43059999999999998</v>
      </c>
      <c r="Y83" s="424"/>
      <c r="Z83" s="422">
        <v>42424</v>
      </c>
      <c r="AA83" s="423">
        <v>0.43380000000000002</v>
      </c>
      <c r="AB83" s="424"/>
      <c r="AC83" s="422">
        <v>42453</v>
      </c>
      <c r="AD83" s="423">
        <v>0.435</v>
      </c>
      <c r="AE83" s="424"/>
      <c r="AF83" s="422">
        <v>42486</v>
      </c>
      <c r="AG83" s="423">
        <v>0.43769999999999998</v>
      </c>
      <c r="AH83" s="424"/>
      <c r="AI83" s="422">
        <v>42515</v>
      </c>
      <c r="AJ83" s="423">
        <v>0.44969999999999999</v>
      </c>
      <c r="AK83" s="424"/>
      <c r="AL83" s="422">
        <v>42545</v>
      </c>
      <c r="AM83" s="423">
        <v>0.44929999999999998</v>
      </c>
      <c r="AN83" s="424"/>
      <c r="AO83" s="422">
        <v>42577</v>
      </c>
      <c r="AP83" s="423">
        <v>0.49264999999999998</v>
      </c>
      <c r="AQ83" s="424"/>
      <c r="AR83" s="422">
        <v>42606</v>
      </c>
      <c r="AS83" s="423">
        <v>0.51993999999999996</v>
      </c>
      <c r="AT83" s="424"/>
      <c r="AU83" s="422">
        <v>42639</v>
      </c>
      <c r="AV83" s="423">
        <v>0.52444000000000002</v>
      </c>
      <c r="AW83" s="424"/>
      <c r="AX83" s="422">
        <v>42669</v>
      </c>
      <c r="AY83" s="423">
        <v>0.53478000000000003</v>
      </c>
      <c r="AZ83" s="424"/>
      <c r="BA83" s="422">
        <v>42698</v>
      </c>
      <c r="BB83" s="423">
        <v>0.60255999999999998</v>
      </c>
      <c r="BC83" s="424"/>
      <c r="BD83" s="422">
        <v>42730</v>
      </c>
      <c r="BE83" s="423"/>
      <c r="BF83" s="424"/>
      <c r="BG83" s="422">
        <v>42760</v>
      </c>
      <c r="BH83" s="423">
        <v>0.77610999999999997</v>
      </c>
      <c r="BI83" s="424"/>
      <c r="BJ83" s="422">
        <v>42790</v>
      </c>
      <c r="BK83" s="423">
        <v>0.78056000000000003</v>
      </c>
      <c r="BL83" s="424"/>
      <c r="BM83" s="422">
        <v>42818</v>
      </c>
      <c r="BN83" s="423">
        <v>0.98277999999999999</v>
      </c>
      <c r="BO83" s="424"/>
      <c r="BP83" s="422">
        <v>42851</v>
      </c>
      <c r="BQ83" s="423">
        <v>0.99278</v>
      </c>
      <c r="BR83" s="424"/>
      <c r="BS83" s="422">
        <v>42880</v>
      </c>
      <c r="BT83" s="423"/>
      <c r="BU83" s="424"/>
      <c r="BV83" s="422">
        <v>42910</v>
      </c>
      <c r="BW83" s="423"/>
      <c r="BX83" s="424"/>
      <c r="BY83" s="422">
        <v>42942</v>
      </c>
      <c r="BZ83" s="423"/>
      <c r="CA83" s="424"/>
      <c r="CB83" s="422">
        <v>42971</v>
      </c>
      <c r="CC83" s="423"/>
    </row>
    <row r="84" spans="13:82" ht="15.6">
      <c r="M84" s="8"/>
      <c r="N84" s="639">
        <f t="shared" si="4"/>
        <v>19</v>
      </c>
      <c r="O84" s="637"/>
      <c r="P84" s="358" t="s">
        <v>192</v>
      </c>
      <c r="Q84" s="630"/>
      <c r="R84" s="655" t="str">
        <f>IF(BZ$65="","",BZ$65/100)</f>
        <v/>
      </c>
      <c r="S84" s="631">
        <f t="shared" si="2"/>
        <v>0</v>
      </c>
      <c r="T84" s="631" t="str">
        <f t="shared" si="3"/>
        <v/>
      </c>
      <c r="W84" s="422">
        <v>42396</v>
      </c>
      <c r="X84" s="425">
        <v>0.42799999999999999</v>
      </c>
      <c r="Y84" s="424"/>
      <c r="Z84" s="422">
        <v>42425</v>
      </c>
      <c r="AA84" s="423">
        <v>0.4385</v>
      </c>
      <c r="AB84" s="424"/>
      <c r="AC84" s="422">
        <v>42454</v>
      </c>
      <c r="AD84" s="423"/>
      <c r="AE84" s="424"/>
      <c r="AF84" s="422">
        <v>42487</v>
      </c>
      <c r="AG84" s="423">
        <v>0.43519999999999998</v>
      </c>
      <c r="AH84" s="424"/>
      <c r="AI84" s="422">
        <v>42516</v>
      </c>
      <c r="AJ84" s="423">
        <v>0.45445000000000002</v>
      </c>
      <c r="AK84" s="424"/>
      <c r="AL84" s="422">
        <v>42548</v>
      </c>
      <c r="AM84" s="423">
        <v>0.45879999999999999</v>
      </c>
      <c r="AN84" s="424"/>
      <c r="AO84" s="422">
        <v>42578</v>
      </c>
      <c r="AP84" s="423">
        <v>0.49564999999999998</v>
      </c>
      <c r="AQ84" s="424"/>
      <c r="AR84" s="422">
        <v>42607</v>
      </c>
      <c r="AS84" s="423">
        <v>0.52383000000000002</v>
      </c>
      <c r="AT84" s="424"/>
      <c r="AU84" s="422">
        <v>42640</v>
      </c>
      <c r="AV84" s="423">
        <v>0.52666999999999997</v>
      </c>
      <c r="AW84" s="424"/>
      <c r="AX84" s="422">
        <v>42670</v>
      </c>
      <c r="AY84" s="423">
        <v>0.53432999999999997</v>
      </c>
      <c r="AZ84" s="424"/>
      <c r="BA84" s="422">
        <v>42699</v>
      </c>
      <c r="BB84" s="423">
        <v>0.60589000000000004</v>
      </c>
      <c r="BC84" s="424"/>
      <c r="BD84" s="422">
        <v>42731</v>
      </c>
      <c r="BE84" s="423"/>
      <c r="BF84" s="424"/>
      <c r="BG84" s="422">
        <v>42761</v>
      </c>
      <c r="BH84" s="425">
        <v>0.77610999999999997</v>
      </c>
      <c r="BI84" s="424"/>
      <c r="BJ84" s="422">
        <v>42793</v>
      </c>
      <c r="BK84" s="423">
        <v>0.78444000000000003</v>
      </c>
      <c r="BL84" s="424"/>
      <c r="BM84" s="422">
        <v>42821</v>
      </c>
      <c r="BN84" s="423">
        <v>0.98221999999999998</v>
      </c>
      <c r="BO84" s="424"/>
      <c r="BP84" s="422">
        <v>42852</v>
      </c>
      <c r="BQ84" s="423">
        <v>0.995</v>
      </c>
      <c r="BR84" s="424"/>
      <c r="BS84" s="422">
        <v>42881</v>
      </c>
      <c r="BT84" s="423"/>
      <c r="BU84" s="424"/>
      <c r="BV84" s="422">
        <v>42913</v>
      </c>
      <c r="BW84" s="423"/>
      <c r="BX84" s="424"/>
      <c r="BY84" s="422">
        <v>42943</v>
      </c>
      <c r="BZ84" s="423"/>
      <c r="CA84" s="424"/>
      <c r="CB84" s="422">
        <v>42972</v>
      </c>
      <c r="CC84" s="423"/>
    </row>
    <row r="85" spans="13:82" ht="15.6">
      <c r="M85" s="8"/>
      <c r="N85" s="639">
        <f t="shared" si="4"/>
        <v>20</v>
      </c>
      <c r="O85" s="637"/>
      <c r="P85" s="358" t="s">
        <v>193</v>
      </c>
      <c r="Q85" s="630"/>
      <c r="R85" s="655" t="str">
        <f>IF(CC$65="","",CC$65/100)</f>
        <v/>
      </c>
      <c r="S85" s="631">
        <f t="shared" si="2"/>
        <v>0</v>
      </c>
      <c r="T85" s="631" t="str">
        <f t="shared" si="3"/>
        <v/>
      </c>
      <c r="W85" s="422">
        <v>42397</v>
      </c>
      <c r="X85" s="425">
        <v>0.42620000000000002</v>
      </c>
      <c r="Y85" s="424"/>
      <c r="Z85" s="422">
        <v>42426</v>
      </c>
      <c r="AA85" s="423">
        <v>0.4385</v>
      </c>
      <c r="AB85" s="424"/>
      <c r="AC85" s="422">
        <v>42457</v>
      </c>
      <c r="AD85" s="423"/>
      <c r="AE85" s="424"/>
      <c r="AF85" s="422">
        <v>42488</v>
      </c>
      <c r="AG85" s="423">
        <v>0.43880000000000002</v>
      </c>
      <c r="AH85" s="424"/>
      <c r="AI85" s="422">
        <v>42517</v>
      </c>
      <c r="AJ85" s="423">
        <v>0.45665</v>
      </c>
      <c r="AK85" s="424"/>
      <c r="AL85" s="422">
        <v>42549</v>
      </c>
      <c r="AM85" s="423">
        <v>0.46029999999999999</v>
      </c>
      <c r="AN85" s="424"/>
      <c r="AO85" s="422">
        <v>42579</v>
      </c>
      <c r="AP85" s="423">
        <v>0.49390000000000001</v>
      </c>
      <c r="AQ85" s="424"/>
      <c r="AR85" s="422">
        <v>42608</v>
      </c>
      <c r="AS85" s="423">
        <v>0.52439000000000002</v>
      </c>
      <c r="AT85" s="424"/>
      <c r="AU85" s="422">
        <v>42641</v>
      </c>
      <c r="AV85" s="423">
        <v>0.52437999999999996</v>
      </c>
      <c r="AW85" s="424"/>
      <c r="AX85" s="422">
        <v>42671</v>
      </c>
      <c r="AY85" s="423">
        <v>0.53266999999999998</v>
      </c>
      <c r="AZ85" s="424"/>
      <c r="BA85" s="422">
        <v>42702</v>
      </c>
      <c r="BB85" s="423">
        <v>0.60560999999999998</v>
      </c>
      <c r="BC85" s="424"/>
      <c r="BD85" s="422">
        <v>42732</v>
      </c>
      <c r="BE85" s="423">
        <v>0.77</v>
      </c>
      <c r="BF85" s="424"/>
      <c r="BG85" s="422">
        <v>42762</v>
      </c>
      <c r="BH85" s="425">
        <v>0.77832999999999997</v>
      </c>
      <c r="BI85" s="424"/>
      <c r="BJ85" s="422">
        <v>42794</v>
      </c>
      <c r="BK85" s="423">
        <v>0.78888999999999998</v>
      </c>
      <c r="BL85" s="424"/>
      <c r="BM85" s="422">
        <v>42822</v>
      </c>
      <c r="BN85" s="423">
        <v>0.98221999999999998</v>
      </c>
      <c r="BO85" s="424"/>
      <c r="BP85" s="422">
        <v>42853</v>
      </c>
      <c r="BQ85" s="423">
        <v>0.995</v>
      </c>
      <c r="BR85" s="424"/>
      <c r="BS85" s="422">
        <v>42882</v>
      </c>
      <c r="BT85" s="423"/>
      <c r="BU85" s="424"/>
      <c r="BV85" s="422">
        <v>42914</v>
      </c>
      <c r="BW85" s="423"/>
      <c r="BX85" s="424"/>
      <c r="BY85" s="422">
        <v>42944</v>
      </c>
      <c r="BZ85" s="423"/>
      <c r="CA85" s="424"/>
      <c r="CB85" s="422">
        <v>42973</v>
      </c>
      <c r="CC85" s="423"/>
    </row>
    <row r="86" spans="13:82" ht="16.2" thickBot="1">
      <c r="M86" s="8"/>
      <c r="N86" s="639">
        <f t="shared" si="4"/>
        <v>21</v>
      </c>
      <c r="O86" s="6" t="s">
        <v>556</v>
      </c>
      <c r="P86" s="637"/>
      <c r="Q86" s="653">
        <f>AVERAGE(Q66:Q85)</f>
        <v>2.8999999999999994E-3</v>
      </c>
      <c r="R86" s="654">
        <f>AVERAGE(R66:R85)</f>
        <v>5.8882500000000003E-3</v>
      </c>
      <c r="S86" s="653">
        <f>AVERAGE(S66:S85)</f>
        <v>2.6099999999999995E-3</v>
      </c>
      <c r="T86" s="653">
        <f>AVERAGE(T66:T85)</f>
        <v>2.8999999999999994E-3</v>
      </c>
      <c r="W86" s="422">
        <v>42398</v>
      </c>
      <c r="X86" s="423">
        <v>0.42499999999999999</v>
      </c>
      <c r="Y86" s="424"/>
      <c r="Z86" s="422">
        <v>42429</v>
      </c>
      <c r="AA86" s="423">
        <v>0.4405</v>
      </c>
      <c r="AB86" s="424"/>
      <c r="AC86" s="422">
        <v>42458</v>
      </c>
      <c r="AD86" s="423">
        <v>0.43290000000000001</v>
      </c>
      <c r="AE86" s="424"/>
      <c r="AF86" s="422">
        <v>42489</v>
      </c>
      <c r="AG86" s="423">
        <v>0.43575000000000003</v>
      </c>
      <c r="AH86" s="424"/>
      <c r="AI86" s="422">
        <v>42520</v>
      </c>
      <c r="AJ86" s="423"/>
      <c r="AK86" s="424"/>
      <c r="AL86" s="422">
        <v>42550</v>
      </c>
      <c r="AM86" s="423">
        <v>0.46655000000000002</v>
      </c>
      <c r="AN86" s="424"/>
      <c r="AO86" s="422">
        <v>42580</v>
      </c>
      <c r="AP86" s="423">
        <v>0.49590000000000001</v>
      </c>
      <c r="AQ86" s="424"/>
      <c r="AR86" s="422">
        <v>42611</v>
      </c>
      <c r="AS86" s="423"/>
      <c r="AT86" s="424"/>
      <c r="AU86" s="422">
        <v>42642</v>
      </c>
      <c r="AV86" s="423">
        <v>0.52722000000000002</v>
      </c>
      <c r="AW86" s="424"/>
      <c r="AX86" s="422">
        <v>42674</v>
      </c>
      <c r="AY86" s="423">
        <v>0.53378000000000003</v>
      </c>
      <c r="AZ86" s="424"/>
      <c r="BA86" s="422">
        <v>42703</v>
      </c>
      <c r="BB86" s="423">
        <v>0.61672000000000005</v>
      </c>
      <c r="BC86" s="424"/>
      <c r="BD86" s="422">
        <v>42733</v>
      </c>
      <c r="BE86" s="423">
        <v>0.77110999999999996</v>
      </c>
      <c r="BF86" s="424"/>
      <c r="BG86" s="422">
        <v>42765</v>
      </c>
      <c r="BH86" s="423">
        <v>0.78</v>
      </c>
      <c r="BI86" s="424"/>
      <c r="BJ86" s="422"/>
      <c r="BK86" s="423"/>
      <c r="BL86" s="424"/>
      <c r="BM86" s="422">
        <v>42823</v>
      </c>
      <c r="BN86" s="423">
        <v>0.98221999999999998</v>
      </c>
      <c r="BO86" s="424"/>
      <c r="BP86" s="422">
        <v>42854</v>
      </c>
      <c r="BQ86" s="423"/>
      <c r="BR86" s="424"/>
      <c r="BS86" s="422">
        <v>42885</v>
      </c>
      <c r="BT86" s="423"/>
      <c r="BU86" s="424"/>
      <c r="BV86" s="422">
        <v>42915</v>
      </c>
      <c r="BW86" s="423"/>
      <c r="BX86" s="424"/>
      <c r="BY86" s="422">
        <v>42945</v>
      </c>
      <c r="BZ86" s="423"/>
      <c r="CA86" s="424"/>
      <c r="CB86" s="422">
        <v>42976</v>
      </c>
      <c r="CC86" s="423"/>
    </row>
    <row r="87" spans="13:82" ht="16.2" thickTop="1">
      <c r="M87" s="8"/>
      <c r="N87" s="637"/>
      <c r="O87" s="637"/>
      <c r="P87" s="637"/>
      <c r="Q87" s="637"/>
      <c r="R87" s="637"/>
      <c r="S87" s="637"/>
      <c r="T87" s="637"/>
      <c r="W87" s="422"/>
      <c r="X87" s="423"/>
      <c r="Y87" s="424"/>
      <c r="Z87" s="422"/>
      <c r="AA87" s="423"/>
      <c r="AB87" s="424"/>
      <c r="AC87" s="422">
        <v>42459</v>
      </c>
      <c r="AD87" s="423">
        <v>0.434</v>
      </c>
      <c r="AE87" s="424"/>
      <c r="AF87" s="422"/>
      <c r="AG87" s="423"/>
      <c r="AH87" s="424"/>
      <c r="AI87" s="422">
        <v>42521</v>
      </c>
      <c r="AJ87" s="423">
        <v>0.46884999999999999</v>
      </c>
      <c r="AK87" s="424"/>
      <c r="AL87" s="422">
        <v>42551</v>
      </c>
      <c r="AM87" s="423">
        <v>0.46505000000000002</v>
      </c>
      <c r="AN87" s="424"/>
      <c r="AO87" s="422"/>
      <c r="AP87" s="423"/>
      <c r="AQ87" s="424"/>
      <c r="AR87" s="422">
        <v>42612</v>
      </c>
      <c r="AS87" s="423">
        <v>0.52322000000000002</v>
      </c>
      <c r="AT87" s="424"/>
      <c r="AU87" s="422">
        <v>42643</v>
      </c>
      <c r="AV87" s="423">
        <v>0.53110999999999997</v>
      </c>
      <c r="AW87" s="424"/>
      <c r="AX87" s="422"/>
      <c r="AY87" s="423"/>
      <c r="AZ87" s="424"/>
      <c r="BA87" s="422">
        <v>42704</v>
      </c>
      <c r="BB87" s="423">
        <v>0.62366999999999995</v>
      </c>
      <c r="BC87" s="424"/>
      <c r="BD87" s="422">
        <v>42734</v>
      </c>
      <c r="BE87" s="423">
        <v>0.77166999999999997</v>
      </c>
      <c r="BF87" s="424"/>
      <c r="BG87" s="422">
        <v>42766</v>
      </c>
      <c r="BH87" s="423">
        <v>0.77944000000000002</v>
      </c>
      <c r="BI87" s="424"/>
      <c r="BJ87" s="422"/>
      <c r="BK87" s="423"/>
      <c r="BL87" s="424"/>
      <c r="BM87" s="422">
        <v>42824</v>
      </c>
      <c r="BN87" s="423">
        <v>0.98277999999999999</v>
      </c>
      <c r="BO87" s="424"/>
      <c r="BP87" s="422"/>
      <c r="BQ87" s="423"/>
      <c r="BR87" s="424"/>
      <c r="BS87" s="422">
        <v>42886</v>
      </c>
      <c r="BT87" s="423"/>
      <c r="BU87" s="424"/>
      <c r="BV87" s="422">
        <v>42916</v>
      </c>
      <c r="BW87" s="423"/>
      <c r="BX87" s="424"/>
      <c r="BY87" s="422"/>
      <c r="BZ87" s="423"/>
      <c r="CA87" s="424"/>
      <c r="CB87" s="422">
        <v>42977</v>
      </c>
      <c r="CC87" s="423"/>
    </row>
    <row r="88" spans="13:82" ht="15.6">
      <c r="M88" s="8"/>
      <c r="N88" s="254" t="s">
        <v>475</v>
      </c>
      <c r="O88" s="637"/>
      <c r="P88" s="637"/>
      <c r="Q88" s="637"/>
      <c r="S88" s="637"/>
      <c r="T88" s="637"/>
      <c r="W88" s="422"/>
      <c r="X88" s="423"/>
      <c r="Y88" s="424"/>
      <c r="Z88" s="424"/>
      <c r="AA88" s="424"/>
      <c r="AB88" s="424"/>
      <c r="AC88" s="422">
        <v>42460</v>
      </c>
      <c r="AD88" s="423">
        <v>0.43725000000000003</v>
      </c>
      <c r="AE88" s="424"/>
      <c r="AF88" s="422"/>
      <c r="AG88" s="423"/>
      <c r="AH88" s="424"/>
      <c r="AI88" s="422"/>
      <c r="AJ88" s="423"/>
      <c r="AK88" s="424"/>
      <c r="AL88" s="422"/>
      <c r="AM88" s="423"/>
      <c r="AN88" s="424"/>
      <c r="AO88" s="422"/>
      <c r="AP88" s="423"/>
      <c r="AQ88" s="424"/>
      <c r="AR88" s="422">
        <v>42613</v>
      </c>
      <c r="AS88" s="423">
        <v>0.52488999999999997</v>
      </c>
      <c r="AT88" s="424"/>
      <c r="AU88" s="424"/>
      <c r="AV88" s="424"/>
      <c r="AW88" s="424"/>
      <c r="AX88" s="424"/>
      <c r="AY88" s="424"/>
      <c r="AZ88" s="424"/>
      <c r="BA88" s="422"/>
      <c r="BB88" s="423"/>
      <c r="BC88" s="424"/>
      <c r="BD88" s="422"/>
      <c r="BE88" s="423"/>
      <c r="BF88" s="424"/>
      <c r="BG88" s="422"/>
      <c r="BH88" s="423"/>
      <c r="BI88" s="424"/>
      <c r="BJ88" s="424"/>
      <c r="BK88" s="424"/>
      <c r="BL88" s="424"/>
      <c r="BM88" s="422">
        <v>42825</v>
      </c>
      <c r="BN88" s="423">
        <v>0.98277999999999999</v>
      </c>
      <c r="BO88" s="424"/>
      <c r="BP88" s="422"/>
      <c r="BQ88" s="423"/>
      <c r="BR88" s="424"/>
      <c r="BS88" s="422"/>
      <c r="BT88" s="423"/>
      <c r="BU88" s="424"/>
      <c r="BV88" s="422"/>
      <c r="BW88" s="423"/>
      <c r="BX88" s="424"/>
      <c r="BY88" s="422"/>
      <c r="BZ88" s="423"/>
      <c r="CA88" s="424"/>
      <c r="CB88" s="422">
        <v>42978</v>
      </c>
      <c r="CC88" s="423"/>
    </row>
    <row r="89" spans="13:82" ht="15.6">
      <c r="M89" s="8"/>
      <c r="N89" s="673" t="s">
        <v>468</v>
      </c>
      <c r="O89" s="673"/>
      <c r="P89" s="673"/>
      <c r="Q89" s="673"/>
      <c r="R89" s="673"/>
      <c r="S89" s="673"/>
      <c r="T89" s="673"/>
      <c r="W89" s="390"/>
      <c r="X89" s="391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</row>
    <row r="90" spans="13:82" ht="15.6">
      <c r="M90" s="341"/>
      <c r="N90" s="637"/>
      <c r="O90" s="612" t="s">
        <v>469</v>
      </c>
      <c r="P90" s="637"/>
      <c r="Q90" s="258"/>
      <c r="R90" s="258"/>
      <c r="S90" s="258"/>
      <c r="T90" s="258"/>
      <c r="W90" s="390"/>
      <c r="X90" s="391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</row>
    <row r="91" spans="13:82" ht="15.75" customHeight="1">
      <c r="M91" s="341"/>
      <c r="N91" s="673" t="s">
        <v>470</v>
      </c>
      <c r="O91" s="673"/>
      <c r="P91" s="673"/>
      <c r="Q91" s="673"/>
      <c r="R91" s="673"/>
      <c r="S91" s="673"/>
      <c r="T91" s="673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</row>
    <row r="92" spans="13:82" ht="15.6">
      <c r="M92" s="341"/>
      <c r="N92" s="637"/>
      <c r="O92" s="389" t="s">
        <v>471</v>
      </c>
      <c r="P92" s="637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</row>
    <row r="93" spans="13:82" ht="15.45" customHeight="1">
      <c r="M93" s="536"/>
      <c r="N93" s="254" t="s">
        <v>472</v>
      </c>
      <c r="O93" s="637"/>
      <c r="P93" s="637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</row>
    <row r="94" spans="13:82" ht="15.6">
      <c r="M94" s="8"/>
      <c r="N94" s="254" t="s">
        <v>492</v>
      </c>
      <c r="O94" s="637"/>
      <c r="P94" s="637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</row>
    <row r="95" spans="13:82" ht="15.45" customHeight="1">
      <c r="M95" s="536"/>
      <c r="N95" s="254" t="s">
        <v>493</v>
      </c>
      <c r="O95" s="637"/>
      <c r="P95" s="637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</row>
    <row r="96" spans="13:82" ht="15.6">
      <c r="M96" s="8"/>
      <c r="N96" s="390"/>
      <c r="O96" s="391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258"/>
      <c r="BJ96" s="258"/>
      <c r="BK96" s="258"/>
      <c r="BL96" s="258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</row>
    <row r="97" spans="1:74" ht="15.6">
      <c r="M97" s="8"/>
      <c r="N97" s="390"/>
      <c r="O97" s="391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8"/>
      <c r="BB97" s="258"/>
      <c r="BC97" s="258"/>
      <c r="BD97" s="258"/>
      <c r="BE97" s="258"/>
      <c r="BF97" s="258"/>
      <c r="BG97" s="258"/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</row>
    <row r="98" spans="1:74" ht="15.6">
      <c r="M98" s="8"/>
      <c r="N98" s="390"/>
      <c r="O98" s="391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</row>
    <row r="99" spans="1:74" ht="15.6">
      <c r="M99" s="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</row>
    <row r="100" spans="1:74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390"/>
      <c r="O100" s="391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</row>
    <row r="101" spans="1:74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</row>
    <row r="102" spans="1:74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</row>
    <row r="103" spans="1:74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</row>
    <row r="104" spans="1:74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</row>
    <row r="105" spans="1:74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</row>
    <row r="106" spans="1:74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8"/>
      <c r="BR106" s="258"/>
      <c r="BS106" s="258"/>
      <c r="BT106" s="258"/>
      <c r="BU106" s="258"/>
      <c r="BV106" s="258"/>
    </row>
    <row r="107" spans="1:74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</row>
    <row r="108" spans="1:74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</row>
    <row r="109" spans="1:74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</row>
    <row r="110" spans="1:74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</row>
    <row r="111" spans="1:74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</row>
    <row r="112" spans="1:74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</row>
    <row r="113" spans="1:74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</row>
    <row r="114" spans="1:74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</row>
    <row r="115" spans="1:74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8"/>
      <c r="BS115" s="258"/>
      <c r="BT115" s="258"/>
      <c r="BU115" s="258"/>
      <c r="BV115" s="258"/>
    </row>
    <row r="116" spans="1:74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  <c r="AR116" s="258"/>
      <c r="AS116" s="258"/>
      <c r="AT116" s="258"/>
      <c r="AU116" s="258"/>
      <c r="AV116" s="258"/>
      <c r="AW116" s="258"/>
      <c r="AX116" s="258"/>
      <c r="AY116" s="258"/>
      <c r="AZ116" s="258"/>
      <c r="BA116" s="258"/>
      <c r="BB116" s="258"/>
      <c r="BC116" s="258"/>
      <c r="BD116" s="258"/>
      <c r="BE116" s="258"/>
      <c r="BF116" s="258"/>
      <c r="BG116" s="258"/>
      <c r="BH116" s="258"/>
      <c r="BI116" s="258"/>
      <c r="BJ116" s="258"/>
      <c r="BK116" s="258"/>
      <c r="BL116" s="258"/>
      <c r="BM116" s="258"/>
      <c r="BN116" s="258"/>
      <c r="BO116" s="258"/>
      <c r="BP116" s="258"/>
      <c r="BQ116" s="258"/>
      <c r="BR116" s="258"/>
      <c r="BS116" s="258"/>
      <c r="BT116" s="258"/>
      <c r="BU116" s="258"/>
      <c r="BV116" s="258"/>
    </row>
    <row r="117" spans="1:74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  <c r="BM117" s="258"/>
      <c r="BN117" s="258"/>
      <c r="BO117" s="258"/>
      <c r="BP117" s="258"/>
      <c r="BQ117" s="258"/>
      <c r="BR117" s="258"/>
      <c r="BS117" s="258"/>
      <c r="BT117" s="258"/>
      <c r="BU117" s="258"/>
      <c r="BV117" s="258"/>
    </row>
    <row r="118" spans="1:74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</row>
    <row r="119" spans="1:74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</row>
    <row r="120" spans="1:74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  <c r="BN120" s="258"/>
      <c r="BO120" s="258"/>
      <c r="BP120" s="258"/>
      <c r="BQ120" s="258"/>
      <c r="BR120" s="258"/>
      <c r="BS120" s="258"/>
      <c r="BT120" s="258"/>
      <c r="BU120" s="258"/>
      <c r="BV120" s="258"/>
    </row>
    <row r="121" spans="1:74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</row>
    <row r="122" spans="1:74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</row>
    <row r="123" spans="1:74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</row>
    <row r="124" spans="1:74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  <c r="AR124" s="258"/>
      <c r="AS124" s="258"/>
      <c r="AT124" s="258"/>
      <c r="AU124" s="258"/>
      <c r="AV124" s="258"/>
      <c r="AW124" s="258"/>
      <c r="AX124" s="258"/>
      <c r="AY124" s="258"/>
      <c r="AZ124" s="258"/>
      <c r="BA124" s="258"/>
      <c r="BB124" s="258"/>
      <c r="BC124" s="258"/>
      <c r="BD124" s="258"/>
      <c r="BE124" s="258"/>
      <c r="BF124" s="258"/>
      <c r="BG124" s="258"/>
      <c r="BH124" s="258"/>
      <c r="BI124" s="258"/>
      <c r="BJ124" s="258"/>
      <c r="BK124" s="258"/>
      <c r="BL124" s="258"/>
      <c r="BM124" s="258"/>
      <c r="BN124" s="258"/>
      <c r="BO124" s="258"/>
      <c r="BP124" s="258"/>
      <c r="BQ124" s="258"/>
      <c r="BR124" s="258"/>
      <c r="BS124" s="258"/>
      <c r="BT124" s="258"/>
      <c r="BU124" s="258"/>
      <c r="BV124" s="258"/>
    </row>
    <row r="125" spans="1:74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8"/>
      <c r="BF125" s="258"/>
      <c r="BG125" s="258"/>
      <c r="BH125" s="258"/>
      <c r="BI125" s="258"/>
      <c r="BJ125" s="258"/>
      <c r="BK125" s="258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</row>
    <row r="126" spans="1:74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</row>
    <row r="127" spans="1:74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</row>
    <row r="128" spans="1:74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</row>
    <row r="129" spans="1:74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258"/>
      <c r="AR129" s="258"/>
      <c r="AS129" s="258"/>
      <c r="AT129" s="258"/>
      <c r="AU129" s="258"/>
      <c r="AV129" s="258"/>
      <c r="AW129" s="258"/>
      <c r="AX129" s="258"/>
      <c r="AY129" s="258"/>
      <c r="AZ129" s="258"/>
      <c r="BA129" s="258"/>
      <c r="BB129" s="258"/>
      <c r="BC129" s="258"/>
      <c r="BD129" s="258"/>
      <c r="BE129" s="258"/>
      <c r="BF129" s="258"/>
      <c r="BG129" s="258"/>
      <c r="BH129" s="258"/>
      <c r="BI129" s="258"/>
      <c r="BJ129" s="258"/>
      <c r="BK129" s="258"/>
      <c r="BL129" s="258"/>
      <c r="BM129" s="258"/>
      <c r="BN129" s="258"/>
      <c r="BO129" s="258"/>
      <c r="BP129" s="258"/>
      <c r="BQ129" s="258"/>
      <c r="BR129" s="258"/>
      <c r="BS129" s="258"/>
      <c r="BT129" s="258"/>
      <c r="BU129" s="258"/>
      <c r="BV129" s="258"/>
    </row>
    <row r="130" spans="1:74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</row>
    <row r="131" spans="1:74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</row>
    <row r="132" spans="1:74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</row>
    <row r="133" spans="1:74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</row>
    <row r="134" spans="1:74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  <c r="AR134" s="258"/>
      <c r="AS134" s="258"/>
      <c r="AT134" s="258"/>
      <c r="AU134" s="258"/>
      <c r="AV134" s="258"/>
      <c r="AW134" s="258"/>
      <c r="AX134" s="258"/>
      <c r="AY134" s="258"/>
      <c r="AZ134" s="258"/>
      <c r="BA134" s="258"/>
      <c r="BB134" s="258"/>
      <c r="BC134" s="258"/>
      <c r="BD134" s="258"/>
      <c r="BE134" s="258"/>
      <c r="BF134" s="258"/>
      <c r="BG134" s="258"/>
      <c r="BH134" s="258"/>
      <c r="BI134" s="258"/>
      <c r="BJ134" s="258"/>
      <c r="BK134" s="258"/>
      <c r="BL134" s="258"/>
      <c r="BM134" s="258"/>
      <c r="BN134" s="258"/>
      <c r="BO134" s="258"/>
      <c r="BP134" s="258"/>
      <c r="BQ134" s="258"/>
      <c r="BR134" s="258"/>
      <c r="BS134" s="258"/>
      <c r="BT134" s="258"/>
      <c r="BU134" s="258"/>
      <c r="BV134" s="258"/>
    </row>
    <row r="135" spans="1:74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8"/>
      <c r="BB135" s="258"/>
      <c r="BC135" s="258"/>
      <c r="BD135" s="258"/>
      <c r="BE135" s="258"/>
      <c r="BF135" s="258"/>
      <c r="BG135" s="258"/>
      <c r="BH135" s="258"/>
      <c r="BI135" s="258"/>
      <c r="BJ135" s="258"/>
      <c r="BK135" s="258"/>
      <c r="BL135" s="258"/>
      <c r="BM135" s="258"/>
      <c r="BN135" s="258"/>
      <c r="BO135" s="258"/>
      <c r="BP135" s="258"/>
      <c r="BQ135" s="258"/>
      <c r="BR135" s="258"/>
      <c r="BS135" s="258"/>
      <c r="BT135" s="258"/>
      <c r="BU135" s="258"/>
      <c r="BV135" s="258"/>
    </row>
    <row r="136" spans="1:74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258"/>
      <c r="BC136" s="258"/>
      <c r="BD136" s="258"/>
      <c r="BE136" s="258"/>
      <c r="BF136" s="258"/>
      <c r="BG136" s="258"/>
      <c r="BH136" s="258"/>
      <c r="BI136" s="258"/>
      <c r="BJ136" s="258"/>
      <c r="BK136" s="258"/>
      <c r="BL136" s="258"/>
      <c r="BM136" s="258"/>
      <c r="BN136" s="258"/>
      <c r="BO136" s="258"/>
      <c r="BP136" s="258"/>
      <c r="BQ136" s="258"/>
      <c r="BR136" s="258"/>
      <c r="BS136" s="258"/>
      <c r="BT136" s="258"/>
      <c r="BU136" s="258"/>
      <c r="BV136" s="258"/>
    </row>
    <row r="137" spans="1:74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258"/>
      <c r="AW137" s="258"/>
      <c r="AX137" s="258"/>
      <c r="AY137" s="258"/>
      <c r="AZ137" s="258"/>
      <c r="BA137" s="258"/>
      <c r="BB137" s="258"/>
      <c r="BC137" s="258"/>
      <c r="BD137" s="258"/>
      <c r="BE137" s="258"/>
      <c r="BF137" s="258"/>
      <c r="BG137" s="258"/>
      <c r="BH137" s="258"/>
      <c r="BI137" s="258"/>
      <c r="BJ137" s="258"/>
      <c r="BK137" s="258"/>
      <c r="BL137" s="258"/>
      <c r="BM137" s="258"/>
      <c r="BN137" s="258"/>
      <c r="BO137" s="258"/>
      <c r="BP137" s="258"/>
      <c r="BQ137" s="258"/>
      <c r="BR137" s="258"/>
      <c r="BS137" s="258"/>
      <c r="BT137" s="258"/>
      <c r="BU137" s="258"/>
      <c r="BV137" s="258"/>
    </row>
    <row r="138" spans="1:74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J138" s="258"/>
      <c r="BK138" s="258"/>
      <c r="BL138" s="258"/>
      <c r="BM138" s="258"/>
      <c r="BN138" s="258"/>
      <c r="BO138" s="258"/>
      <c r="BP138" s="258"/>
      <c r="BQ138" s="258"/>
      <c r="BR138" s="258"/>
      <c r="BS138" s="258"/>
      <c r="BT138" s="258"/>
      <c r="BU138" s="258"/>
      <c r="BV138" s="258"/>
    </row>
    <row r="139" spans="1:74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58"/>
      <c r="AZ139" s="258"/>
      <c r="BA139" s="258"/>
      <c r="BB139" s="258"/>
      <c r="BC139" s="258"/>
      <c r="BD139" s="258"/>
      <c r="BE139" s="258"/>
      <c r="BF139" s="258"/>
      <c r="BG139" s="258"/>
      <c r="BH139" s="258"/>
      <c r="BI139" s="258"/>
      <c r="BJ139" s="258"/>
      <c r="BK139" s="258"/>
      <c r="BL139" s="258"/>
      <c r="BM139" s="258"/>
      <c r="BN139" s="258"/>
      <c r="BO139" s="258"/>
      <c r="BP139" s="258"/>
      <c r="BQ139" s="258"/>
      <c r="BR139" s="258"/>
      <c r="BS139" s="258"/>
      <c r="BT139" s="258"/>
      <c r="BU139" s="258"/>
      <c r="BV139" s="258"/>
    </row>
    <row r="140" spans="1:74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  <c r="BL140" s="258"/>
      <c r="BM140" s="258"/>
      <c r="BN140" s="258"/>
      <c r="BO140" s="258"/>
      <c r="BP140" s="258"/>
      <c r="BQ140" s="258"/>
      <c r="BR140" s="258"/>
      <c r="BS140" s="258"/>
      <c r="BT140" s="258"/>
      <c r="BU140" s="258"/>
      <c r="BV140" s="258"/>
    </row>
    <row r="141" spans="1:74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258"/>
      <c r="AK141" s="258"/>
      <c r="AL141" s="258"/>
      <c r="AM141" s="258"/>
      <c r="AN141" s="258"/>
      <c r="AO141" s="258"/>
      <c r="AP141" s="258"/>
      <c r="AQ141" s="258"/>
      <c r="AR141" s="258"/>
      <c r="AS141" s="258"/>
      <c r="AT141" s="258"/>
      <c r="AU141" s="258"/>
      <c r="AV141" s="258"/>
      <c r="AW141" s="258"/>
      <c r="AX141" s="258"/>
      <c r="AY141" s="258"/>
      <c r="AZ141" s="258"/>
      <c r="BA141" s="258"/>
      <c r="BB141" s="258"/>
      <c r="BC141" s="258"/>
      <c r="BD141" s="258"/>
      <c r="BE141" s="258"/>
      <c r="BF141" s="258"/>
      <c r="BG141" s="258"/>
      <c r="BH141" s="258"/>
      <c r="BI141" s="258"/>
      <c r="BJ141" s="258"/>
      <c r="BK141" s="258"/>
      <c r="BL141" s="258"/>
      <c r="BM141" s="258"/>
      <c r="BN141" s="258"/>
      <c r="BO141" s="258"/>
      <c r="BP141" s="258"/>
      <c r="BQ141" s="258"/>
      <c r="BR141" s="258"/>
      <c r="BS141" s="258"/>
      <c r="BT141" s="258"/>
      <c r="BU141" s="258"/>
      <c r="BV141" s="258"/>
    </row>
    <row r="142" spans="1:74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258"/>
      <c r="AY142" s="258"/>
      <c r="AZ142" s="258"/>
      <c r="BA142" s="258"/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258"/>
      <c r="BL142" s="258"/>
      <c r="BM142" s="258"/>
      <c r="BN142" s="258"/>
      <c r="BO142" s="258"/>
      <c r="BP142" s="258"/>
      <c r="BQ142" s="258"/>
      <c r="BR142" s="258"/>
      <c r="BS142" s="258"/>
      <c r="BT142" s="258"/>
      <c r="BU142" s="258"/>
      <c r="BV142" s="258"/>
    </row>
    <row r="143" spans="1:74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258"/>
      <c r="AL143" s="258"/>
      <c r="AM143" s="258"/>
      <c r="AN143" s="258"/>
      <c r="AO143" s="258"/>
      <c r="AP143" s="258"/>
      <c r="AQ143" s="258"/>
      <c r="AR143" s="258"/>
      <c r="AS143" s="258"/>
      <c r="AT143" s="258"/>
      <c r="AU143" s="258"/>
      <c r="AV143" s="258"/>
      <c r="AW143" s="258"/>
      <c r="AX143" s="258"/>
      <c r="AY143" s="258"/>
      <c r="AZ143" s="258"/>
      <c r="BA143" s="258"/>
      <c r="BB143" s="258"/>
      <c r="BC143" s="258"/>
      <c r="BD143" s="258"/>
      <c r="BE143" s="258"/>
      <c r="BF143" s="258"/>
      <c r="BG143" s="258"/>
      <c r="BH143" s="258"/>
      <c r="BI143" s="258"/>
      <c r="BJ143" s="258"/>
      <c r="BK143" s="258"/>
      <c r="BL143" s="258"/>
      <c r="BM143" s="258"/>
      <c r="BN143" s="258"/>
      <c r="BO143" s="258"/>
      <c r="BP143" s="258"/>
      <c r="BQ143" s="258"/>
      <c r="BR143" s="258"/>
      <c r="BS143" s="258"/>
      <c r="BT143" s="258"/>
      <c r="BU143" s="258"/>
      <c r="BV143" s="258"/>
    </row>
    <row r="144" spans="1:74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8"/>
      <c r="AP144" s="258"/>
      <c r="AQ144" s="258"/>
      <c r="AR144" s="258"/>
      <c r="AS144" s="258"/>
      <c r="AT144" s="258"/>
      <c r="AU144" s="258"/>
      <c r="AV144" s="258"/>
      <c r="AW144" s="258"/>
      <c r="AX144" s="258"/>
      <c r="AY144" s="258"/>
      <c r="AZ144" s="258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58"/>
      <c r="BL144" s="258"/>
      <c r="BM144" s="258"/>
      <c r="BN144" s="258"/>
      <c r="BO144" s="258"/>
      <c r="BP144" s="258"/>
      <c r="BQ144" s="258"/>
      <c r="BR144" s="258"/>
      <c r="BS144" s="258"/>
      <c r="BT144" s="258"/>
      <c r="BU144" s="258"/>
      <c r="BV144" s="258"/>
    </row>
    <row r="145" spans="1:74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258"/>
      <c r="AJ145" s="258"/>
      <c r="AK145" s="258"/>
      <c r="AL145" s="258"/>
      <c r="AM145" s="258"/>
      <c r="AN145" s="258"/>
      <c r="AO145" s="258"/>
      <c r="AP145" s="258"/>
      <c r="AQ145" s="258"/>
      <c r="AR145" s="258"/>
      <c r="AS145" s="258"/>
      <c r="AT145" s="258"/>
      <c r="AU145" s="258"/>
      <c r="AV145" s="258"/>
      <c r="AW145" s="258"/>
      <c r="AX145" s="258"/>
      <c r="AY145" s="258"/>
      <c r="AZ145" s="258"/>
      <c r="BA145" s="258"/>
      <c r="BB145" s="258"/>
      <c r="BC145" s="258"/>
      <c r="BD145" s="258"/>
      <c r="BE145" s="258"/>
      <c r="BF145" s="258"/>
      <c r="BG145" s="258"/>
      <c r="BH145" s="258"/>
      <c r="BI145" s="258"/>
      <c r="BJ145" s="258"/>
      <c r="BK145" s="258"/>
      <c r="BL145" s="258"/>
      <c r="BM145" s="258"/>
      <c r="BN145" s="258"/>
      <c r="BO145" s="258"/>
      <c r="BP145" s="258"/>
      <c r="BQ145" s="258"/>
      <c r="BR145" s="258"/>
      <c r="BS145" s="258"/>
      <c r="BT145" s="258"/>
      <c r="BU145" s="258"/>
      <c r="BV145" s="258"/>
    </row>
    <row r="146" spans="1:74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258"/>
      <c r="AL146" s="258"/>
      <c r="AM146" s="258"/>
      <c r="AN146" s="258"/>
      <c r="AO146" s="258"/>
      <c r="AP146" s="258"/>
      <c r="AQ146" s="258"/>
      <c r="AR146" s="258"/>
      <c r="AS146" s="258"/>
      <c r="AT146" s="258"/>
      <c r="AU146" s="258"/>
      <c r="AV146" s="258"/>
      <c r="AW146" s="258"/>
      <c r="AX146" s="258"/>
      <c r="AY146" s="258"/>
      <c r="AZ146" s="258"/>
      <c r="BA146" s="258"/>
      <c r="BB146" s="258"/>
      <c r="BC146" s="258"/>
      <c r="BD146" s="258"/>
      <c r="BE146" s="258"/>
      <c r="BF146" s="258"/>
      <c r="BG146" s="258"/>
      <c r="BH146" s="258"/>
      <c r="BI146" s="258"/>
      <c r="BJ146" s="258"/>
      <c r="BK146" s="258"/>
      <c r="BL146" s="258"/>
      <c r="BM146" s="258"/>
      <c r="BN146" s="258"/>
      <c r="BO146" s="258"/>
      <c r="BP146" s="258"/>
      <c r="BQ146" s="258"/>
      <c r="BR146" s="258"/>
      <c r="BS146" s="258"/>
      <c r="BT146" s="258"/>
      <c r="BU146" s="258"/>
      <c r="BV146" s="258"/>
    </row>
    <row r="147" spans="1:74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258"/>
      <c r="AY147" s="258"/>
      <c r="AZ147" s="258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8"/>
      <c r="BQ147" s="258"/>
      <c r="BR147" s="258"/>
      <c r="BS147" s="258"/>
      <c r="BT147" s="258"/>
      <c r="BU147" s="258"/>
      <c r="BV147" s="258"/>
    </row>
    <row r="148" spans="1:74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8"/>
      <c r="AJ148" s="258"/>
      <c r="AK148" s="258"/>
      <c r="AL148" s="258"/>
      <c r="AM148" s="258"/>
      <c r="AN148" s="258"/>
      <c r="AO148" s="258"/>
      <c r="AP148" s="258"/>
      <c r="AQ148" s="258"/>
      <c r="AR148" s="258"/>
      <c r="AS148" s="258"/>
      <c r="AT148" s="258"/>
      <c r="AU148" s="258"/>
      <c r="AV148" s="258"/>
      <c r="AW148" s="258"/>
      <c r="AX148" s="258"/>
      <c r="AY148" s="258"/>
      <c r="AZ148" s="258"/>
      <c r="BA148" s="258"/>
      <c r="BB148" s="258"/>
      <c r="BC148" s="258"/>
      <c r="BD148" s="258"/>
      <c r="BE148" s="258"/>
      <c r="BF148" s="258"/>
      <c r="BG148" s="258"/>
      <c r="BH148" s="258"/>
      <c r="BI148" s="258"/>
      <c r="BJ148" s="258"/>
      <c r="BK148" s="258"/>
      <c r="BL148" s="258"/>
      <c r="BM148" s="258"/>
      <c r="BN148" s="258"/>
      <c r="BO148" s="258"/>
      <c r="BP148" s="258"/>
      <c r="BQ148" s="258"/>
      <c r="BR148" s="258"/>
      <c r="BS148" s="258"/>
      <c r="BT148" s="258"/>
      <c r="BU148" s="258"/>
      <c r="BV148" s="258"/>
    </row>
    <row r="149" spans="1:74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  <c r="AR149" s="258"/>
      <c r="AS149" s="258"/>
      <c r="AT149" s="258"/>
      <c r="AU149" s="258"/>
      <c r="AV149" s="258"/>
      <c r="AW149" s="258"/>
      <c r="AX149" s="258"/>
      <c r="AY149" s="258"/>
      <c r="AZ149" s="258"/>
      <c r="BA149" s="258"/>
      <c r="BB149" s="258"/>
      <c r="BC149" s="258"/>
      <c r="BD149" s="258"/>
      <c r="BE149" s="258"/>
      <c r="BF149" s="258"/>
      <c r="BG149" s="258"/>
      <c r="BH149" s="258"/>
      <c r="BI149" s="258"/>
      <c r="BJ149" s="258"/>
      <c r="BK149" s="258"/>
      <c r="BL149" s="258"/>
      <c r="BM149" s="258"/>
      <c r="BN149" s="258"/>
      <c r="BO149" s="258"/>
      <c r="BP149" s="258"/>
      <c r="BQ149" s="258"/>
      <c r="BR149" s="258"/>
      <c r="BS149" s="258"/>
      <c r="BT149" s="258"/>
      <c r="BU149" s="258"/>
      <c r="BV149" s="258"/>
    </row>
    <row r="150" spans="1:74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58"/>
      <c r="AZ150" s="258"/>
      <c r="BA150" s="258"/>
      <c r="BB150" s="258"/>
      <c r="BC150" s="258"/>
      <c r="BD150" s="258"/>
      <c r="BE150" s="258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8"/>
      <c r="BT150" s="258"/>
      <c r="BU150" s="258"/>
      <c r="BV150" s="258"/>
    </row>
    <row r="151" spans="1:74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8"/>
      <c r="BA151" s="258"/>
      <c r="BB151" s="258"/>
      <c r="BC151" s="258"/>
      <c r="BD151" s="258"/>
      <c r="BE151" s="258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8"/>
      <c r="BT151" s="258"/>
      <c r="BU151" s="258"/>
      <c r="BV151" s="258"/>
    </row>
    <row r="152" spans="1:74">
      <c r="A152" s="258"/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8"/>
      <c r="BA152" s="258"/>
      <c r="BB152" s="258"/>
      <c r="BC152" s="258"/>
      <c r="BD152" s="258"/>
      <c r="BE152" s="258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8"/>
    </row>
    <row r="153" spans="1:74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8"/>
      <c r="AZ153" s="258"/>
      <c r="BA153" s="258"/>
      <c r="BB153" s="258"/>
      <c r="BC153" s="258"/>
      <c r="BD153" s="258"/>
      <c r="BE153" s="258"/>
      <c r="BF153" s="258"/>
      <c r="BG153" s="258"/>
      <c r="BH153" s="258"/>
      <c r="BI153" s="258"/>
      <c r="BJ153" s="258"/>
      <c r="BK153" s="258"/>
      <c r="BL153" s="258"/>
      <c r="BM153" s="258"/>
      <c r="BN153" s="258"/>
      <c r="BO153" s="258"/>
      <c r="BP153" s="258"/>
      <c r="BQ153" s="258"/>
      <c r="BR153" s="258"/>
      <c r="BS153" s="258"/>
      <c r="BT153" s="258"/>
      <c r="BU153" s="258"/>
      <c r="BV153" s="258"/>
    </row>
    <row r="154" spans="1:74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8"/>
      <c r="BA154" s="258"/>
      <c r="BB154" s="258"/>
      <c r="BC154" s="258"/>
      <c r="BD154" s="258"/>
      <c r="BE154" s="258"/>
      <c r="BF154" s="258"/>
      <c r="BG154" s="258"/>
      <c r="BH154" s="258"/>
      <c r="BI154" s="258"/>
      <c r="BJ154" s="258"/>
      <c r="BK154" s="258"/>
      <c r="BL154" s="258"/>
      <c r="BM154" s="258"/>
      <c r="BN154" s="258"/>
      <c r="BO154" s="258"/>
      <c r="BP154" s="258"/>
      <c r="BQ154" s="258"/>
      <c r="BR154" s="258"/>
      <c r="BS154" s="258"/>
      <c r="BT154" s="258"/>
      <c r="BU154" s="258"/>
      <c r="BV154" s="258"/>
    </row>
    <row r="155" spans="1:74">
      <c r="A155" s="258"/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258"/>
      <c r="AY155" s="258"/>
      <c r="AZ155" s="258"/>
      <c r="BA155" s="258"/>
      <c r="BB155" s="258"/>
      <c r="BC155" s="258"/>
      <c r="BD155" s="258"/>
      <c r="BE155" s="258"/>
      <c r="BF155" s="258"/>
      <c r="BG155" s="258"/>
      <c r="BH155" s="258"/>
      <c r="BI155" s="258"/>
      <c r="BJ155" s="258"/>
      <c r="BK155" s="258"/>
      <c r="BL155" s="258"/>
      <c r="BM155" s="258"/>
      <c r="BN155" s="258"/>
      <c r="BO155" s="258"/>
      <c r="BP155" s="258"/>
      <c r="BQ155" s="258"/>
      <c r="BR155" s="258"/>
      <c r="BS155" s="258"/>
      <c r="BT155" s="258"/>
      <c r="BU155" s="258"/>
      <c r="BV155" s="258"/>
    </row>
    <row r="156" spans="1:74">
      <c r="A156" s="258"/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58"/>
      <c r="AP156" s="258"/>
      <c r="AQ156" s="258"/>
      <c r="AR156" s="258"/>
      <c r="AS156" s="258"/>
      <c r="AT156" s="258"/>
      <c r="AU156" s="258"/>
      <c r="AV156" s="258"/>
      <c r="AW156" s="258"/>
      <c r="AX156" s="258"/>
      <c r="AY156" s="258"/>
      <c r="AZ156" s="258"/>
      <c r="BA156" s="258"/>
      <c r="BB156" s="258"/>
      <c r="BC156" s="258"/>
      <c r="BD156" s="258"/>
      <c r="BE156" s="258"/>
      <c r="BF156" s="258"/>
      <c r="BG156" s="258"/>
      <c r="BH156" s="258"/>
      <c r="BI156" s="258"/>
      <c r="BJ156" s="258"/>
      <c r="BK156" s="258"/>
      <c r="BL156" s="258"/>
      <c r="BM156" s="258"/>
      <c r="BN156" s="258"/>
      <c r="BO156" s="258"/>
      <c r="BP156" s="258"/>
      <c r="BQ156" s="258"/>
      <c r="BR156" s="258"/>
      <c r="BS156" s="258"/>
      <c r="BT156" s="258"/>
      <c r="BU156" s="258"/>
      <c r="BV156" s="258"/>
    </row>
    <row r="157" spans="1:74">
      <c r="A157" s="258"/>
      <c r="B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8"/>
      <c r="AG157" s="258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258"/>
      <c r="AR157" s="258"/>
      <c r="AS157" s="258"/>
      <c r="AT157" s="258"/>
      <c r="AU157" s="258"/>
      <c r="AV157" s="258"/>
      <c r="AW157" s="258"/>
      <c r="AX157" s="258"/>
      <c r="AY157" s="258"/>
      <c r="AZ157" s="258"/>
      <c r="BA157" s="258"/>
      <c r="BB157" s="258"/>
      <c r="BC157" s="258"/>
      <c r="BD157" s="258"/>
      <c r="BE157" s="258"/>
      <c r="BF157" s="258"/>
      <c r="BG157" s="258"/>
      <c r="BH157" s="258"/>
      <c r="BI157" s="258"/>
      <c r="BJ157" s="258"/>
      <c r="BK157" s="258"/>
      <c r="BL157" s="258"/>
      <c r="BM157" s="258"/>
      <c r="BN157" s="258"/>
      <c r="BO157" s="258"/>
      <c r="BP157" s="258"/>
      <c r="BQ157" s="258"/>
      <c r="BR157" s="258"/>
      <c r="BS157" s="258"/>
      <c r="BT157" s="258"/>
      <c r="BU157" s="258"/>
      <c r="BV157" s="258"/>
    </row>
    <row r="158" spans="1:74">
      <c r="A158" s="258"/>
      <c r="B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258"/>
      <c r="AY158" s="258"/>
      <c r="AZ158" s="258"/>
      <c r="BA158" s="258"/>
      <c r="BB158" s="258"/>
      <c r="BC158" s="258"/>
      <c r="BD158" s="258"/>
      <c r="BE158" s="258"/>
      <c r="BF158" s="258"/>
      <c r="BG158" s="258"/>
      <c r="BH158" s="258"/>
      <c r="BI158" s="258"/>
      <c r="BJ158" s="258"/>
      <c r="BK158" s="258"/>
      <c r="BL158" s="258"/>
      <c r="BM158" s="258"/>
      <c r="BN158" s="258"/>
      <c r="BO158" s="258"/>
      <c r="BP158" s="258"/>
      <c r="BQ158" s="258"/>
      <c r="BR158" s="258"/>
      <c r="BS158" s="258"/>
      <c r="BT158" s="258"/>
      <c r="BU158" s="258"/>
      <c r="BV158" s="258"/>
    </row>
    <row r="159" spans="1:74">
      <c r="A159" s="258"/>
      <c r="B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58"/>
      <c r="AX159" s="258"/>
      <c r="AY159" s="258"/>
      <c r="AZ159" s="258"/>
      <c r="BA159" s="258"/>
      <c r="BB159" s="258"/>
      <c r="BC159" s="258"/>
      <c r="BD159" s="258"/>
      <c r="BE159" s="258"/>
      <c r="BF159" s="258"/>
      <c r="BG159" s="258"/>
      <c r="BH159" s="258"/>
      <c r="BI159" s="258"/>
      <c r="BJ159" s="258"/>
      <c r="BK159" s="258"/>
      <c r="BL159" s="258"/>
      <c r="BM159" s="258"/>
      <c r="BN159" s="258"/>
      <c r="BO159" s="258"/>
      <c r="BP159" s="258"/>
      <c r="BQ159" s="258"/>
      <c r="BR159" s="258"/>
      <c r="BS159" s="258"/>
      <c r="BT159" s="258"/>
      <c r="BU159" s="258"/>
      <c r="BV159" s="258"/>
    </row>
    <row r="160" spans="1:74">
      <c r="A160" s="258"/>
      <c r="B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258"/>
      <c r="AI160" s="258"/>
      <c r="AJ160" s="258"/>
      <c r="AK160" s="258"/>
      <c r="AL160" s="258"/>
      <c r="AM160" s="258"/>
      <c r="AN160" s="258"/>
      <c r="AO160" s="258"/>
      <c r="AP160" s="258"/>
      <c r="AQ160" s="258"/>
      <c r="AR160" s="258"/>
      <c r="AS160" s="258"/>
      <c r="AT160" s="258"/>
      <c r="AU160" s="258"/>
      <c r="AV160" s="258"/>
      <c r="AW160" s="258"/>
      <c r="AX160" s="258"/>
      <c r="AY160" s="258"/>
      <c r="AZ160" s="258"/>
      <c r="BA160" s="258"/>
      <c r="BB160" s="258"/>
      <c r="BC160" s="258"/>
      <c r="BD160" s="258"/>
      <c r="BE160" s="258"/>
      <c r="BF160" s="258"/>
      <c r="BG160" s="258"/>
      <c r="BH160" s="258"/>
      <c r="BI160" s="258"/>
      <c r="BJ160" s="258"/>
      <c r="BK160" s="258"/>
      <c r="BL160" s="258"/>
      <c r="BM160" s="258"/>
      <c r="BN160" s="258"/>
      <c r="BO160" s="258"/>
      <c r="BP160" s="258"/>
      <c r="BQ160" s="258"/>
      <c r="BR160" s="258"/>
      <c r="BS160" s="258"/>
      <c r="BT160" s="258"/>
      <c r="BU160" s="258"/>
      <c r="BV160" s="258"/>
    </row>
    <row r="161" spans="1:74">
      <c r="A161" s="258"/>
      <c r="B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8"/>
      <c r="BF161" s="258"/>
      <c r="BG161" s="258"/>
      <c r="BH161" s="258"/>
      <c r="BI161" s="258"/>
      <c r="BJ161" s="258"/>
      <c r="BK161" s="258"/>
      <c r="BL161" s="258"/>
      <c r="BM161" s="258"/>
      <c r="BN161" s="258"/>
      <c r="BO161" s="258"/>
      <c r="BP161" s="258"/>
      <c r="BQ161" s="258"/>
      <c r="BR161" s="258"/>
      <c r="BS161" s="258"/>
      <c r="BT161" s="258"/>
      <c r="BU161" s="258"/>
      <c r="BV161" s="258"/>
    </row>
    <row r="162" spans="1:74">
      <c r="A162" s="258"/>
      <c r="B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</row>
    <row r="163" spans="1:74">
      <c r="A163" s="258"/>
      <c r="B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</row>
    <row r="164" spans="1:74">
      <c r="A164" s="258"/>
      <c r="B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</row>
    <row r="165" spans="1:74">
      <c r="A165" s="258"/>
      <c r="B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8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8"/>
    </row>
    <row r="166" spans="1:74">
      <c r="A166" s="258"/>
      <c r="B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</row>
    <row r="167" spans="1:74">
      <c r="A167" s="258"/>
      <c r="B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  <c r="BV167" s="258"/>
    </row>
    <row r="168" spans="1:74">
      <c r="A168" s="258"/>
      <c r="B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8"/>
      <c r="BD168" s="258"/>
      <c r="BE168" s="258"/>
      <c r="BF168" s="258"/>
      <c r="BG168" s="258"/>
      <c r="BH168" s="258"/>
      <c r="BI168" s="258"/>
      <c r="BJ168" s="258"/>
      <c r="BK168" s="258"/>
      <c r="BL168" s="258"/>
      <c r="BM168" s="258"/>
      <c r="BN168" s="258"/>
      <c r="BO168" s="258"/>
      <c r="BP168" s="258"/>
      <c r="BQ168" s="258"/>
      <c r="BR168" s="258"/>
      <c r="BS168" s="258"/>
      <c r="BT168" s="258"/>
      <c r="BU168" s="258"/>
      <c r="BV168" s="258"/>
    </row>
    <row r="169" spans="1:74">
      <c r="A169" s="258"/>
      <c r="B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</row>
    <row r="170" spans="1:74">
      <c r="A170" s="258"/>
      <c r="B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8"/>
    </row>
    <row r="171" spans="1:74">
      <c r="A171" s="258"/>
      <c r="B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</row>
    <row r="172" spans="1:74">
      <c r="A172" s="258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8"/>
      <c r="BF172" s="258"/>
      <c r="BG172" s="258"/>
      <c r="BH172" s="258"/>
      <c r="BI172" s="258"/>
      <c r="BJ172" s="258"/>
      <c r="BK172" s="258"/>
      <c r="BL172" s="258"/>
      <c r="BM172" s="258"/>
      <c r="BN172" s="258"/>
      <c r="BO172" s="258"/>
      <c r="BP172" s="258"/>
      <c r="BQ172" s="258"/>
      <c r="BR172" s="258"/>
      <c r="BS172" s="258"/>
      <c r="BT172" s="258"/>
      <c r="BU172" s="258"/>
      <c r="BV172" s="258"/>
    </row>
    <row r="173" spans="1:74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</row>
    <row r="174" spans="1:74" ht="15.45" customHeight="1">
      <c r="A174" s="25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258"/>
      <c r="AY174" s="258"/>
      <c r="AZ174" s="258"/>
      <c r="BA174" s="258"/>
      <c r="BB174" s="258"/>
      <c r="BC174" s="258"/>
      <c r="BD174" s="258"/>
      <c r="BE174" s="258"/>
      <c r="BF174" s="258"/>
      <c r="BG174" s="258"/>
      <c r="BH174" s="258"/>
      <c r="BI174" s="258"/>
      <c r="BJ174" s="258"/>
      <c r="BK174" s="258"/>
      <c r="BL174" s="258"/>
      <c r="BM174" s="258"/>
      <c r="BN174" s="258"/>
      <c r="BO174" s="258"/>
      <c r="BP174" s="258"/>
      <c r="BQ174" s="258"/>
      <c r="BR174" s="258"/>
      <c r="BS174" s="258"/>
      <c r="BT174" s="258"/>
      <c r="BU174" s="258"/>
      <c r="BV174" s="258"/>
    </row>
    <row r="175" spans="1:74">
      <c r="A175" s="258"/>
      <c r="B175" s="258"/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</row>
    <row r="176" spans="1:74">
      <c r="A176" s="258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8"/>
    </row>
    <row r="177" spans="1:74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</row>
    <row r="178" spans="1:74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  <c r="AO178" s="258"/>
      <c r="AP178" s="258"/>
      <c r="AQ178" s="258"/>
      <c r="AR178" s="258"/>
      <c r="AS178" s="258"/>
      <c r="AT178" s="258"/>
      <c r="AU178" s="258"/>
      <c r="AV178" s="258"/>
      <c r="AW178" s="258"/>
      <c r="AX178" s="258"/>
      <c r="AY178" s="258"/>
      <c r="AZ178" s="258"/>
      <c r="BA178" s="258"/>
      <c r="BB178" s="258"/>
      <c r="BC178" s="258"/>
      <c r="BD178" s="258"/>
      <c r="BE178" s="258"/>
      <c r="BF178" s="258"/>
      <c r="BG178" s="258"/>
      <c r="BH178" s="258"/>
      <c r="BI178" s="258"/>
      <c r="BJ178" s="258"/>
      <c r="BK178" s="258"/>
      <c r="BL178" s="258"/>
      <c r="BM178" s="258"/>
      <c r="BN178" s="258"/>
      <c r="BO178" s="258"/>
      <c r="BP178" s="258"/>
      <c r="BQ178" s="258"/>
      <c r="BR178" s="258"/>
      <c r="BS178" s="258"/>
      <c r="BT178" s="258"/>
      <c r="BU178" s="258"/>
      <c r="BV178" s="258"/>
    </row>
    <row r="179" spans="1:74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  <c r="AR179" s="258"/>
      <c r="AS179" s="258"/>
      <c r="AT179" s="258"/>
      <c r="AU179" s="258"/>
      <c r="AV179" s="258"/>
      <c r="AW179" s="258"/>
      <c r="AX179" s="258"/>
      <c r="AY179" s="258"/>
      <c r="AZ179" s="258"/>
      <c r="BA179" s="258"/>
      <c r="BB179" s="258"/>
      <c r="BC179" s="258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8"/>
      <c r="BS179" s="258"/>
      <c r="BT179" s="258"/>
      <c r="BU179" s="258"/>
      <c r="BV179" s="258"/>
    </row>
    <row r="180" spans="1:74">
      <c r="A180" s="258"/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58"/>
      <c r="AX180" s="258"/>
      <c r="AY180" s="258"/>
      <c r="AZ180" s="258"/>
      <c r="BA180" s="258"/>
      <c r="BB180" s="258"/>
      <c r="BC180" s="258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8"/>
      <c r="BS180" s="258"/>
      <c r="BT180" s="258"/>
      <c r="BU180" s="258"/>
      <c r="BV180" s="258"/>
    </row>
    <row r="181" spans="1:74">
      <c r="A181" s="258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258"/>
      <c r="AY181" s="258"/>
      <c r="AZ181" s="258"/>
      <c r="BA181" s="258"/>
      <c r="BB181" s="258"/>
      <c r="BC181" s="258"/>
      <c r="BD181" s="258"/>
      <c r="BE181" s="258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8"/>
      <c r="BS181" s="258"/>
      <c r="BT181" s="258"/>
      <c r="BU181" s="258"/>
      <c r="BV181" s="258"/>
    </row>
    <row r="182" spans="1:74">
      <c r="A182" s="25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258"/>
      <c r="AY182" s="258"/>
      <c r="AZ182" s="258"/>
      <c r="BA182" s="258"/>
      <c r="BB182" s="258"/>
      <c r="BC182" s="258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8"/>
    </row>
    <row r="183" spans="1:74">
      <c r="A183" s="258"/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</row>
    <row r="184" spans="1:74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58"/>
      <c r="AX184" s="258"/>
      <c r="AY184" s="258"/>
      <c r="AZ184" s="258"/>
      <c r="BA184" s="258"/>
      <c r="BB184" s="258"/>
      <c r="BC184" s="258"/>
      <c r="BD184" s="258"/>
      <c r="BE184" s="258"/>
      <c r="BF184" s="258"/>
      <c r="BG184" s="258"/>
      <c r="BH184" s="258"/>
      <c r="BI184" s="258"/>
      <c r="BJ184" s="258"/>
      <c r="BK184" s="258"/>
      <c r="BL184" s="258"/>
      <c r="BM184" s="258"/>
      <c r="BN184" s="258"/>
      <c r="BO184" s="258"/>
      <c r="BP184" s="258"/>
      <c r="BQ184" s="258"/>
      <c r="BR184" s="258"/>
      <c r="BS184" s="258"/>
      <c r="BT184" s="258"/>
      <c r="BU184" s="258"/>
      <c r="BV184" s="258"/>
    </row>
    <row r="185" spans="1:74">
      <c r="A185" s="258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258"/>
      <c r="AY185" s="258"/>
      <c r="AZ185" s="258"/>
      <c r="BA185" s="258"/>
      <c r="BB185" s="258"/>
      <c r="BC185" s="258"/>
      <c r="BD185" s="258"/>
      <c r="BE185" s="258"/>
      <c r="BF185" s="258"/>
      <c r="BG185" s="258"/>
      <c r="BH185" s="258"/>
      <c r="BI185" s="258"/>
      <c r="BJ185" s="258"/>
      <c r="BK185" s="258"/>
      <c r="BL185" s="258"/>
      <c r="BM185" s="258"/>
      <c r="BN185" s="258"/>
      <c r="BO185" s="258"/>
      <c r="BP185" s="258"/>
      <c r="BQ185" s="258"/>
      <c r="BR185" s="258"/>
      <c r="BS185" s="258"/>
      <c r="BT185" s="258"/>
      <c r="BU185" s="258"/>
      <c r="BV185" s="258"/>
    </row>
    <row r="186" spans="1:74">
      <c r="A186" s="258"/>
      <c r="B186" s="258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</row>
    <row r="187" spans="1:74">
      <c r="A187" s="258"/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</row>
    <row r="188" spans="1:74">
      <c r="A188" s="258"/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258"/>
      <c r="AY188" s="258"/>
      <c r="AZ188" s="258"/>
      <c r="BA188" s="258"/>
      <c r="BB188" s="258"/>
      <c r="BC188" s="258"/>
      <c r="BD188" s="258"/>
      <c r="BE188" s="258"/>
      <c r="BF188" s="258"/>
      <c r="BG188" s="258"/>
      <c r="BH188" s="258"/>
      <c r="BI188" s="258"/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</row>
    <row r="189" spans="1:74">
      <c r="A189" s="258"/>
      <c r="B189" s="258"/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8"/>
      <c r="AG189" s="258"/>
      <c r="AH189" s="258"/>
      <c r="AI189" s="258"/>
      <c r="AJ189" s="258"/>
      <c r="AK189" s="258"/>
      <c r="AL189" s="258"/>
      <c r="AM189" s="258"/>
      <c r="AN189" s="258"/>
      <c r="AO189" s="258"/>
      <c r="AP189" s="258"/>
      <c r="AQ189" s="258"/>
      <c r="AR189" s="258"/>
      <c r="AS189" s="258"/>
      <c r="AT189" s="258"/>
      <c r="AU189" s="258"/>
      <c r="AV189" s="258"/>
      <c r="AW189" s="258"/>
      <c r="AX189" s="258"/>
      <c r="AY189" s="258"/>
      <c r="AZ189" s="258"/>
      <c r="BA189" s="258"/>
      <c r="BB189" s="258"/>
      <c r="BC189" s="258"/>
      <c r="BD189" s="258"/>
      <c r="BE189" s="258"/>
      <c r="BF189" s="258"/>
      <c r="BG189" s="258"/>
      <c r="BH189" s="258"/>
      <c r="BI189" s="258"/>
      <c r="BJ189" s="258"/>
      <c r="BK189" s="258"/>
      <c r="BL189" s="258"/>
      <c r="BM189" s="258"/>
      <c r="BN189" s="258"/>
      <c r="BO189" s="258"/>
      <c r="BP189" s="258"/>
      <c r="BQ189" s="258"/>
      <c r="BR189" s="258"/>
      <c r="BS189" s="258"/>
      <c r="BT189" s="258"/>
      <c r="BU189" s="258"/>
      <c r="BV189" s="258"/>
    </row>
  </sheetData>
  <mergeCells count="43">
    <mergeCell ref="C32:I32"/>
    <mergeCell ref="C33:H33"/>
    <mergeCell ref="N62:T62"/>
    <mergeCell ref="N89:T89"/>
    <mergeCell ref="N91:T91"/>
    <mergeCell ref="N58:T58"/>
    <mergeCell ref="N59:T59"/>
    <mergeCell ref="N60:T60"/>
    <mergeCell ref="A4:L4"/>
    <mergeCell ref="A5:L5"/>
    <mergeCell ref="A6:L6"/>
    <mergeCell ref="A8:L8"/>
    <mergeCell ref="C18:H18"/>
    <mergeCell ref="C12:H12"/>
    <mergeCell ref="C13:H13"/>
    <mergeCell ref="C14:H14"/>
    <mergeCell ref="C16:H16"/>
    <mergeCell ref="C17:H17"/>
    <mergeCell ref="C11:J11"/>
    <mergeCell ref="O54:U54"/>
    <mergeCell ref="AF15:AG17"/>
    <mergeCell ref="AC17:AD17"/>
    <mergeCell ref="Z11:AD15"/>
    <mergeCell ref="N4:V4"/>
    <mergeCell ref="N5:V5"/>
    <mergeCell ref="N6:V6"/>
    <mergeCell ref="N8:V8"/>
    <mergeCell ref="Z10:AD10"/>
    <mergeCell ref="O49:V49"/>
    <mergeCell ref="C20:H20"/>
    <mergeCell ref="C23:I23"/>
    <mergeCell ref="C24:I24"/>
    <mergeCell ref="C19:H19"/>
    <mergeCell ref="B43:L43"/>
    <mergeCell ref="B44:L44"/>
    <mergeCell ref="B45:L45"/>
    <mergeCell ref="B46:L46"/>
    <mergeCell ref="C25:H25"/>
    <mergeCell ref="C27:H27"/>
    <mergeCell ref="C28:H28"/>
    <mergeCell ref="C29:H29"/>
    <mergeCell ref="B37:J37"/>
    <mergeCell ref="C31:I31"/>
  </mergeCells>
  <pageMargins left="0.72" right="0.17" top="0.35" bottom="0.1" header="0.3" footer="0.17"/>
  <pageSetup scale="67" fitToHeight="2" pageOrder="overThenDown" orientation="landscape" r:id="rId3"/>
  <colBreaks count="1" manualBreakCount="1">
    <brk id="13" max="1048575" man="1"/>
  </colBreaks>
  <ignoredErrors>
    <ignoredError sqref="L1 V1" unlockedFormula="1"/>
    <ignoredError sqref="J19:J21 J2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Z86"/>
  <sheetViews>
    <sheetView topLeftCell="G34" zoomScaleNormal="100" workbookViewId="0">
      <selection activeCell="T51" sqref="T51"/>
    </sheetView>
  </sheetViews>
  <sheetFormatPr defaultRowHeight="15"/>
  <cols>
    <col min="1" max="1" width="4" customWidth="1"/>
    <col min="2" max="2" width="11.90625" bestFit="1" customWidth="1"/>
    <col min="3" max="3" width="5.1796875" customWidth="1"/>
    <col min="4" max="4" width="11.54296875" customWidth="1"/>
    <col min="5" max="5" width="9.90625" bestFit="1" customWidth="1"/>
    <col min="6" max="6" width="11.54296875" customWidth="1"/>
    <col min="7" max="7" width="1.36328125" customWidth="1"/>
    <col min="8" max="8" width="10.6328125" bestFit="1" customWidth="1"/>
    <col min="9" max="9" width="11.36328125" customWidth="1"/>
    <col min="10" max="10" width="11.36328125" bestFit="1" customWidth="1"/>
    <col min="11" max="11" width="11.453125" customWidth="1"/>
    <col min="12" max="12" width="10" customWidth="1"/>
    <col min="13" max="13" width="1.08984375" customWidth="1"/>
    <col min="14" max="14" width="10.90625" customWidth="1"/>
    <col min="15" max="15" width="1.36328125" customWidth="1"/>
    <col min="16" max="16" width="10" customWidth="1"/>
    <col min="17" max="17" width="1.36328125" customWidth="1"/>
    <col min="18" max="18" width="12.1796875" customWidth="1"/>
    <col min="19" max="19" width="8.90625" customWidth="1"/>
    <col min="20" max="20" width="12.36328125" customWidth="1"/>
    <col min="21" max="23" width="8.90625" customWidth="1"/>
  </cols>
  <sheetData>
    <row r="1" spans="1:18"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7"/>
      <c r="O1" s="257"/>
      <c r="R1" s="250" t="str">
        <f>'Sched 1_RPU'!F1</f>
        <v>For the 12 months ended 12/31/16</v>
      </c>
    </row>
    <row r="2" spans="1:18">
      <c r="B2" s="251"/>
      <c r="C2" s="251"/>
      <c r="D2" s="251"/>
      <c r="E2" s="250"/>
      <c r="F2" s="251"/>
      <c r="G2" s="251"/>
      <c r="H2" s="251"/>
      <c r="I2" s="251"/>
      <c r="J2" s="251"/>
      <c r="K2" s="251"/>
      <c r="L2" s="251"/>
      <c r="M2" s="251"/>
      <c r="N2" s="257"/>
      <c r="O2" s="257"/>
      <c r="P2" s="251"/>
      <c r="R2" s="255" t="s">
        <v>412</v>
      </c>
    </row>
    <row r="3" spans="1:18" ht="15.6">
      <c r="A3" s="665" t="s">
        <v>366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</row>
    <row r="4" spans="1:18" ht="15.6">
      <c r="A4" s="665" t="s">
        <v>502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</row>
    <row r="5" spans="1:18" ht="15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/>
      <c r="O5" s="8"/>
    </row>
    <row r="6" spans="1:18">
      <c r="N6" s="253"/>
      <c r="O6" s="253"/>
    </row>
    <row r="7" spans="1:18" ht="15.6">
      <c r="A7" s="683" t="s">
        <v>642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</row>
    <row r="8" spans="1:18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7"/>
      <c r="O8" s="257"/>
      <c r="P8" s="251"/>
    </row>
    <row r="9" spans="1:18" ht="15.6">
      <c r="A9" s="684" t="s">
        <v>418</v>
      </c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258"/>
      <c r="R9" s="258"/>
    </row>
    <row r="10" spans="1:18" ht="15.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90"/>
      <c r="O10" s="490"/>
      <c r="P10" s="4"/>
      <c r="Q10" s="258"/>
      <c r="R10" s="258"/>
    </row>
    <row r="11" spans="1:18" ht="108.75" customHeight="1">
      <c r="A11" s="258"/>
      <c r="B11" s="258"/>
      <c r="C11" s="265" t="s">
        <v>199</v>
      </c>
      <c r="D11" s="491" t="s">
        <v>414</v>
      </c>
      <c r="E11" s="8"/>
      <c r="F11" s="491" t="s">
        <v>436</v>
      </c>
      <c r="G11" s="266"/>
      <c r="H11" s="265" t="s">
        <v>443</v>
      </c>
      <c r="I11" s="265" t="s">
        <v>444</v>
      </c>
      <c r="J11" s="491" t="s">
        <v>442</v>
      </c>
      <c r="K11" s="491" t="s">
        <v>445</v>
      </c>
      <c r="L11" s="491" t="s">
        <v>428</v>
      </c>
      <c r="M11" s="266"/>
      <c r="N11" s="491" t="s">
        <v>446</v>
      </c>
      <c r="O11" s="266"/>
      <c r="P11" s="266"/>
      <c r="Q11" s="258"/>
      <c r="R11" s="258"/>
    </row>
    <row r="12" spans="1:18" ht="15.75" customHeight="1">
      <c r="A12" s="258"/>
      <c r="B12" s="258"/>
      <c r="C12" s="258"/>
      <c r="D12" s="10"/>
      <c r="E12" s="266"/>
      <c r="F12" s="490" t="s">
        <v>429</v>
      </c>
      <c r="G12" s="266"/>
      <c r="H12" s="490" t="s">
        <v>430</v>
      </c>
      <c r="I12" s="490" t="s">
        <v>431</v>
      </c>
      <c r="J12" s="490" t="s">
        <v>432</v>
      </c>
      <c r="K12" s="490" t="s">
        <v>433</v>
      </c>
      <c r="L12" s="490" t="s">
        <v>447</v>
      </c>
      <c r="M12" s="490"/>
      <c r="N12" s="490" t="s">
        <v>448</v>
      </c>
      <c r="O12" s="266"/>
      <c r="P12" s="266"/>
      <c r="Q12" s="258"/>
      <c r="R12" s="258"/>
    </row>
    <row r="13" spans="1:18" ht="15.6">
      <c r="A13" s="258"/>
      <c r="B13" s="258"/>
      <c r="C13" s="490">
        <v>1</v>
      </c>
      <c r="D13" s="490" t="s">
        <v>434</v>
      </c>
      <c r="E13" s="266"/>
      <c r="F13" s="492">
        <f>J51</f>
        <v>17753578</v>
      </c>
      <c r="G13" s="266"/>
      <c r="H13" s="493">
        <v>0</v>
      </c>
      <c r="I13" s="272">
        <f>F13-H13</f>
        <v>17753578</v>
      </c>
      <c r="J13" s="492">
        <f>K51</f>
        <v>16428974.307692308</v>
      </c>
      <c r="K13" s="492">
        <f>I13-J13</f>
        <v>1324603.692307692</v>
      </c>
      <c r="L13" s="494">
        <f>IF(K15&gt;0,ROUND(K13/K15,4),0)</f>
        <v>5.4300000000000001E-2</v>
      </c>
      <c r="M13" s="266"/>
      <c r="N13" s="495">
        <f>ROUND(L13*N15,0)</f>
        <v>203060</v>
      </c>
      <c r="O13" s="266"/>
      <c r="P13" s="266"/>
      <c r="Q13" s="258"/>
      <c r="R13" s="258"/>
    </row>
    <row r="14" spans="1:18" ht="15.6">
      <c r="A14" s="258"/>
      <c r="B14" s="258"/>
      <c r="C14" s="490">
        <v>2</v>
      </c>
      <c r="D14" s="490" t="s">
        <v>435</v>
      </c>
      <c r="E14" s="266"/>
      <c r="F14" s="496">
        <f>F51</f>
        <v>24419324.692307692</v>
      </c>
      <c r="G14" s="266"/>
      <c r="H14" s="497">
        <v>1344800.64</v>
      </c>
      <c r="I14" s="272">
        <f>F14-H14</f>
        <v>23074524.052307691</v>
      </c>
      <c r="J14" s="496">
        <v>0</v>
      </c>
      <c r="K14" s="496">
        <f>I14-J14</f>
        <v>23074524.052307691</v>
      </c>
      <c r="L14" s="498">
        <f>IF(K15&gt;0,ROUND(K14/K15,4),0)</f>
        <v>0.94569999999999999</v>
      </c>
      <c r="M14" s="266"/>
      <c r="N14" s="499">
        <f>ROUND(L14*N15,0)</f>
        <v>3536541</v>
      </c>
      <c r="O14" s="266"/>
      <c r="P14" s="266"/>
      <c r="Q14" s="258"/>
      <c r="R14" s="258"/>
    </row>
    <row r="15" spans="1:18" ht="15.75" customHeight="1">
      <c r="A15" s="258"/>
      <c r="B15" s="258"/>
      <c r="C15" s="490">
        <v>3</v>
      </c>
      <c r="D15" s="490" t="s">
        <v>3</v>
      </c>
      <c r="E15" s="266"/>
      <c r="F15" s="492">
        <f>SUM(F13:F14)</f>
        <v>42172902.692307696</v>
      </c>
      <c r="G15" s="266"/>
      <c r="H15" s="492">
        <f t="shared" ref="H15:I15" si="0">SUM(H13:H14)</f>
        <v>1344800.64</v>
      </c>
      <c r="I15" s="500">
        <f t="shared" si="0"/>
        <v>40828102.052307695</v>
      </c>
      <c r="J15" s="492">
        <f>SUM(J13:J14)</f>
        <v>16428974.307692308</v>
      </c>
      <c r="K15" s="492">
        <f>SUM(K13:K14)</f>
        <v>24399127.744615383</v>
      </c>
      <c r="L15" s="494">
        <f>SUM(L13:L14)</f>
        <v>1</v>
      </c>
      <c r="M15" s="266"/>
      <c r="N15" s="501">
        <v>3739601.1144083911</v>
      </c>
      <c r="O15" s="502" t="s">
        <v>5</v>
      </c>
      <c r="P15" s="266"/>
      <c r="Q15" s="258"/>
      <c r="R15" s="258"/>
    </row>
    <row r="16" spans="1:18" ht="19.2">
      <c r="A16" s="258"/>
      <c r="B16" s="258"/>
      <c r="C16" s="266"/>
      <c r="D16" s="503"/>
      <c r="E16" s="503"/>
      <c r="F16" s="503"/>
      <c r="G16" s="503"/>
      <c r="H16" s="267"/>
      <c r="I16" s="266"/>
      <c r="J16" s="10"/>
      <c r="K16" s="266"/>
      <c r="L16" s="266"/>
      <c r="M16" s="248"/>
      <c r="N16" s="266"/>
      <c r="O16" s="266"/>
      <c r="P16" s="266"/>
      <c r="Q16" s="258"/>
      <c r="R16" s="258"/>
    </row>
    <row r="17" spans="1:18" ht="15.6">
      <c r="A17" s="258"/>
      <c r="B17" s="258"/>
      <c r="C17" s="266"/>
      <c r="D17" s="504" t="s">
        <v>449</v>
      </c>
      <c r="E17" s="268"/>
      <c r="F17" s="268"/>
      <c r="G17" s="268"/>
      <c r="H17" s="268"/>
      <c r="I17" s="269"/>
      <c r="J17" s="505"/>
      <c r="K17" s="266"/>
      <c r="L17" s="266"/>
      <c r="M17" s="270"/>
      <c r="N17" s="266"/>
      <c r="O17" s="266"/>
      <c r="P17" s="266"/>
      <c r="Q17" s="258"/>
      <c r="R17" s="258"/>
    </row>
    <row r="18" spans="1:18" ht="15.6">
      <c r="A18" s="258"/>
      <c r="B18" s="258"/>
      <c r="C18" s="266"/>
      <c r="D18" s="10" t="str">
        <f>CONCATENATE("(2) Total RPU Gross Plant In Service from Att O_RPU, page 2 of 5, line 2, col (5) for ",Coversheet!E40)</f>
        <v>(2) Total RPU Gross Plant In Service from Att O_RPU, page 2 of 5, line 2, col (5) for 2016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58"/>
      <c r="R18" s="258"/>
    </row>
    <row r="19" spans="1:18" ht="15.6">
      <c r="A19" s="258"/>
      <c r="B19" s="258"/>
      <c r="C19" s="266"/>
      <c r="D19" s="10" t="str">
        <f>CONCATENATE("(3) Total RPU ATRR from Att O_RPU, page 1 of 5, line 7 for ",Coversheet!E40)</f>
        <v>(3) Total RPU ATRR from Att O_RPU, page 1 of 5, line 7 for 2016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58"/>
      <c r="R19" s="258"/>
    </row>
    <row r="20" spans="1:18" ht="16.5" customHeight="1">
      <c r="A20" s="258"/>
      <c r="B20" s="258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58"/>
      <c r="R20" s="258"/>
    </row>
    <row r="21" spans="1:18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6"/>
      <c r="O21" s="266"/>
      <c r="P21" s="258"/>
      <c r="Q21" s="258"/>
      <c r="R21" s="258"/>
    </row>
    <row r="22" spans="1:18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66"/>
      <c r="O22" s="266"/>
      <c r="P22" s="258"/>
      <c r="Q22" s="258"/>
      <c r="R22" s="258"/>
    </row>
    <row r="23" spans="1:18" ht="18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66"/>
      <c r="O23" s="266"/>
      <c r="P23" s="258"/>
      <c r="Q23" s="258"/>
      <c r="R23" s="258"/>
    </row>
    <row r="24" spans="1:18" ht="15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66"/>
      <c r="O24" s="266"/>
      <c r="P24" s="258"/>
      <c r="Q24" s="258"/>
      <c r="R24" s="258"/>
    </row>
    <row r="25" spans="1:18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66"/>
      <c r="O25" s="266"/>
      <c r="P25" s="258"/>
      <c r="Q25" s="258"/>
      <c r="R25" s="258"/>
    </row>
    <row r="26" spans="1:18" ht="15.6">
      <c r="A26" s="258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8"/>
      <c r="O26" s="8"/>
      <c r="P26" s="258"/>
      <c r="Q26" s="258"/>
      <c r="R26" s="3" t="str">
        <f>R1</f>
        <v>For the 12 months ended 12/31/16</v>
      </c>
    </row>
    <row r="27" spans="1:18" ht="15.6">
      <c r="A27" s="258"/>
      <c r="B27" s="489"/>
      <c r="C27" s="489"/>
      <c r="D27" s="489"/>
      <c r="E27" s="3"/>
      <c r="F27" s="489"/>
      <c r="G27" s="489"/>
      <c r="H27" s="489"/>
      <c r="I27" s="489"/>
      <c r="J27" s="489"/>
      <c r="K27" s="489"/>
      <c r="L27" s="489"/>
      <c r="M27" s="489"/>
      <c r="N27" s="8"/>
      <c r="O27" s="8"/>
      <c r="P27" s="489"/>
      <c r="Q27" s="258"/>
      <c r="R27" s="9" t="s">
        <v>413</v>
      </c>
    </row>
    <row r="28" spans="1:18" ht="15.6">
      <c r="A28" s="665" t="s">
        <v>366</v>
      </c>
      <c r="B28" s="665"/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258"/>
      <c r="R28" s="258"/>
    </row>
    <row r="29" spans="1:18" ht="15.6">
      <c r="A29" s="665" t="s">
        <v>417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258"/>
      <c r="R29" s="258"/>
    </row>
    <row r="30" spans="1:18" ht="15.6">
      <c r="A30" s="489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8"/>
      <c r="O30" s="8"/>
      <c r="P30" s="258"/>
      <c r="Q30" s="258"/>
      <c r="R30" s="258"/>
    </row>
    <row r="31" spans="1:18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66"/>
      <c r="O31" s="266"/>
      <c r="P31" s="258"/>
      <c r="Q31" s="258"/>
      <c r="R31" s="258"/>
    </row>
    <row r="32" spans="1:18" ht="15.6">
      <c r="A32" s="683" t="s">
        <v>426</v>
      </c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258"/>
      <c r="R32" s="258"/>
    </row>
    <row r="33" spans="1:18" ht="15.6">
      <c r="A33" s="25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8"/>
      <c r="O33" s="8"/>
      <c r="P33" s="489"/>
      <c r="Q33" s="258"/>
      <c r="R33" s="258"/>
    </row>
    <row r="34" spans="1:18" ht="15" customHeight="1">
      <c r="A34" s="684" t="s">
        <v>418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258"/>
      <c r="R34" s="258"/>
    </row>
    <row r="35" spans="1:18" ht="15.6">
      <c r="A35" s="258"/>
      <c r="B35" s="506"/>
      <c r="C35" s="258"/>
      <c r="D35" s="685" t="s">
        <v>419</v>
      </c>
      <c r="E35" s="685"/>
      <c r="F35" s="685"/>
      <c r="G35" s="506"/>
      <c r="H35" s="685" t="s">
        <v>420</v>
      </c>
      <c r="I35" s="685"/>
      <c r="J35" s="685"/>
      <c r="K35" s="685"/>
      <c r="L35" s="685"/>
      <c r="M35" s="370"/>
      <c r="N35" s="506"/>
      <c r="O35" s="506"/>
      <c r="P35" s="507"/>
      <c r="Q35" s="370"/>
      <c r="R35" s="506"/>
    </row>
    <row r="36" spans="1:18" ht="62.25" customHeight="1">
      <c r="A36" s="271" t="s">
        <v>199</v>
      </c>
      <c r="B36" s="5" t="s">
        <v>427</v>
      </c>
      <c r="C36" s="418" t="s">
        <v>201</v>
      </c>
      <c r="D36" s="385" t="s">
        <v>421</v>
      </c>
      <c r="E36" s="385" t="s">
        <v>130</v>
      </c>
      <c r="F36" s="385" t="s">
        <v>422</v>
      </c>
      <c r="G36" s="385"/>
      <c r="H36" s="385" t="s">
        <v>421</v>
      </c>
      <c r="I36" s="385" t="s">
        <v>130</v>
      </c>
      <c r="J36" s="385" t="s">
        <v>423</v>
      </c>
      <c r="K36" s="385" t="s">
        <v>424</v>
      </c>
      <c r="L36" s="385" t="s">
        <v>425</v>
      </c>
      <c r="M36" s="385"/>
      <c r="N36" s="385" t="s">
        <v>450</v>
      </c>
      <c r="O36" s="385"/>
      <c r="P36" s="508" t="s">
        <v>451</v>
      </c>
      <c r="Q36" s="385"/>
      <c r="R36" s="385" t="s">
        <v>400</v>
      </c>
    </row>
    <row r="37" spans="1:18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66"/>
      <c r="Q37" s="258"/>
      <c r="R37" s="258"/>
    </row>
    <row r="38" spans="1:18" ht="15.6">
      <c r="A38" s="4">
        <v>1</v>
      </c>
      <c r="B38" s="358" t="s">
        <v>197</v>
      </c>
      <c r="C38" s="509">
        <f>Coversheet!E39</f>
        <v>2015</v>
      </c>
      <c r="D38" s="510">
        <f>Plant!G6</f>
        <v>21760638</v>
      </c>
      <c r="E38" s="510">
        <v>0</v>
      </c>
      <c r="F38" s="510">
        <f>Plant!G6</f>
        <v>21760638</v>
      </c>
      <c r="G38" s="511"/>
      <c r="H38" s="510">
        <f>Plant!H6</f>
        <v>15776740</v>
      </c>
      <c r="I38" s="512">
        <v>0</v>
      </c>
      <c r="J38" s="510">
        <f>+H38+I38</f>
        <v>15776740</v>
      </c>
      <c r="K38" s="510">
        <f>Plant!H6</f>
        <v>15776740</v>
      </c>
      <c r="L38" s="510">
        <f>+J38-K38</f>
        <v>0</v>
      </c>
      <c r="M38" s="511"/>
      <c r="N38" s="510">
        <f>F38+J38</f>
        <v>37537378</v>
      </c>
      <c r="O38" s="511"/>
      <c r="P38" s="510">
        <f>Plant!I6</f>
        <v>1928351</v>
      </c>
      <c r="Q38" s="511"/>
      <c r="R38" s="510">
        <f>F38+J38+P38</f>
        <v>39465729</v>
      </c>
    </row>
    <row r="39" spans="1:18" ht="15.6">
      <c r="A39" s="4">
        <v>2</v>
      </c>
      <c r="B39" s="358" t="s">
        <v>186</v>
      </c>
      <c r="C39" s="509">
        <f>Coversheet!E40</f>
        <v>2016</v>
      </c>
      <c r="D39" s="512">
        <f>D38</f>
        <v>21760638</v>
      </c>
      <c r="E39" s="512">
        <v>0</v>
      </c>
      <c r="F39" s="513">
        <f t="shared" ref="F39:F41" si="1">F38+E39</f>
        <v>21760638</v>
      </c>
      <c r="G39" s="511"/>
      <c r="H39" s="512">
        <f>H38</f>
        <v>15776740</v>
      </c>
      <c r="I39" s="512">
        <f>Plant!H7-Plant!H$6</f>
        <v>0</v>
      </c>
      <c r="J39" s="513">
        <f t="shared" ref="J39:J41" si="2">J38+I39</f>
        <v>15776740</v>
      </c>
      <c r="K39" s="512">
        <f>Plant!H7</f>
        <v>15776740</v>
      </c>
      <c r="L39" s="512">
        <f>+J39-K39</f>
        <v>0</v>
      </c>
      <c r="M39" s="511"/>
      <c r="N39" s="512">
        <f>F39+J39</f>
        <v>37537378</v>
      </c>
      <c r="O39" s="511"/>
      <c r="P39" s="512">
        <f>Plant!I7</f>
        <v>1928351</v>
      </c>
      <c r="Q39" s="511"/>
      <c r="R39" s="512">
        <f t="shared" ref="R39:R50" si="3">+F39+J39+P39</f>
        <v>39465729</v>
      </c>
    </row>
    <row r="40" spans="1:18" ht="15.6">
      <c r="A40" s="4">
        <v>3</v>
      </c>
      <c r="B40" s="358" t="s">
        <v>187</v>
      </c>
      <c r="C40" s="509">
        <f>C39</f>
        <v>2016</v>
      </c>
      <c r="D40" s="512">
        <f t="shared" ref="D40:D50" si="4">D39</f>
        <v>21760638</v>
      </c>
      <c r="E40" s="512">
        <v>0</v>
      </c>
      <c r="F40" s="513">
        <f t="shared" si="1"/>
        <v>21760638</v>
      </c>
      <c r="G40" s="511"/>
      <c r="H40" s="512">
        <f t="shared" ref="H40:H50" si="5">H39</f>
        <v>15776740</v>
      </c>
      <c r="I40" s="512">
        <f>Plant!H8-Plant!H$6</f>
        <v>0</v>
      </c>
      <c r="J40" s="513">
        <f t="shared" si="2"/>
        <v>15776740</v>
      </c>
      <c r="K40" s="513">
        <f>Plant!H8</f>
        <v>15776740</v>
      </c>
      <c r="L40" s="513">
        <f t="shared" ref="L40:L50" si="6">+J40-K40</f>
        <v>0</v>
      </c>
      <c r="M40" s="511"/>
      <c r="N40" s="512">
        <f t="shared" ref="N40:N50" si="7">F40+J40</f>
        <v>37537378</v>
      </c>
      <c r="O40" s="511"/>
      <c r="P40" s="512">
        <f>Plant!I8</f>
        <v>1928351</v>
      </c>
      <c r="Q40" s="511"/>
      <c r="R40" s="512">
        <f t="shared" si="3"/>
        <v>39465729</v>
      </c>
    </row>
    <row r="41" spans="1:18" ht="15.6">
      <c r="A41" s="4">
        <v>4</v>
      </c>
      <c r="B41" s="358" t="s">
        <v>188</v>
      </c>
      <c r="C41" s="509">
        <f t="shared" ref="C41:C50" si="8">C40</f>
        <v>2016</v>
      </c>
      <c r="D41" s="512">
        <f t="shared" si="4"/>
        <v>21760638</v>
      </c>
      <c r="E41" s="512">
        <v>3321719</v>
      </c>
      <c r="F41" s="513">
        <f t="shared" si="1"/>
        <v>25082357</v>
      </c>
      <c r="G41" s="511"/>
      <c r="H41" s="512">
        <f t="shared" si="5"/>
        <v>15776740</v>
      </c>
      <c r="I41" s="512">
        <f>Plant!H9-Plant!H$6</f>
        <v>0</v>
      </c>
      <c r="J41" s="513">
        <f t="shared" si="2"/>
        <v>15776740</v>
      </c>
      <c r="K41" s="513">
        <f>Plant!H9</f>
        <v>15776740</v>
      </c>
      <c r="L41" s="513">
        <f t="shared" si="6"/>
        <v>0</v>
      </c>
      <c r="M41" s="511"/>
      <c r="N41" s="512">
        <f t="shared" si="7"/>
        <v>40859097</v>
      </c>
      <c r="O41" s="511"/>
      <c r="P41" s="512">
        <f>Plant!I9</f>
        <v>1928351</v>
      </c>
      <c r="Q41" s="511"/>
      <c r="R41" s="512">
        <f t="shared" si="3"/>
        <v>42787448</v>
      </c>
    </row>
    <row r="42" spans="1:18" ht="15.6">
      <c r="A42" s="4">
        <v>5</v>
      </c>
      <c r="B42" s="358" t="s">
        <v>189</v>
      </c>
      <c r="C42" s="509">
        <f t="shared" si="8"/>
        <v>2016</v>
      </c>
      <c r="D42" s="512">
        <f t="shared" si="4"/>
        <v>21760638</v>
      </c>
      <c r="E42" s="512">
        <v>0</v>
      </c>
      <c r="F42" s="513">
        <f>F41+E42</f>
        <v>25082357</v>
      </c>
      <c r="G42" s="511"/>
      <c r="H42" s="512">
        <f t="shared" si="5"/>
        <v>15776740</v>
      </c>
      <c r="I42" s="512">
        <f>Plant!H10-Plant!H$6</f>
        <v>0</v>
      </c>
      <c r="J42" s="513">
        <f>J41+I42</f>
        <v>15776740</v>
      </c>
      <c r="K42" s="513">
        <f>Plant!H10</f>
        <v>15776740</v>
      </c>
      <c r="L42" s="513">
        <f t="shared" si="6"/>
        <v>0</v>
      </c>
      <c r="M42" s="511"/>
      <c r="N42" s="512">
        <f t="shared" si="7"/>
        <v>40859097</v>
      </c>
      <c r="O42" s="511"/>
      <c r="P42" s="512">
        <f>Plant!I10</f>
        <v>1928351</v>
      </c>
      <c r="Q42" s="511"/>
      <c r="R42" s="512">
        <f t="shared" si="3"/>
        <v>42787448</v>
      </c>
    </row>
    <row r="43" spans="1:18" ht="15.6">
      <c r="A43" s="4">
        <v>6</v>
      </c>
      <c r="B43" s="358" t="s">
        <v>190</v>
      </c>
      <c r="C43" s="509">
        <f t="shared" si="8"/>
        <v>2016</v>
      </c>
      <c r="D43" s="512">
        <f t="shared" si="4"/>
        <v>21760638</v>
      </c>
      <c r="E43" s="512">
        <v>0</v>
      </c>
      <c r="F43" s="513">
        <f t="shared" ref="F43:F50" si="9">F42+E43</f>
        <v>25082357</v>
      </c>
      <c r="G43" s="511"/>
      <c r="H43" s="512">
        <f t="shared" si="5"/>
        <v>15776740</v>
      </c>
      <c r="I43" s="512">
        <f>Plant!H11-Plant!H$6</f>
        <v>0</v>
      </c>
      <c r="J43" s="513">
        <f t="shared" ref="J43:J50" si="10">J42+I43</f>
        <v>15776740</v>
      </c>
      <c r="K43" s="513">
        <f>Plant!H11</f>
        <v>15776740</v>
      </c>
      <c r="L43" s="513">
        <f t="shared" si="6"/>
        <v>0</v>
      </c>
      <c r="M43" s="511"/>
      <c r="N43" s="512">
        <f t="shared" si="7"/>
        <v>40859097</v>
      </c>
      <c r="O43" s="511"/>
      <c r="P43" s="512">
        <f>Plant!I11</f>
        <v>1928351</v>
      </c>
      <c r="Q43" s="511"/>
      <c r="R43" s="512">
        <f t="shared" si="3"/>
        <v>42787448</v>
      </c>
    </row>
    <row r="44" spans="1:18" ht="15.6">
      <c r="A44" s="4">
        <v>7</v>
      </c>
      <c r="B44" s="358" t="s">
        <v>191</v>
      </c>
      <c r="C44" s="509">
        <f t="shared" si="8"/>
        <v>2016</v>
      </c>
      <c r="D44" s="512">
        <f t="shared" si="4"/>
        <v>21760638</v>
      </c>
      <c r="E44" s="512">
        <v>0</v>
      </c>
      <c r="F44" s="513">
        <f t="shared" si="9"/>
        <v>25082357</v>
      </c>
      <c r="G44" s="511"/>
      <c r="H44" s="512">
        <f t="shared" si="5"/>
        <v>15776740</v>
      </c>
      <c r="I44" s="512">
        <f>Plant!H12-Plant!H$6</f>
        <v>0</v>
      </c>
      <c r="J44" s="513">
        <f t="shared" si="10"/>
        <v>15776740</v>
      </c>
      <c r="K44" s="513">
        <f>Plant!H12</f>
        <v>15776740</v>
      </c>
      <c r="L44" s="513">
        <f t="shared" si="6"/>
        <v>0</v>
      </c>
      <c r="M44" s="511"/>
      <c r="N44" s="512">
        <f t="shared" si="7"/>
        <v>40859097</v>
      </c>
      <c r="O44" s="511"/>
      <c r="P44" s="512">
        <f>Plant!I12</f>
        <v>1928351</v>
      </c>
      <c r="Q44" s="511"/>
      <c r="R44" s="512">
        <f t="shared" si="3"/>
        <v>42787448</v>
      </c>
    </row>
    <row r="45" spans="1:18" ht="15.6">
      <c r="A45" s="4">
        <v>8</v>
      </c>
      <c r="B45" s="358" t="s">
        <v>192</v>
      </c>
      <c r="C45" s="509">
        <f t="shared" si="8"/>
        <v>2016</v>
      </c>
      <c r="D45" s="512">
        <f t="shared" si="4"/>
        <v>21760638</v>
      </c>
      <c r="E45" s="512">
        <v>0</v>
      </c>
      <c r="F45" s="513">
        <f t="shared" si="9"/>
        <v>25082357</v>
      </c>
      <c r="G45" s="511"/>
      <c r="H45" s="512">
        <f t="shared" si="5"/>
        <v>15776740</v>
      </c>
      <c r="I45" s="512">
        <f>Plant!H13-Plant!H$6</f>
        <v>0</v>
      </c>
      <c r="J45" s="513">
        <f t="shared" si="10"/>
        <v>15776740</v>
      </c>
      <c r="K45" s="513">
        <f>Plant!H13</f>
        <v>15776740</v>
      </c>
      <c r="L45" s="513">
        <f t="shared" si="6"/>
        <v>0</v>
      </c>
      <c r="M45" s="511"/>
      <c r="N45" s="512">
        <f t="shared" si="7"/>
        <v>40859097</v>
      </c>
      <c r="O45" s="511"/>
      <c r="P45" s="512">
        <f>Plant!I13</f>
        <v>1928351</v>
      </c>
      <c r="Q45" s="511"/>
      <c r="R45" s="512">
        <f t="shared" si="3"/>
        <v>42787448</v>
      </c>
    </row>
    <row r="46" spans="1:18" ht="15.6">
      <c r="A46" s="4">
        <v>9</v>
      </c>
      <c r="B46" s="358" t="s">
        <v>193</v>
      </c>
      <c r="C46" s="509">
        <f t="shared" si="8"/>
        <v>2016</v>
      </c>
      <c r="D46" s="512">
        <f t="shared" si="4"/>
        <v>21760638</v>
      </c>
      <c r="E46" s="512">
        <v>0</v>
      </c>
      <c r="F46" s="513">
        <f t="shared" si="9"/>
        <v>25082357</v>
      </c>
      <c r="G46" s="511"/>
      <c r="H46" s="512">
        <f t="shared" si="5"/>
        <v>15776740</v>
      </c>
      <c r="I46" s="512">
        <f>Plant!H14-Plant!H$6</f>
        <v>0</v>
      </c>
      <c r="J46" s="513">
        <f t="shared" si="10"/>
        <v>15776740</v>
      </c>
      <c r="K46" s="513">
        <f>Plant!H14</f>
        <v>15776740</v>
      </c>
      <c r="L46" s="513">
        <f t="shared" si="6"/>
        <v>0</v>
      </c>
      <c r="M46" s="511"/>
      <c r="N46" s="512">
        <f t="shared" si="7"/>
        <v>40859097</v>
      </c>
      <c r="O46" s="511"/>
      <c r="P46" s="512">
        <f>Plant!I14</f>
        <v>1928351</v>
      </c>
      <c r="Q46" s="511"/>
      <c r="R46" s="512">
        <f t="shared" si="3"/>
        <v>42787448</v>
      </c>
    </row>
    <row r="47" spans="1:18" ht="15.6">
      <c r="A47" s="4">
        <v>10</v>
      </c>
      <c r="B47" s="358" t="s">
        <v>194</v>
      </c>
      <c r="C47" s="509">
        <f t="shared" si="8"/>
        <v>2016</v>
      </c>
      <c r="D47" s="512">
        <f t="shared" si="4"/>
        <v>21760638</v>
      </c>
      <c r="E47" s="512">
        <v>0</v>
      </c>
      <c r="F47" s="513">
        <f t="shared" si="9"/>
        <v>25082357</v>
      </c>
      <c r="G47" s="511"/>
      <c r="H47" s="512">
        <f t="shared" si="5"/>
        <v>15776740</v>
      </c>
      <c r="I47" s="512">
        <f>Plant!H15-Plant!H$6</f>
        <v>0</v>
      </c>
      <c r="J47" s="513">
        <f t="shared" si="10"/>
        <v>15776740</v>
      </c>
      <c r="K47" s="513">
        <f>Plant!H15</f>
        <v>15776740</v>
      </c>
      <c r="L47" s="513">
        <f t="shared" si="6"/>
        <v>0</v>
      </c>
      <c r="M47" s="511"/>
      <c r="N47" s="512">
        <f t="shared" si="7"/>
        <v>40859097</v>
      </c>
      <c r="O47" s="511"/>
      <c r="P47" s="512">
        <f>Plant!I15</f>
        <v>1928351</v>
      </c>
      <c r="Q47" s="511"/>
      <c r="R47" s="512">
        <f t="shared" si="3"/>
        <v>42787448</v>
      </c>
    </row>
    <row r="48" spans="1:18" ht="15.6">
      <c r="A48" s="4">
        <v>11</v>
      </c>
      <c r="B48" s="358" t="s">
        <v>195</v>
      </c>
      <c r="C48" s="509">
        <f t="shared" si="8"/>
        <v>2016</v>
      </c>
      <c r="D48" s="512">
        <f t="shared" si="4"/>
        <v>21760638</v>
      </c>
      <c r="E48" s="512">
        <v>0</v>
      </c>
      <c r="F48" s="513">
        <f t="shared" si="9"/>
        <v>25082357</v>
      </c>
      <c r="G48" s="511"/>
      <c r="H48" s="512">
        <f t="shared" si="5"/>
        <v>15776740</v>
      </c>
      <c r="I48" s="512">
        <f>Plant!H16-Plant!H$6</f>
        <v>0</v>
      </c>
      <c r="J48" s="513">
        <f t="shared" si="10"/>
        <v>15776740</v>
      </c>
      <c r="K48" s="513">
        <f>Plant!H16</f>
        <v>15776740</v>
      </c>
      <c r="L48" s="513">
        <f t="shared" si="6"/>
        <v>0</v>
      </c>
      <c r="M48" s="511"/>
      <c r="N48" s="512">
        <f t="shared" si="7"/>
        <v>40859097</v>
      </c>
      <c r="O48" s="511"/>
      <c r="P48" s="512">
        <f>Plant!I16</f>
        <v>1928351</v>
      </c>
      <c r="Q48" s="511"/>
      <c r="R48" s="512">
        <f t="shared" si="3"/>
        <v>42787448</v>
      </c>
    </row>
    <row r="49" spans="1:26" ht="15.6">
      <c r="A49" s="4">
        <v>12</v>
      </c>
      <c r="B49" s="358" t="s">
        <v>196</v>
      </c>
      <c r="C49" s="509">
        <f t="shared" si="8"/>
        <v>2016</v>
      </c>
      <c r="D49" s="512">
        <f t="shared" si="4"/>
        <v>21760638</v>
      </c>
      <c r="E49" s="512">
        <v>0</v>
      </c>
      <c r="F49" s="513">
        <f t="shared" si="9"/>
        <v>25082357</v>
      </c>
      <c r="G49" s="511"/>
      <c r="H49" s="512">
        <f t="shared" si="5"/>
        <v>15776740</v>
      </c>
      <c r="I49" s="512">
        <f>Plant!H17-Plant!H$6</f>
        <v>0</v>
      </c>
      <c r="J49" s="513">
        <f t="shared" si="10"/>
        <v>15776740</v>
      </c>
      <c r="K49" s="513">
        <f>Plant!H17</f>
        <v>15776740</v>
      </c>
      <c r="L49" s="513">
        <f t="shared" si="6"/>
        <v>0</v>
      </c>
      <c r="M49" s="511"/>
      <c r="N49" s="512">
        <f t="shared" si="7"/>
        <v>40859097</v>
      </c>
      <c r="O49" s="511"/>
      <c r="P49" s="512">
        <f>Plant!I17</f>
        <v>1928351</v>
      </c>
      <c r="Q49" s="511"/>
      <c r="R49" s="512">
        <f t="shared" si="3"/>
        <v>42787448</v>
      </c>
    </row>
    <row r="50" spans="1:26" ht="17.399999999999999">
      <c r="A50" s="4">
        <v>13</v>
      </c>
      <c r="B50" s="358" t="s">
        <v>197</v>
      </c>
      <c r="C50" s="509">
        <f t="shared" si="8"/>
        <v>2016</v>
      </c>
      <c r="D50" s="512">
        <f t="shared" si="4"/>
        <v>21760638</v>
      </c>
      <c r="E50" s="512">
        <v>1345737</v>
      </c>
      <c r="F50" s="513">
        <f t="shared" si="9"/>
        <v>26428094</v>
      </c>
      <c r="G50" s="514"/>
      <c r="H50" s="512">
        <f t="shared" si="5"/>
        <v>15776740</v>
      </c>
      <c r="I50" s="512">
        <v>25698894</v>
      </c>
      <c r="J50" s="513">
        <f t="shared" si="10"/>
        <v>41475634</v>
      </c>
      <c r="K50" s="513">
        <f>Plant!H18</f>
        <v>24255786</v>
      </c>
      <c r="L50" s="513">
        <f t="shared" si="6"/>
        <v>17219848</v>
      </c>
      <c r="M50" s="515"/>
      <c r="N50" s="512">
        <f t="shared" si="7"/>
        <v>67903728</v>
      </c>
      <c r="O50" s="515"/>
      <c r="P50" s="512">
        <f>Plant!I18</f>
        <v>1928351</v>
      </c>
      <c r="Q50" s="515"/>
      <c r="R50" s="512">
        <f t="shared" si="3"/>
        <v>69832079</v>
      </c>
    </row>
    <row r="51" spans="1:26" ht="16.2" thickBot="1">
      <c r="A51" s="4">
        <v>14</v>
      </c>
      <c r="B51" s="6" t="s">
        <v>209</v>
      </c>
      <c r="C51" s="6"/>
      <c r="D51" s="6"/>
      <c r="E51" s="516"/>
      <c r="F51" s="517">
        <f>AVERAGE(F38:F50)</f>
        <v>24419324.692307692</v>
      </c>
      <c r="G51" s="516"/>
      <c r="H51" s="516"/>
      <c r="I51" s="516"/>
      <c r="J51" s="517">
        <f>AVERAGE(J38:J50)</f>
        <v>17753578</v>
      </c>
      <c r="K51" s="517">
        <f>AVERAGE(K38:K50)</f>
        <v>16428974.307692308</v>
      </c>
      <c r="L51" s="517">
        <f>AVERAGE(L38:L50)</f>
        <v>1324603.6923076923</v>
      </c>
      <c r="M51" s="516"/>
      <c r="N51" s="517">
        <f>AVERAGE(N38:N50)</f>
        <v>42172902.692307696</v>
      </c>
      <c r="O51" s="516"/>
      <c r="P51" s="518"/>
      <c r="Q51" s="516"/>
      <c r="R51" s="517">
        <f>AVERAGE(R38:R50)</f>
        <v>44101253.692307696</v>
      </c>
      <c r="T51" s="656">
        <f>IF(ABS(R51-Plant!J20)&gt;1,'Interzonal Alloc'!Z52,'Interzonal Alloc'!V54)</f>
        <v>0</v>
      </c>
      <c r="U51" s="485" t="s">
        <v>439</v>
      </c>
    </row>
    <row r="52" spans="1:26" ht="15.6" thickTop="1">
      <c r="A52" s="258"/>
      <c r="B52" s="258"/>
      <c r="C52" s="258"/>
      <c r="D52" s="258"/>
      <c r="E52" s="258"/>
      <c r="F52" s="258"/>
      <c r="G52" s="258"/>
      <c r="H52" s="258"/>
      <c r="I52" s="611">
        <f>ROUND(F50+L50-Plant!G18,0)</f>
        <v>0</v>
      </c>
      <c r="J52" s="258"/>
      <c r="K52" s="258"/>
      <c r="L52" s="258"/>
      <c r="M52" s="258"/>
      <c r="N52" s="258"/>
      <c r="O52" s="258"/>
      <c r="P52" s="266"/>
      <c r="Q52" s="258"/>
      <c r="R52" s="258"/>
      <c r="U52" s="485" t="s">
        <v>437</v>
      </c>
      <c r="Z52" t="s">
        <v>460</v>
      </c>
    </row>
    <row r="53" spans="1:26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</row>
    <row r="54" spans="1:26" ht="15.6">
      <c r="A54" s="258"/>
      <c r="B54" s="519" t="s">
        <v>454</v>
      </c>
      <c r="C54" s="519"/>
      <c r="D54" s="519"/>
      <c r="E54" s="519"/>
      <c r="F54" s="519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</row>
    <row r="55" spans="1:26" ht="15.6">
      <c r="A55" s="258"/>
      <c r="B55" s="520" t="s">
        <v>457</v>
      </c>
      <c r="C55" s="519"/>
      <c r="D55" s="519"/>
      <c r="E55" s="258"/>
      <c r="F55" s="258"/>
      <c r="G55" s="258"/>
      <c r="H55" s="510">
        <f>Plant!H62</f>
        <v>1590071</v>
      </c>
      <c r="I55" s="258"/>
      <c r="J55" s="258"/>
      <c r="K55" s="258"/>
      <c r="L55" s="258"/>
      <c r="M55" s="258"/>
      <c r="N55" s="258"/>
      <c r="O55" s="258"/>
      <c r="P55" s="258"/>
      <c r="Q55" s="258"/>
      <c r="R55" s="258"/>
    </row>
    <row r="56" spans="1:26" ht="15.6">
      <c r="A56" s="258"/>
      <c r="B56" s="520" t="s">
        <v>458</v>
      </c>
      <c r="C56" s="519"/>
      <c r="D56" s="519"/>
      <c r="E56" s="258"/>
      <c r="F56" s="258"/>
      <c r="G56" s="258"/>
      <c r="H56" s="521">
        <f>Plant!H63</f>
        <v>338280</v>
      </c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  <row r="57" spans="1:26" ht="15.6">
      <c r="A57" s="258"/>
      <c r="B57" s="519"/>
      <c r="C57" s="519"/>
      <c r="D57" s="519"/>
      <c r="E57" s="519"/>
      <c r="F57" s="258"/>
      <c r="G57" s="258"/>
      <c r="H57" s="510">
        <f>SUM(H55:H56)</f>
        <v>1928351</v>
      </c>
      <c r="I57" s="258"/>
      <c r="J57" s="258"/>
      <c r="K57" s="258"/>
      <c r="L57" s="258"/>
      <c r="M57" s="258"/>
      <c r="N57" s="258"/>
      <c r="O57" s="258"/>
      <c r="P57" s="258"/>
      <c r="Q57" s="258"/>
      <c r="R57" s="258"/>
    </row>
    <row r="62" spans="1:26" ht="18.75" customHeight="1"/>
    <row r="86" ht="19.5" customHeight="1"/>
  </sheetData>
  <mergeCells count="10">
    <mergeCell ref="A32:P32"/>
    <mergeCell ref="A34:P34"/>
    <mergeCell ref="D35:F35"/>
    <mergeCell ref="H35:L35"/>
    <mergeCell ref="A3:P3"/>
    <mergeCell ref="A4:P4"/>
    <mergeCell ref="A7:P7"/>
    <mergeCell ref="A9:P9"/>
    <mergeCell ref="A28:P28"/>
    <mergeCell ref="A29:P29"/>
  </mergeCells>
  <pageMargins left="0.45" right="0.45" top="0.75" bottom="0.5" header="0.3" footer="0.3"/>
  <pageSetup scale="73" fitToHeight="0" orientation="landscape" r:id="rId1"/>
  <rowBreaks count="1" manualBreakCount="1">
    <brk id="25" max="16383" man="1"/>
  </rowBreaks>
  <ignoredErrors>
    <ignoredError sqref="O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76"/>
  <sheetViews>
    <sheetView topLeftCell="A20" zoomScale="80" zoomScaleNormal="80" workbookViewId="0">
      <selection activeCell="F58" sqref="F58"/>
    </sheetView>
  </sheetViews>
  <sheetFormatPr defaultColWidth="8.90625" defaultRowHeight="13.2"/>
  <cols>
    <col min="1" max="1" width="5.1796875" style="12" customWidth="1"/>
    <col min="2" max="2" width="30.90625" style="12" customWidth="1"/>
    <col min="3" max="3" width="13" style="12" customWidth="1"/>
    <col min="4" max="4" width="5.1796875" style="12" customWidth="1"/>
    <col min="5" max="5" width="30.90625" style="12" customWidth="1"/>
    <col min="6" max="6" width="13" style="11" customWidth="1"/>
    <col min="7" max="16384" width="8.90625" style="12"/>
  </cols>
  <sheetData>
    <row r="1" spans="1:6" s="11" customFormat="1" ht="15.6">
      <c r="A1" s="686" t="str">
        <f>Coversheet!B3</f>
        <v>Rochester Public Utilities</v>
      </c>
      <c r="B1" s="686"/>
      <c r="C1" s="686"/>
      <c r="D1" s="686"/>
      <c r="E1" s="686"/>
      <c r="F1" s="686"/>
    </row>
    <row r="2" spans="1:6" s="11" customFormat="1" ht="15">
      <c r="A2" s="687" t="s">
        <v>10</v>
      </c>
      <c r="B2" s="687"/>
      <c r="C2" s="687"/>
      <c r="D2" s="687"/>
      <c r="E2" s="687"/>
      <c r="F2" s="687"/>
    </row>
    <row r="3" spans="1:6" s="11" customFormat="1" ht="15">
      <c r="A3" s="687" t="s">
        <v>11</v>
      </c>
      <c r="B3" s="687"/>
      <c r="C3" s="687"/>
      <c r="D3" s="687"/>
      <c r="E3" s="687"/>
      <c r="F3" s="687"/>
    </row>
    <row r="4" spans="1:6" s="11" customFormat="1" ht="15.6">
      <c r="A4" s="688" t="s">
        <v>642</v>
      </c>
      <c r="B4" s="688"/>
      <c r="C4" s="688"/>
      <c r="D4" s="688"/>
      <c r="E4" s="688"/>
      <c r="F4" s="688"/>
    </row>
    <row r="6" spans="1:6" ht="13.8">
      <c r="A6" s="689" t="s">
        <v>12</v>
      </c>
      <c r="B6" s="689"/>
      <c r="C6" s="689"/>
      <c r="D6" s="689"/>
      <c r="E6" s="689"/>
      <c r="F6" s="689"/>
    </row>
    <row r="7" spans="1:6">
      <c r="A7" s="13" t="s">
        <v>0</v>
      </c>
      <c r="B7" s="14"/>
      <c r="C7" s="15" t="s">
        <v>13</v>
      </c>
      <c r="D7" s="15" t="s">
        <v>0</v>
      </c>
      <c r="E7" s="14"/>
      <c r="F7" s="110" t="s">
        <v>13</v>
      </c>
    </row>
    <row r="8" spans="1:6">
      <c r="A8" s="16" t="s">
        <v>1</v>
      </c>
      <c r="B8" s="17" t="s">
        <v>14</v>
      </c>
      <c r="C8" s="18" t="s">
        <v>15</v>
      </c>
      <c r="D8" s="18" t="s">
        <v>16</v>
      </c>
      <c r="E8" s="18" t="s">
        <v>17</v>
      </c>
      <c r="F8" s="115" t="s">
        <v>15</v>
      </c>
    </row>
    <row r="9" spans="1:6" ht="15">
      <c r="A9" s="19"/>
      <c r="B9" s="20" t="s">
        <v>18</v>
      </c>
      <c r="C9" s="21"/>
      <c r="D9" s="22"/>
      <c r="E9" s="23" t="s">
        <v>19</v>
      </c>
      <c r="F9" s="116"/>
    </row>
    <row r="10" spans="1:6" ht="15">
      <c r="A10" s="19">
        <v>1</v>
      </c>
      <c r="B10" s="24" t="s">
        <v>20</v>
      </c>
      <c r="C10" s="25"/>
      <c r="D10" s="26"/>
      <c r="E10" s="27"/>
      <c r="F10" s="117"/>
    </row>
    <row r="11" spans="1:6">
      <c r="A11" s="16"/>
      <c r="B11" s="28" t="s">
        <v>21</v>
      </c>
      <c r="C11" s="29">
        <f>ROUND('Plant Sched 4'!G25,0)</f>
        <v>373597114</v>
      </c>
      <c r="D11" s="30">
        <v>29</v>
      </c>
      <c r="E11" s="31" t="s">
        <v>22</v>
      </c>
      <c r="F11" s="300">
        <v>91229835</v>
      </c>
    </row>
    <row r="12" spans="1:6">
      <c r="A12" s="32">
        <v>2</v>
      </c>
      <c r="B12" s="33" t="s">
        <v>23</v>
      </c>
      <c r="C12" s="478">
        <v>33713148</v>
      </c>
      <c r="D12" s="34">
        <v>30</v>
      </c>
      <c r="E12" s="35" t="s">
        <v>24</v>
      </c>
      <c r="F12" s="118">
        <v>0</v>
      </c>
    </row>
    <row r="13" spans="1:6" ht="15">
      <c r="A13" s="19">
        <v>3</v>
      </c>
      <c r="B13" s="24" t="s">
        <v>25</v>
      </c>
      <c r="C13" s="25"/>
      <c r="D13" s="26"/>
      <c r="E13" s="27"/>
      <c r="F13" s="117"/>
    </row>
    <row r="14" spans="1:6" ht="15">
      <c r="A14" s="19"/>
      <c r="B14" s="36" t="s">
        <v>26</v>
      </c>
      <c r="C14" s="25"/>
      <c r="D14" s="26">
        <v>31</v>
      </c>
      <c r="E14" s="27" t="s">
        <v>27</v>
      </c>
      <c r="F14" s="117"/>
    </row>
    <row r="15" spans="1:6" ht="13.8" thickBot="1">
      <c r="A15" s="16"/>
      <c r="B15" s="28" t="s">
        <v>28</v>
      </c>
      <c r="C15" s="479">
        <v>198817797</v>
      </c>
      <c r="D15" s="30"/>
      <c r="E15" s="38" t="s">
        <v>29</v>
      </c>
      <c r="F15" s="479">
        <v>43479190</v>
      </c>
    </row>
    <row r="16" spans="1:6" ht="13.8" thickBot="1">
      <c r="A16" s="32">
        <v>4</v>
      </c>
      <c r="B16" s="39" t="s">
        <v>30</v>
      </c>
      <c r="C16" s="40">
        <f>+C11+C12-C15</f>
        <v>208492465</v>
      </c>
      <c r="D16" s="41">
        <v>32</v>
      </c>
      <c r="E16" s="42" t="s">
        <v>31</v>
      </c>
      <c r="F16" s="40">
        <f>+F15+F11+F12</f>
        <v>134709025</v>
      </c>
    </row>
    <row r="17" spans="1:6">
      <c r="A17" s="22">
        <v>5</v>
      </c>
      <c r="B17" s="27" t="s">
        <v>32</v>
      </c>
      <c r="C17" s="43">
        <v>0</v>
      </c>
      <c r="D17" s="26"/>
      <c r="E17" s="44" t="s">
        <v>33</v>
      </c>
      <c r="F17" s="117"/>
    </row>
    <row r="18" spans="1:6" ht="15">
      <c r="A18" s="26">
        <v>6</v>
      </c>
      <c r="B18" s="45" t="s">
        <v>25</v>
      </c>
      <c r="C18" s="25"/>
      <c r="D18" s="46"/>
      <c r="E18" s="27"/>
      <c r="F18" s="117"/>
    </row>
    <row r="19" spans="1:6" ht="15">
      <c r="A19" s="19"/>
      <c r="B19" s="36" t="s">
        <v>34</v>
      </c>
      <c r="C19" s="25"/>
      <c r="D19" s="26"/>
      <c r="E19" s="27"/>
      <c r="F19" s="117"/>
    </row>
    <row r="20" spans="1:6">
      <c r="A20" s="19"/>
      <c r="B20" s="36" t="s">
        <v>35</v>
      </c>
      <c r="C20" s="37">
        <v>0</v>
      </c>
      <c r="D20" s="30">
        <v>33</v>
      </c>
      <c r="E20" s="31" t="s">
        <v>36</v>
      </c>
      <c r="F20" s="481">
        <v>101440000</v>
      </c>
    </row>
    <row r="21" spans="1:6" ht="13.8" thickBot="1">
      <c r="A21" s="47">
        <v>7</v>
      </c>
      <c r="B21" s="48" t="s">
        <v>37</v>
      </c>
      <c r="C21" s="49"/>
      <c r="D21" s="46">
        <v>34</v>
      </c>
      <c r="E21" s="27" t="s">
        <v>38</v>
      </c>
      <c r="F21" s="117"/>
    </row>
    <row r="22" spans="1:6" ht="13.8" thickBot="1">
      <c r="A22" s="16"/>
      <c r="B22" s="50" t="s">
        <v>39</v>
      </c>
      <c r="C22" s="40">
        <f>+C16+C17-C20</f>
        <v>208492465</v>
      </c>
      <c r="D22" s="18"/>
      <c r="E22" s="38" t="s">
        <v>40</v>
      </c>
      <c r="F22" s="127">
        <v>13350000</v>
      </c>
    </row>
    <row r="23" spans="1:6" ht="15">
      <c r="A23" s="19"/>
      <c r="B23" s="51" t="s">
        <v>41</v>
      </c>
      <c r="C23" s="25"/>
      <c r="D23" s="26">
        <v>35</v>
      </c>
      <c r="E23" s="27" t="s">
        <v>42</v>
      </c>
      <c r="F23" s="117"/>
    </row>
    <row r="24" spans="1:6">
      <c r="A24" s="16">
        <v>8</v>
      </c>
      <c r="B24" s="52" t="s">
        <v>43</v>
      </c>
      <c r="C24" s="302">
        <v>5866332</v>
      </c>
      <c r="D24" s="30"/>
      <c r="E24" s="38" t="s">
        <v>44</v>
      </c>
      <c r="F24" s="302">
        <v>8425018</v>
      </c>
    </row>
    <row r="25" spans="1:6" ht="15">
      <c r="A25" s="19">
        <v>9</v>
      </c>
      <c r="B25" s="24" t="s">
        <v>25</v>
      </c>
      <c r="C25" s="54"/>
      <c r="D25" s="26">
        <v>36</v>
      </c>
      <c r="E25" s="27" t="s">
        <v>45</v>
      </c>
      <c r="F25" s="119"/>
    </row>
    <row r="26" spans="1:6">
      <c r="A26" s="16"/>
      <c r="B26" s="28" t="s">
        <v>46</v>
      </c>
      <c r="C26" s="302">
        <v>3215316</v>
      </c>
      <c r="D26" s="30"/>
      <c r="E26" s="38" t="s">
        <v>47</v>
      </c>
      <c r="F26" s="302">
        <v>124570</v>
      </c>
    </row>
    <row r="27" spans="1:6" ht="15.6" thickBot="1">
      <c r="A27" s="19">
        <v>10</v>
      </c>
      <c r="B27" s="24" t="s">
        <v>48</v>
      </c>
      <c r="C27" s="54"/>
      <c r="D27" s="26"/>
      <c r="E27" s="27"/>
      <c r="F27" s="119"/>
    </row>
    <row r="28" spans="1:6" ht="13.8" thickBot="1">
      <c r="A28" s="16"/>
      <c r="B28" s="28" t="s">
        <v>49</v>
      </c>
      <c r="C28" s="37">
        <v>0</v>
      </c>
      <c r="D28" s="30">
        <v>37</v>
      </c>
      <c r="E28" s="55" t="s">
        <v>50</v>
      </c>
      <c r="F28" s="56">
        <f>+F20+F22+F24-F26</f>
        <v>123090448</v>
      </c>
    </row>
    <row r="29" spans="1:6" ht="13.8" thickBot="1">
      <c r="A29" s="32">
        <v>11</v>
      </c>
      <c r="B29" s="33" t="s">
        <v>51</v>
      </c>
      <c r="C29" s="608">
        <v>7936482</v>
      </c>
      <c r="D29" s="30"/>
      <c r="E29" s="31"/>
      <c r="F29" s="120"/>
    </row>
    <row r="30" spans="1:6" ht="13.8" thickBot="1">
      <c r="A30" s="32">
        <v>12</v>
      </c>
      <c r="B30" s="57" t="s">
        <v>52</v>
      </c>
      <c r="C30" s="56">
        <f>+C24-C26+C28+C29</f>
        <v>10587498</v>
      </c>
      <c r="D30" s="18"/>
      <c r="E30" s="58" t="s">
        <v>53</v>
      </c>
      <c r="F30" s="120"/>
    </row>
    <row r="31" spans="1:6" ht="15">
      <c r="A31" s="19"/>
      <c r="B31" s="51" t="s">
        <v>54</v>
      </c>
      <c r="C31" s="54"/>
      <c r="D31" s="34">
        <v>38</v>
      </c>
      <c r="E31" s="35" t="s">
        <v>55</v>
      </c>
      <c r="F31" s="306">
        <v>19063797</v>
      </c>
    </row>
    <row r="32" spans="1:6" ht="15.6" thickBot="1">
      <c r="A32" s="19">
        <v>13</v>
      </c>
      <c r="B32" s="24" t="s">
        <v>56</v>
      </c>
      <c r="C32" s="54"/>
      <c r="D32" s="34">
        <v>39</v>
      </c>
      <c r="E32" s="35" t="s">
        <v>57</v>
      </c>
      <c r="F32" s="37">
        <v>0</v>
      </c>
    </row>
    <row r="33" spans="1:8" ht="13.8" thickBot="1">
      <c r="A33" s="16"/>
      <c r="B33" s="28" t="s">
        <v>58</v>
      </c>
      <c r="C33" s="302">
        <v>38516713</v>
      </c>
      <c r="D33" s="30">
        <v>40</v>
      </c>
      <c r="E33" s="55" t="s">
        <v>59</v>
      </c>
      <c r="F33" s="56">
        <f>SUM(F31:F32)</f>
        <v>19063797</v>
      </c>
    </row>
    <row r="34" spans="1:8" ht="15">
      <c r="A34" s="19">
        <v>14</v>
      </c>
      <c r="B34" s="24" t="s">
        <v>60</v>
      </c>
      <c r="C34" s="54"/>
      <c r="D34" s="26"/>
      <c r="E34" s="27"/>
      <c r="F34" s="119"/>
    </row>
    <row r="35" spans="1:8">
      <c r="A35" s="16"/>
      <c r="B35" s="28" t="s">
        <v>61</v>
      </c>
      <c r="C35" s="53">
        <v>443</v>
      </c>
      <c r="D35" s="30"/>
      <c r="E35" s="58" t="s">
        <v>62</v>
      </c>
      <c r="F35" s="120"/>
      <c r="H35" s="59"/>
    </row>
    <row r="36" spans="1:8" ht="13.8" thickBot="1">
      <c r="A36" s="32">
        <v>15</v>
      </c>
      <c r="B36" s="33" t="s">
        <v>63</v>
      </c>
      <c r="C36" s="608">
        <v>12472734</v>
      </c>
      <c r="D36" s="30">
        <v>41</v>
      </c>
      <c r="E36" s="31" t="s">
        <v>64</v>
      </c>
      <c r="F36" s="478">
        <v>0</v>
      </c>
      <c r="H36" s="59"/>
    </row>
    <row r="37" spans="1:8" ht="15">
      <c r="A37" s="19">
        <v>16</v>
      </c>
      <c r="B37" s="24" t="s">
        <v>25</v>
      </c>
      <c r="C37" s="54"/>
      <c r="D37" s="26"/>
      <c r="E37" s="27"/>
      <c r="F37" s="119"/>
      <c r="H37" s="59"/>
    </row>
    <row r="38" spans="1:8">
      <c r="A38" s="16"/>
      <c r="B38" s="28" t="s">
        <v>65</v>
      </c>
      <c r="C38" s="302">
        <v>220000</v>
      </c>
      <c r="D38" s="30">
        <v>42</v>
      </c>
      <c r="E38" s="31" t="s">
        <v>66</v>
      </c>
      <c r="F38" s="302">
        <v>15608824</v>
      </c>
    </row>
    <row r="39" spans="1:8" ht="15">
      <c r="A39" s="19">
        <v>17</v>
      </c>
      <c r="B39" s="24" t="s">
        <v>67</v>
      </c>
      <c r="C39" s="54"/>
      <c r="D39" s="26">
        <v>43</v>
      </c>
      <c r="E39" s="27" t="s">
        <v>68</v>
      </c>
      <c r="F39" s="119"/>
    </row>
    <row r="40" spans="1:8">
      <c r="A40" s="16"/>
      <c r="B40" s="28" t="s">
        <v>69</v>
      </c>
      <c r="C40" s="302">
        <v>174223</v>
      </c>
      <c r="D40" s="30"/>
      <c r="E40" s="38" t="s">
        <v>70</v>
      </c>
      <c r="F40" s="302">
        <v>2769873</v>
      </c>
    </row>
    <row r="41" spans="1:8">
      <c r="A41" s="32">
        <v>18</v>
      </c>
      <c r="B41" s="33" t="s">
        <v>71</v>
      </c>
      <c r="C41" s="302">
        <v>4752324</v>
      </c>
      <c r="D41" s="30">
        <v>44</v>
      </c>
      <c r="E41" s="31" t="s">
        <v>72</v>
      </c>
      <c r="F41" s="302">
        <v>592163</v>
      </c>
    </row>
    <row r="42" spans="1:8">
      <c r="A42" s="32">
        <v>19</v>
      </c>
      <c r="B42" s="33" t="s">
        <v>73</v>
      </c>
      <c r="C42" s="306">
        <v>0</v>
      </c>
      <c r="D42" s="30">
        <v>45</v>
      </c>
      <c r="E42" s="31" t="s">
        <v>74</v>
      </c>
      <c r="F42" s="302">
        <v>0</v>
      </c>
    </row>
    <row r="43" spans="1:8">
      <c r="A43" s="32">
        <v>20</v>
      </c>
      <c r="B43" s="33" t="s">
        <v>75</v>
      </c>
      <c r="C43" s="302">
        <v>571797</v>
      </c>
      <c r="D43" s="30">
        <v>46</v>
      </c>
      <c r="E43" s="31" t="s">
        <v>76</v>
      </c>
      <c r="F43" s="302">
        <v>0</v>
      </c>
    </row>
    <row r="44" spans="1:8" ht="13.8" thickBot="1">
      <c r="A44" s="34">
        <v>21</v>
      </c>
      <c r="B44" s="33" t="s">
        <v>77</v>
      </c>
      <c r="C44" s="302">
        <v>5384775</v>
      </c>
      <c r="D44" s="30">
        <v>47</v>
      </c>
      <c r="E44" s="31" t="s">
        <v>78</v>
      </c>
      <c r="F44" s="304">
        <v>2858160</v>
      </c>
    </row>
    <row r="45" spans="1:8" ht="13.8" thickBot="1">
      <c r="A45" s="34">
        <v>22</v>
      </c>
      <c r="B45" s="33" t="s">
        <v>79</v>
      </c>
      <c r="C45" s="479">
        <v>0</v>
      </c>
      <c r="D45" s="30">
        <v>48</v>
      </c>
      <c r="E45" s="55" t="s">
        <v>80</v>
      </c>
      <c r="F45" s="56">
        <f>+F44+F43+F42+F41+F40+F38+F36</f>
        <v>21829020</v>
      </c>
    </row>
    <row r="46" spans="1:8" ht="13.8" thickBot="1">
      <c r="A46" s="34">
        <v>23</v>
      </c>
      <c r="B46" s="57" t="s">
        <v>81</v>
      </c>
      <c r="C46" s="56">
        <f>+C33+C35+C36-C38+C40+C42+C43+C44+C45+C41</f>
        <v>61653009</v>
      </c>
      <c r="D46" s="18"/>
      <c r="E46" s="58" t="s">
        <v>82</v>
      </c>
      <c r="F46" s="120"/>
    </row>
    <row r="47" spans="1:8" ht="15">
      <c r="A47" s="24"/>
      <c r="B47" s="51" t="s">
        <v>83</v>
      </c>
      <c r="C47" s="54"/>
      <c r="D47" s="26">
        <v>49</v>
      </c>
      <c r="E47" s="27" t="s">
        <v>84</v>
      </c>
      <c r="F47" s="119"/>
    </row>
    <row r="48" spans="1:8">
      <c r="A48" s="30">
        <v>24</v>
      </c>
      <c r="B48" s="52" t="s">
        <v>85</v>
      </c>
      <c r="C48" s="126">
        <v>0</v>
      </c>
      <c r="D48" s="30"/>
      <c r="E48" s="60" t="s">
        <v>86</v>
      </c>
      <c r="F48" s="481">
        <v>0</v>
      </c>
    </row>
    <row r="49" spans="1:6" ht="15">
      <c r="A49" s="26">
        <v>25</v>
      </c>
      <c r="B49" s="24" t="s">
        <v>87</v>
      </c>
      <c r="C49" s="54"/>
      <c r="D49" s="26">
        <v>50</v>
      </c>
      <c r="E49" s="27" t="s">
        <v>88</v>
      </c>
      <c r="F49" s="119"/>
    </row>
    <row r="50" spans="1:6">
      <c r="A50" s="52"/>
      <c r="B50" s="28" t="s">
        <v>89</v>
      </c>
      <c r="C50" s="302">
        <v>12236640</v>
      </c>
      <c r="D50" s="30"/>
      <c r="E50" s="38" t="s">
        <v>90</v>
      </c>
      <c r="F50" s="302">
        <v>3620294</v>
      </c>
    </row>
    <row r="51" spans="1:6" ht="15">
      <c r="A51" s="26">
        <v>26</v>
      </c>
      <c r="B51" s="24" t="s">
        <v>91</v>
      </c>
      <c r="C51" s="54"/>
      <c r="D51" s="26"/>
      <c r="E51" s="27"/>
      <c r="F51" s="119"/>
    </row>
    <row r="52" spans="1:6" ht="15">
      <c r="A52" s="19"/>
      <c r="B52" s="36" t="s">
        <v>92</v>
      </c>
      <c r="C52" s="54"/>
      <c r="D52" s="26">
        <v>51</v>
      </c>
      <c r="E52" s="27" t="s">
        <v>93</v>
      </c>
      <c r="F52" s="119"/>
    </row>
    <row r="53" spans="1:6" ht="13.8" thickBot="1">
      <c r="A53" s="16"/>
      <c r="B53" s="28" t="s">
        <v>94</v>
      </c>
      <c r="C53" s="480">
        <v>9342972</v>
      </c>
      <c r="D53" s="30"/>
      <c r="E53" s="60" t="s">
        <v>95</v>
      </c>
      <c r="F53" s="482">
        <v>0</v>
      </c>
    </row>
    <row r="54" spans="1:6" ht="13.8" thickBot="1">
      <c r="A54" s="32">
        <v>27</v>
      </c>
      <c r="B54" s="57" t="s">
        <v>96</v>
      </c>
      <c r="C54" s="56">
        <f>C48+C50+C53</f>
        <v>21579612</v>
      </c>
      <c r="D54" s="18">
        <v>52</v>
      </c>
      <c r="E54" s="55" t="s">
        <v>97</v>
      </c>
      <c r="F54" s="56">
        <f>+F53+F50+F48</f>
        <v>3620294</v>
      </c>
    </row>
    <row r="55" spans="1:6" ht="13.8" thickBot="1">
      <c r="A55" s="19"/>
      <c r="B55" s="61"/>
      <c r="C55" s="62"/>
      <c r="D55" s="26"/>
      <c r="E55" s="27"/>
      <c r="F55" s="119"/>
    </row>
    <row r="56" spans="1:6" ht="13.8" thickBot="1">
      <c r="A56" s="63">
        <v>28</v>
      </c>
      <c r="B56" s="64" t="s">
        <v>98</v>
      </c>
      <c r="C56" s="65">
        <f>+C54+C46+C21+C22+C30</f>
        <v>302312584</v>
      </c>
      <c r="D56" s="66">
        <v>53</v>
      </c>
      <c r="E56" s="67" t="s">
        <v>99</v>
      </c>
      <c r="F56" s="65">
        <f>+F54+F45+F28+F16+F33</f>
        <v>302312584</v>
      </c>
    </row>
    <row r="57" spans="1:6" ht="15">
      <c r="A57" s="68"/>
      <c r="B57" s="68"/>
      <c r="C57" s="69"/>
      <c r="D57" s="70"/>
      <c r="E57" s="70"/>
      <c r="F57" s="121"/>
    </row>
    <row r="58" spans="1:6" ht="15">
      <c r="A58" s="68"/>
      <c r="B58" s="70"/>
      <c r="C58" s="69"/>
      <c r="D58" s="70"/>
      <c r="E58" s="70"/>
      <c r="F58" s="238">
        <f>ROUND(+C56-F56,0)</f>
        <v>0</v>
      </c>
    </row>
    <row r="59" spans="1:6">
      <c r="A59" s="68"/>
      <c r="B59" s="227" t="s">
        <v>384</v>
      </c>
      <c r="C59" s="71"/>
      <c r="D59" s="70"/>
      <c r="E59" s="70"/>
      <c r="F59" s="122"/>
    </row>
    <row r="60" spans="1:6">
      <c r="A60" s="68"/>
      <c r="B60" s="227" t="s">
        <v>385</v>
      </c>
      <c r="C60" s="72"/>
      <c r="D60" s="68"/>
      <c r="E60" s="68"/>
      <c r="F60" s="123"/>
    </row>
    <row r="61" spans="1:6">
      <c r="A61" s="68"/>
      <c r="B61" s="68"/>
      <c r="C61" s="72"/>
      <c r="D61" s="68"/>
      <c r="E61" s="68"/>
      <c r="F61" s="123"/>
    </row>
    <row r="62" spans="1:6">
      <c r="A62" s="68"/>
      <c r="B62" s="68"/>
      <c r="C62" s="72"/>
      <c r="D62" s="68"/>
      <c r="E62" s="68"/>
      <c r="F62" s="124"/>
    </row>
    <row r="63" spans="1:6">
      <c r="A63" s="68"/>
      <c r="B63" s="68"/>
      <c r="C63" s="72"/>
      <c r="D63" s="68"/>
      <c r="E63" s="68"/>
      <c r="F63" s="124"/>
    </row>
    <row r="64" spans="1:6">
      <c r="A64" s="68"/>
      <c r="B64" s="68"/>
      <c r="C64" s="72"/>
      <c r="D64" s="68"/>
      <c r="E64" s="68"/>
      <c r="F64" s="108"/>
    </row>
    <row r="65" spans="1:6">
      <c r="A65" s="68"/>
      <c r="B65" s="68"/>
      <c r="C65" s="72"/>
      <c r="D65" s="68"/>
      <c r="E65" s="68"/>
      <c r="F65" s="125"/>
    </row>
    <row r="66" spans="1:6">
      <c r="A66" s="68"/>
      <c r="B66" s="68"/>
      <c r="C66" s="72"/>
      <c r="D66" s="68"/>
      <c r="E66" s="68"/>
      <c r="F66" s="108"/>
    </row>
    <row r="67" spans="1:6">
      <c r="A67" s="68"/>
      <c r="B67" s="68"/>
      <c r="C67" s="72"/>
      <c r="D67" s="68"/>
      <c r="E67" s="68"/>
      <c r="F67" s="108"/>
    </row>
    <row r="68" spans="1:6">
      <c r="A68" s="68"/>
      <c r="B68" s="68"/>
      <c r="C68" s="72"/>
      <c r="D68" s="68"/>
      <c r="E68" s="68"/>
      <c r="F68" s="108"/>
    </row>
    <row r="69" spans="1:6">
      <c r="A69" s="68"/>
      <c r="B69" s="68"/>
      <c r="C69" s="68"/>
      <c r="D69" s="68"/>
      <c r="E69" s="68"/>
      <c r="F69" s="108"/>
    </row>
    <row r="70" spans="1:6">
      <c r="A70" s="68"/>
      <c r="B70" s="68"/>
      <c r="C70" s="68"/>
      <c r="D70" s="68"/>
      <c r="E70" s="68"/>
      <c r="F70" s="108"/>
    </row>
    <row r="71" spans="1:6">
      <c r="A71" s="68"/>
      <c r="B71" s="68"/>
      <c r="C71" s="68"/>
      <c r="D71" s="68"/>
      <c r="E71" s="68"/>
      <c r="F71" s="108"/>
    </row>
    <row r="72" spans="1:6">
      <c r="A72" s="68"/>
      <c r="B72" s="68"/>
      <c r="C72" s="68"/>
      <c r="D72" s="68"/>
      <c r="E72" s="68"/>
      <c r="F72" s="108"/>
    </row>
    <row r="73" spans="1:6">
      <c r="A73" s="68"/>
      <c r="B73" s="68"/>
      <c r="C73" s="68"/>
      <c r="D73" s="68"/>
      <c r="E73" s="68"/>
      <c r="F73" s="108"/>
    </row>
    <row r="74" spans="1:6">
      <c r="A74" s="68"/>
      <c r="B74" s="68"/>
      <c r="C74" s="68"/>
      <c r="D74" s="68"/>
      <c r="E74" s="68"/>
      <c r="F74" s="108"/>
    </row>
    <row r="75" spans="1:6">
      <c r="A75" s="68"/>
      <c r="B75" s="68"/>
      <c r="C75" s="68"/>
      <c r="D75" s="68"/>
      <c r="E75" s="68"/>
      <c r="F75" s="108"/>
    </row>
    <row r="76" spans="1:6">
      <c r="A76" s="68"/>
      <c r="B76" s="68"/>
      <c r="C76" s="68"/>
      <c r="D76" s="68"/>
      <c r="E76" s="68"/>
      <c r="F76" s="108"/>
    </row>
  </sheetData>
  <mergeCells count="5">
    <mergeCell ref="A1:F1"/>
    <mergeCell ref="A2:F2"/>
    <mergeCell ref="A3:F3"/>
    <mergeCell ref="A4:F4"/>
    <mergeCell ref="A6:F6"/>
  </mergeCells>
  <pageMargins left="0.5" right="0.2" top="0.75" bottom="0.5" header="0.5" footer="0.5"/>
  <pageSetup scale="84" orientation="portrait" r:id="rId1"/>
  <headerFooter alignWithMargins="0">
    <oddHeader>&amp;L&amp;"Arial MT,Bold"Rochester Public Utilities
2016 Work Papers&amp;R&amp;"Arial MT,Bold"Exhibit RPU-8
Page 1 of 19</oddHeader>
  </headerFooter>
  <ignoredErrors>
    <ignoredError sqref="E48 E5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47"/>
  <sheetViews>
    <sheetView zoomScale="90" zoomScaleNormal="90" workbookViewId="0">
      <selection sqref="A1:C1"/>
    </sheetView>
  </sheetViews>
  <sheetFormatPr defaultColWidth="8.90625" defaultRowHeight="13.2"/>
  <cols>
    <col min="1" max="1" width="5.1796875" style="12" customWidth="1"/>
    <col min="2" max="2" width="60" style="12" customWidth="1"/>
    <col min="3" max="3" width="13" style="12" customWidth="1"/>
    <col min="4" max="4" width="10.90625" style="12" customWidth="1"/>
    <col min="5" max="5" width="16.90625" style="12" customWidth="1"/>
    <col min="6" max="6" width="10.81640625" style="12" bestFit="1" customWidth="1"/>
    <col min="7" max="7" width="3.6328125" style="12" customWidth="1"/>
    <col min="8" max="8" width="10.81640625" style="12" bestFit="1" customWidth="1"/>
    <col min="9" max="9" width="9" style="12" bestFit="1" customWidth="1"/>
    <col min="10" max="16384" width="8.90625" style="12"/>
  </cols>
  <sheetData>
    <row r="1" spans="1:9" s="11" customFormat="1" ht="15.6">
      <c r="A1" s="686" t="str">
        <f>Coversheet!B3</f>
        <v>Rochester Public Utilities</v>
      </c>
      <c r="B1" s="686"/>
      <c r="C1" s="686"/>
      <c r="D1" s="73"/>
      <c r="E1" s="73"/>
      <c r="F1" s="73"/>
    </row>
    <row r="2" spans="1:9" s="11" customFormat="1" ht="15">
      <c r="A2" s="687" t="s">
        <v>10</v>
      </c>
      <c r="B2" s="687"/>
      <c r="C2" s="687"/>
      <c r="D2" s="73"/>
      <c r="E2" s="73"/>
      <c r="F2" s="73"/>
    </row>
    <row r="3" spans="1:9" s="11" customFormat="1" ht="15">
      <c r="A3" s="687" t="s">
        <v>100</v>
      </c>
      <c r="B3" s="687"/>
      <c r="C3" s="687"/>
      <c r="D3" s="73"/>
      <c r="E3" s="73"/>
      <c r="F3" s="73"/>
    </row>
    <row r="4" spans="1:9" s="11" customFormat="1" ht="15.6">
      <c r="A4" s="688" t="str">
        <f>'Balance sheet Sched 2'!A4:F4</f>
        <v>True-up Actual for 12 Months Ended December 31, 2016</v>
      </c>
      <c r="B4" s="688"/>
      <c r="C4" s="688"/>
      <c r="D4" s="74"/>
      <c r="E4" s="74"/>
      <c r="F4" s="74"/>
    </row>
    <row r="5" spans="1:9" s="11" customFormat="1" ht="14.4">
      <c r="A5" s="75"/>
      <c r="B5" s="75"/>
      <c r="C5" s="75"/>
      <c r="D5" s="175"/>
      <c r="E5" s="175"/>
      <c r="F5" s="75"/>
    </row>
    <row r="6" spans="1:9" ht="14.4">
      <c r="A6" s="690" t="s">
        <v>101</v>
      </c>
      <c r="B6" s="690"/>
      <c r="C6" s="690"/>
      <c r="D6" s="174"/>
      <c r="E6" s="174"/>
      <c r="F6" s="76"/>
    </row>
    <row r="7" spans="1:9" ht="14.4">
      <c r="A7" s="22" t="s">
        <v>0</v>
      </c>
      <c r="B7" s="77"/>
      <c r="C7" s="78" t="s">
        <v>2</v>
      </c>
      <c r="D7" s="176"/>
      <c r="E7" s="176"/>
    </row>
    <row r="8" spans="1:9" ht="14.4">
      <c r="A8" s="30" t="s">
        <v>1</v>
      </c>
      <c r="B8" s="79"/>
      <c r="C8" s="18" t="s">
        <v>15</v>
      </c>
      <c r="D8" s="176"/>
      <c r="E8" s="176"/>
    </row>
    <row r="9" spans="1:9" ht="14.4">
      <c r="A9" s="30">
        <v>1</v>
      </c>
      <c r="B9" s="79" t="s">
        <v>102</v>
      </c>
      <c r="C9" s="301">
        <v>152486234</v>
      </c>
      <c r="D9" s="176"/>
      <c r="E9" s="176"/>
    </row>
    <row r="10" spans="1:9" ht="14.4">
      <c r="A10" s="30">
        <v>2</v>
      </c>
      <c r="B10" s="79" t="s">
        <v>103</v>
      </c>
      <c r="C10" s="303">
        <f>'Op &amp; Maint Sched 7'!D42</f>
        <v>113615176</v>
      </c>
      <c r="D10" s="176"/>
      <c r="E10" s="176"/>
    </row>
    <row r="11" spans="1:9" ht="14.4">
      <c r="A11" s="30">
        <v>3</v>
      </c>
      <c r="B11" s="79" t="s">
        <v>104</v>
      </c>
      <c r="C11" s="303">
        <f>'Op &amp; Maint Sched 7'!E42</f>
        <v>4940912</v>
      </c>
      <c r="D11" s="176"/>
      <c r="E11" s="176"/>
      <c r="F11" s="142"/>
      <c r="G11" s="142"/>
      <c r="H11" s="142"/>
      <c r="I11" s="142"/>
    </row>
    <row r="12" spans="1:9" ht="14.4">
      <c r="A12" s="34">
        <v>4</v>
      </c>
      <c r="B12" s="81" t="s">
        <v>105</v>
      </c>
      <c r="C12" s="303">
        <v>9392360</v>
      </c>
      <c r="D12" s="176"/>
      <c r="E12" s="247"/>
      <c r="F12" s="142"/>
      <c r="G12" s="142"/>
      <c r="H12" s="142"/>
      <c r="I12" s="142"/>
    </row>
    <row r="13" spans="1:9" ht="14.4">
      <c r="A13" s="30">
        <v>5</v>
      </c>
      <c r="B13" s="79" t="s">
        <v>106</v>
      </c>
      <c r="C13" s="303">
        <v>627885</v>
      </c>
      <c r="D13" s="176"/>
      <c r="E13" s="176"/>
      <c r="F13" s="142"/>
      <c r="G13" s="142"/>
      <c r="H13" s="142"/>
      <c r="I13" s="142"/>
    </row>
    <row r="14" spans="1:9" ht="15" thickBot="1">
      <c r="A14" s="26">
        <v>6</v>
      </c>
      <c r="B14" s="82" t="s">
        <v>107</v>
      </c>
      <c r="C14" s="303">
        <v>9368467</v>
      </c>
      <c r="D14" s="176"/>
      <c r="E14" s="176"/>
      <c r="F14" s="142"/>
      <c r="G14" s="142"/>
      <c r="H14" s="142"/>
      <c r="I14" s="142"/>
    </row>
    <row r="15" spans="1:9" ht="15" thickBot="1">
      <c r="A15" s="84">
        <v>7</v>
      </c>
      <c r="B15" s="85" t="s">
        <v>108</v>
      </c>
      <c r="C15" s="86">
        <f>SUM(C10:C14)</f>
        <v>137944800</v>
      </c>
      <c r="D15" s="176"/>
      <c r="E15" s="176"/>
      <c r="F15" s="142"/>
      <c r="G15" s="142"/>
      <c r="H15" s="142"/>
      <c r="I15" s="142"/>
    </row>
    <row r="16" spans="1:9" ht="15" thickBot="1">
      <c r="A16" s="84">
        <v>8</v>
      </c>
      <c r="B16" s="87" t="s">
        <v>109</v>
      </c>
      <c r="C16" s="86">
        <f>+C9-C15</f>
        <v>14541434</v>
      </c>
      <c r="D16" s="176"/>
      <c r="E16" s="176"/>
      <c r="F16" s="142"/>
      <c r="G16" s="142"/>
      <c r="H16" s="142"/>
      <c r="I16" s="142"/>
    </row>
    <row r="17" spans="1:5" ht="15" thickBot="1">
      <c r="A17" s="26">
        <v>9</v>
      </c>
      <c r="B17" s="82" t="s">
        <v>110</v>
      </c>
      <c r="C17" s="83">
        <v>0</v>
      </c>
      <c r="D17" s="176"/>
      <c r="E17" s="176"/>
    </row>
    <row r="18" spans="1:5" ht="15" thickBot="1">
      <c r="A18" s="88">
        <v>10</v>
      </c>
      <c r="B18" s="89" t="s">
        <v>111</v>
      </c>
      <c r="C18" s="86">
        <f>+C17+C16</f>
        <v>14541434</v>
      </c>
      <c r="D18" s="176"/>
      <c r="E18" s="176"/>
    </row>
    <row r="19" spans="1:5" ht="14.4">
      <c r="A19" s="30">
        <v>11</v>
      </c>
      <c r="B19" s="79" t="s">
        <v>112</v>
      </c>
      <c r="C19" s="303">
        <v>4467873</v>
      </c>
      <c r="D19" s="176"/>
      <c r="E19" s="176"/>
    </row>
    <row r="20" spans="1:5" ht="14.4">
      <c r="A20" s="30">
        <v>12</v>
      </c>
      <c r="B20" s="79" t="s">
        <v>113</v>
      </c>
      <c r="C20" s="303">
        <v>503986</v>
      </c>
      <c r="D20" s="176"/>
      <c r="E20" s="176"/>
    </row>
    <row r="21" spans="1:5" ht="14.4">
      <c r="A21" s="30">
        <v>13</v>
      </c>
      <c r="B21" s="79" t="s">
        <v>114</v>
      </c>
      <c r="C21" s="303"/>
      <c r="D21" s="176"/>
      <c r="E21" s="176"/>
    </row>
    <row r="22" spans="1:5" ht="15" thickBot="1">
      <c r="A22" s="26">
        <v>14</v>
      </c>
      <c r="B22" s="82" t="s">
        <v>115</v>
      </c>
      <c r="C22" s="305">
        <v>0</v>
      </c>
      <c r="D22" s="176"/>
      <c r="E22" s="176"/>
    </row>
    <row r="23" spans="1:5" ht="15" thickBot="1">
      <c r="A23" s="84">
        <v>15</v>
      </c>
      <c r="B23" s="85" t="s">
        <v>116</v>
      </c>
      <c r="C23" s="86">
        <f>+C18+C19-C20-C21-C22</f>
        <v>18505321</v>
      </c>
      <c r="D23" s="176"/>
      <c r="E23" s="176"/>
    </row>
    <row r="24" spans="1:5" ht="14.4">
      <c r="A24" s="30">
        <v>16</v>
      </c>
      <c r="B24" s="79" t="s">
        <v>117</v>
      </c>
      <c r="C24" s="303">
        <v>4708796</v>
      </c>
      <c r="D24" s="176"/>
      <c r="E24" s="176"/>
    </row>
    <row r="25" spans="1:5" ht="14.4">
      <c r="A25" s="30">
        <v>17</v>
      </c>
      <c r="B25" s="79" t="s">
        <v>118</v>
      </c>
      <c r="C25" s="303">
        <v>-839375</v>
      </c>
      <c r="D25" s="176"/>
      <c r="E25" s="176"/>
    </row>
    <row r="26" spans="1:5" ht="15" thickBot="1">
      <c r="A26" s="26">
        <v>18</v>
      </c>
      <c r="B26" s="82" t="s">
        <v>119</v>
      </c>
      <c r="C26" s="303">
        <v>-578638</v>
      </c>
      <c r="D26" s="176"/>
      <c r="E26" s="176"/>
    </row>
    <row r="27" spans="1:5" ht="15" thickBot="1">
      <c r="A27" s="84">
        <v>19</v>
      </c>
      <c r="B27" s="85" t="s">
        <v>120</v>
      </c>
      <c r="C27" s="86">
        <f>SUM(C24:C26)</f>
        <v>3290783</v>
      </c>
      <c r="D27" s="176"/>
      <c r="E27" s="176"/>
    </row>
    <row r="28" spans="1:5" ht="15" thickBot="1">
      <c r="A28" s="84">
        <v>20</v>
      </c>
      <c r="B28" s="85" t="s">
        <v>121</v>
      </c>
      <c r="C28" s="86">
        <f>+C23-C27</f>
        <v>15214538</v>
      </c>
      <c r="D28" s="176"/>
      <c r="E28" s="176"/>
    </row>
    <row r="29" spans="1:5" ht="14.4">
      <c r="A29" s="30">
        <v>21</v>
      </c>
      <c r="B29" s="79" t="s">
        <v>122</v>
      </c>
      <c r="C29" s="80"/>
      <c r="D29" s="176"/>
      <c r="E29" s="177"/>
    </row>
    <row r="30" spans="1:5" ht="15" thickBot="1">
      <c r="A30" s="26">
        <v>22</v>
      </c>
      <c r="B30" s="82" t="s">
        <v>123</v>
      </c>
      <c r="C30" s="80">
        <v>2262</v>
      </c>
      <c r="D30" s="176"/>
      <c r="E30" s="176"/>
    </row>
    <row r="31" spans="1:5" ht="15" thickBot="1">
      <c r="A31" s="84">
        <v>23</v>
      </c>
      <c r="B31" s="87" t="s">
        <v>124</v>
      </c>
      <c r="C31" s="90">
        <f>SUM(C28:C30)</f>
        <v>15216800</v>
      </c>
      <c r="D31" s="606"/>
      <c r="E31" s="176"/>
    </row>
    <row r="32" spans="1:5" ht="14.4">
      <c r="A32" s="68"/>
      <c r="B32" s="68"/>
      <c r="C32" s="72"/>
      <c r="D32" s="176"/>
      <c r="E32" s="176"/>
    </row>
    <row r="33" spans="1:5" ht="14.4">
      <c r="A33" s="227" t="s">
        <v>386</v>
      </c>
      <c r="B33" s="178"/>
      <c r="C33" s="179"/>
      <c r="D33" s="178"/>
      <c r="E33" s="176"/>
    </row>
    <row r="34" spans="1:5">
      <c r="A34" s="227" t="s">
        <v>387</v>
      </c>
      <c r="C34" s="72"/>
      <c r="D34" s="68"/>
    </row>
    <row r="35" spans="1:5">
      <c r="A35" s="68"/>
      <c r="C35" s="72"/>
      <c r="D35" s="68"/>
    </row>
    <row r="36" spans="1:5">
      <c r="A36" s="68"/>
      <c r="B36" s="68"/>
      <c r="C36" s="72"/>
      <c r="D36" s="68"/>
    </row>
    <row r="37" spans="1:5">
      <c r="A37" s="68"/>
      <c r="B37" s="68"/>
      <c r="C37" s="72"/>
      <c r="D37" s="68"/>
    </row>
    <row r="38" spans="1:5">
      <c r="C38" s="91"/>
    </row>
    <row r="39" spans="1:5">
      <c r="C39" s="91"/>
    </row>
    <row r="40" spans="1:5">
      <c r="C40" s="91"/>
    </row>
    <row r="41" spans="1:5">
      <c r="C41" s="91"/>
    </row>
    <row r="42" spans="1:5">
      <c r="C42" s="91"/>
    </row>
    <row r="43" spans="1:5">
      <c r="C43" s="91"/>
    </row>
    <row r="44" spans="1:5">
      <c r="C44" s="91"/>
    </row>
    <row r="45" spans="1:5">
      <c r="C45" s="91"/>
    </row>
    <row r="46" spans="1:5">
      <c r="C46" s="91"/>
    </row>
    <row r="47" spans="1:5">
      <c r="C47" s="91"/>
    </row>
  </sheetData>
  <mergeCells count="5">
    <mergeCell ref="A1:C1"/>
    <mergeCell ref="A2:C2"/>
    <mergeCell ref="A3:C3"/>
    <mergeCell ref="A4:C4"/>
    <mergeCell ref="A6:C6"/>
  </mergeCells>
  <pageMargins left="0.25" right="0.25" top="0.75" bottom="0.5" header="0.5" footer="0.5"/>
  <pageSetup orientation="landscape" r:id="rId1"/>
  <headerFooter alignWithMargins="0">
    <oddHeader>&amp;L&amp;"Arial MT,Bold"Rochester Public Utilities
2016 Work Papers&amp;R&amp;"Arial MT,Bold"Exhibit RPU-8
Page 2 of 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32"/>
  <sheetViews>
    <sheetView topLeftCell="A7" zoomScale="90" zoomScaleNormal="90" workbookViewId="0">
      <selection activeCell="M27" sqref="M27"/>
    </sheetView>
  </sheetViews>
  <sheetFormatPr defaultColWidth="8.90625" defaultRowHeight="13.8"/>
  <cols>
    <col min="1" max="1" width="5.1796875" style="144" customWidth="1"/>
    <col min="2" max="2" width="24.81640625" style="144" customWidth="1"/>
    <col min="3" max="7" width="12.1796875" style="144" customWidth="1"/>
    <col min="8" max="8" width="0.81640625" style="144" customWidth="1"/>
    <col min="9" max="9" width="12.81640625" style="144" customWidth="1"/>
    <col min="10" max="10" width="0.81640625" style="144" customWidth="1"/>
    <col min="11" max="11" width="13.453125" style="144" customWidth="1"/>
    <col min="12" max="12" width="0.81640625" style="144" customWidth="1"/>
    <col min="13" max="13" width="11.6328125" style="144" bestFit="1" customWidth="1"/>
    <col min="14" max="14" width="10.36328125" style="144" bestFit="1" customWidth="1"/>
    <col min="15" max="16" width="11.54296875" style="144" bestFit="1" customWidth="1"/>
    <col min="17" max="17" width="10.81640625" style="144" bestFit="1" customWidth="1"/>
    <col min="18" max="16384" width="8.90625" style="144"/>
  </cols>
  <sheetData>
    <row r="1" spans="1:12" ht="15.6">
      <c r="A1" s="692" t="str">
        <f>Coversheet!B3</f>
        <v>Rochester Public Utilities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</row>
    <row r="2" spans="1:12" ht="15.6">
      <c r="A2" s="693" t="s">
        <v>10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</row>
    <row r="3" spans="1:12" ht="15.6">
      <c r="A3" s="693" t="s">
        <v>125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</row>
    <row r="4" spans="1:12" ht="15.6">
      <c r="A4" s="694" t="str">
        <f>'Income Sched 3'!A4:C4</f>
        <v>True-up Actual for 12 Months Ended December 31, 2016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</row>
    <row r="5" spans="1:12">
      <c r="A5" s="145"/>
      <c r="B5" s="145"/>
      <c r="C5" s="145"/>
    </row>
    <row r="6" spans="1:12" ht="14.4">
      <c r="A6" s="691" t="s">
        <v>18</v>
      </c>
      <c r="B6" s="691"/>
      <c r="C6" s="691"/>
      <c r="D6" s="691"/>
      <c r="E6" s="691"/>
      <c r="F6" s="691"/>
      <c r="G6" s="691"/>
    </row>
    <row r="7" spans="1:12">
      <c r="A7" s="146" t="s">
        <v>0</v>
      </c>
      <c r="B7" s="147"/>
      <c r="C7" s="147" t="s">
        <v>126</v>
      </c>
      <c r="D7" s="147"/>
      <c r="E7" s="147"/>
      <c r="F7" s="147"/>
      <c r="G7" s="147" t="s">
        <v>127</v>
      </c>
      <c r="I7" s="146" t="s">
        <v>128</v>
      </c>
      <c r="K7" s="146" t="s">
        <v>625</v>
      </c>
    </row>
    <row r="8" spans="1:12">
      <c r="A8" s="148" t="s">
        <v>1</v>
      </c>
      <c r="B8" s="149"/>
      <c r="C8" s="149" t="s">
        <v>129</v>
      </c>
      <c r="D8" s="149" t="s">
        <v>130</v>
      </c>
      <c r="E8" s="149" t="s">
        <v>131</v>
      </c>
      <c r="F8" s="149" t="s">
        <v>132</v>
      </c>
      <c r="G8" s="149" t="s">
        <v>129</v>
      </c>
      <c r="I8" s="150" t="s">
        <v>133</v>
      </c>
      <c r="K8" s="150" t="s">
        <v>134</v>
      </c>
    </row>
    <row r="9" spans="1:12" ht="20.100000000000001" customHeight="1">
      <c r="A9" s="151">
        <v>1</v>
      </c>
      <c r="B9" s="152" t="s">
        <v>135</v>
      </c>
      <c r="C9" s="293">
        <v>0</v>
      </c>
      <c r="D9" s="153">
        <v>0</v>
      </c>
      <c r="E9" s="153">
        <v>0</v>
      </c>
      <c r="F9" s="153">
        <v>0</v>
      </c>
      <c r="G9" s="154">
        <f>+C9+D9-E9+F9</f>
        <v>0</v>
      </c>
      <c r="I9" s="297">
        <v>0</v>
      </c>
      <c r="K9" s="297">
        <v>0</v>
      </c>
    </row>
    <row r="10" spans="1:12" ht="12.75" customHeight="1">
      <c r="A10" s="151"/>
      <c r="B10" s="152"/>
      <c r="C10" s="294"/>
      <c r="D10" s="155"/>
      <c r="E10" s="155"/>
      <c r="F10" s="155"/>
      <c r="G10" s="154"/>
      <c r="I10" s="298"/>
      <c r="K10" s="298"/>
    </row>
    <row r="11" spans="1:12" ht="20.100000000000001" customHeight="1">
      <c r="A11" s="151">
        <v>2</v>
      </c>
      <c r="B11" s="152" t="s">
        <v>136</v>
      </c>
      <c r="C11" s="295">
        <v>71873346</v>
      </c>
      <c r="D11" s="295">
        <v>-4613</v>
      </c>
      <c r="E11" s="295">
        <v>0</v>
      </c>
      <c r="F11" s="295">
        <v>-8930</v>
      </c>
      <c r="G11" s="156">
        <f>+C11+D11-E11+F11</f>
        <v>71859803</v>
      </c>
      <c r="I11" s="319">
        <v>67838797</v>
      </c>
      <c r="J11" s="320"/>
      <c r="K11" s="319">
        <v>209307</v>
      </c>
    </row>
    <row r="12" spans="1:12" ht="20.100000000000001" customHeight="1">
      <c r="A12" s="151">
        <v>3</v>
      </c>
      <c r="B12" s="152" t="s">
        <v>137</v>
      </c>
      <c r="C12" s="295">
        <v>0</v>
      </c>
      <c r="D12" s="295">
        <v>0</v>
      </c>
      <c r="E12" s="295">
        <v>0</v>
      </c>
      <c r="F12" s="295">
        <v>0</v>
      </c>
      <c r="G12" s="156">
        <f>+C12+D12-E12+F12</f>
        <v>0</v>
      </c>
      <c r="H12" s="158"/>
      <c r="I12" s="319">
        <v>0</v>
      </c>
      <c r="J12" s="321"/>
      <c r="K12" s="319">
        <v>0</v>
      </c>
      <c r="L12" s="158"/>
    </row>
    <row r="13" spans="1:12" ht="20.100000000000001" customHeight="1">
      <c r="A13" s="151">
        <v>4</v>
      </c>
      <c r="B13" s="152" t="s">
        <v>138</v>
      </c>
      <c r="C13" s="295">
        <v>3632008</v>
      </c>
      <c r="D13" s="295">
        <v>0</v>
      </c>
      <c r="E13" s="295">
        <v>0</v>
      </c>
      <c r="F13" s="295">
        <v>0</v>
      </c>
      <c r="G13" s="156">
        <f>+C13+D13-E13+F13</f>
        <v>3632008</v>
      </c>
      <c r="H13" s="158"/>
      <c r="I13" s="319">
        <v>2683843</v>
      </c>
      <c r="J13" s="321"/>
      <c r="K13" s="319">
        <v>28061</v>
      </c>
      <c r="L13" s="158"/>
    </row>
    <row r="14" spans="1:12" ht="20.100000000000001" customHeight="1" thickBot="1">
      <c r="A14" s="151">
        <v>5</v>
      </c>
      <c r="B14" s="152" t="s">
        <v>139</v>
      </c>
      <c r="C14" s="295">
        <v>33773759</v>
      </c>
      <c r="D14" s="295">
        <v>0</v>
      </c>
      <c r="E14" s="295">
        <v>0</v>
      </c>
      <c r="F14" s="295">
        <v>0</v>
      </c>
      <c r="G14" s="156">
        <f>+C14+D14-E14+F14</f>
        <v>33773759</v>
      </c>
      <c r="H14" s="158"/>
      <c r="I14" s="319">
        <v>17062068</v>
      </c>
      <c r="J14" s="321"/>
      <c r="K14" s="319">
        <v>995219</v>
      </c>
      <c r="L14" s="158"/>
    </row>
    <row r="15" spans="1:12" ht="20.100000000000001" customHeight="1" thickBot="1">
      <c r="A15" s="151">
        <v>6</v>
      </c>
      <c r="B15" s="162" t="s">
        <v>140</v>
      </c>
      <c r="C15" s="163">
        <f>SUM(C11:C14)</f>
        <v>109279113</v>
      </c>
      <c r="D15" s="164">
        <f>SUM(D11:D14)</f>
        <v>-4613</v>
      </c>
      <c r="E15" s="164">
        <f>SUM(E11:E14)</f>
        <v>0</v>
      </c>
      <c r="F15" s="164">
        <f>SUM(F11:F14)</f>
        <v>-8930</v>
      </c>
      <c r="G15" s="165">
        <f>+C15+D15-E15+F15</f>
        <v>109265570</v>
      </c>
      <c r="H15" s="158"/>
      <c r="I15" s="166">
        <f>SUM(I11:I14)</f>
        <v>87584708</v>
      </c>
      <c r="J15" s="158"/>
      <c r="K15" s="163">
        <f>SUM(K11:K14)</f>
        <v>1232587</v>
      </c>
      <c r="L15" s="158"/>
    </row>
    <row r="16" spans="1:12" ht="12" customHeight="1">
      <c r="A16" s="151"/>
      <c r="B16" s="167"/>
      <c r="C16" s="168"/>
      <c r="D16" s="168"/>
      <c r="E16" s="168"/>
      <c r="F16" s="168"/>
      <c r="G16" s="168"/>
      <c r="H16" s="158"/>
      <c r="I16" s="169"/>
      <c r="J16" s="158"/>
      <c r="K16" s="181"/>
      <c r="L16" s="158"/>
    </row>
    <row r="17" spans="1:17" ht="20.100000000000001" customHeight="1">
      <c r="A17" s="151">
        <v>7</v>
      </c>
      <c r="B17" s="152" t="s">
        <v>141</v>
      </c>
      <c r="C17" s="295">
        <v>39465729</v>
      </c>
      <c r="D17" s="295">
        <v>5593068</v>
      </c>
      <c r="E17" s="295">
        <v>0</v>
      </c>
      <c r="F17" s="295">
        <v>24773282</v>
      </c>
      <c r="G17" s="156">
        <f t="shared" ref="G17:G19" si="0">+C17+D17-E17+F17</f>
        <v>69832079</v>
      </c>
      <c r="H17" s="158"/>
      <c r="I17" s="159">
        <f>ROUND(Plant!J36,0)</f>
        <v>13482423</v>
      </c>
      <c r="J17" s="158"/>
      <c r="K17" s="319">
        <v>1239399</v>
      </c>
      <c r="L17" s="158"/>
    </row>
    <row r="18" spans="1:17" ht="20.100000000000001" customHeight="1">
      <c r="A18" s="151">
        <v>8</v>
      </c>
      <c r="B18" s="152" t="s">
        <v>142</v>
      </c>
      <c r="C18" s="295">
        <v>138840766</v>
      </c>
      <c r="D18" s="295">
        <v>3777302</v>
      </c>
      <c r="E18" s="295">
        <v>915509</v>
      </c>
      <c r="F18" s="295">
        <v>3361127</v>
      </c>
      <c r="G18" s="156">
        <f t="shared" si="0"/>
        <v>145063686</v>
      </c>
      <c r="H18" s="158">
        <v>0</v>
      </c>
      <c r="I18" s="159">
        <f>ROUND(Plant!K36,0)</f>
        <v>67840370</v>
      </c>
      <c r="J18" s="158">
        <v>0</v>
      </c>
      <c r="K18" s="319">
        <v>4068275</v>
      </c>
      <c r="L18" s="158"/>
      <c r="O18" s="143"/>
      <c r="P18" s="143"/>
      <c r="Q18" s="143"/>
    </row>
    <row r="19" spans="1:17" ht="20.100000000000001" customHeight="1" thickBot="1">
      <c r="A19" s="151">
        <v>9</v>
      </c>
      <c r="B19" s="152" t="s">
        <v>143</v>
      </c>
      <c r="C19" s="295">
        <v>45431426</v>
      </c>
      <c r="D19" s="295">
        <v>1467664</v>
      </c>
      <c r="E19" s="295">
        <v>0</v>
      </c>
      <c r="F19" s="295">
        <v>2536689</v>
      </c>
      <c r="G19" s="156">
        <f t="shared" si="0"/>
        <v>49435779</v>
      </c>
      <c r="H19" s="158"/>
      <c r="I19" s="161">
        <f>ROUND(Plant!L36,0)</f>
        <v>29910296</v>
      </c>
      <c r="J19" s="158"/>
      <c r="K19" s="319">
        <v>2557541</v>
      </c>
      <c r="L19" s="158"/>
    </row>
    <row r="20" spans="1:17" ht="20.100000000000001" customHeight="1" thickBot="1">
      <c r="A20" s="151">
        <v>10</v>
      </c>
      <c r="B20" s="162" t="s">
        <v>144</v>
      </c>
      <c r="C20" s="163">
        <f>SUM(C15:C19)+C9</f>
        <v>333017034</v>
      </c>
      <c r="D20" s="163">
        <f>SUM(D15:D19)+D9</f>
        <v>10833421</v>
      </c>
      <c r="E20" s="163">
        <f>SUM(E15:E19)+E9</f>
        <v>915509</v>
      </c>
      <c r="F20" s="163">
        <f>SUM(F15:F19)+F9</f>
        <v>30662168</v>
      </c>
      <c r="G20" s="165">
        <f>+C20+D20-E20+F20</f>
        <v>373597114</v>
      </c>
      <c r="H20" s="158"/>
      <c r="I20" s="163">
        <f>SUM(I15:I19)+I9</f>
        <v>198817797</v>
      </c>
      <c r="J20" s="158"/>
      <c r="K20" s="163">
        <f>SUM(K15:K19)+K9</f>
        <v>9097802</v>
      </c>
      <c r="L20" s="158"/>
      <c r="N20" s="170"/>
    </row>
    <row r="21" spans="1:17" ht="11.25" customHeight="1">
      <c r="A21" s="151"/>
      <c r="B21" s="167"/>
      <c r="C21" s="168"/>
      <c r="D21" s="168"/>
      <c r="E21" s="168"/>
      <c r="F21" s="168"/>
      <c r="G21" s="168"/>
      <c r="H21" s="158"/>
      <c r="I21" s="171"/>
      <c r="J21" s="158"/>
      <c r="K21" s="182"/>
      <c r="L21" s="158"/>
    </row>
    <row r="22" spans="1:17" ht="20.100000000000001" customHeight="1">
      <c r="A22" s="151">
        <v>11</v>
      </c>
      <c r="B22" s="152" t="s">
        <v>145</v>
      </c>
      <c r="C22" s="295">
        <v>0</v>
      </c>
      <c r="D22" s="295">
        <v>0</v>
      </c>
      <c r="E22" s="295">
        <v>0</v>
      </c>
      <c r="F22" s="295">
        <v>0</v>
      </c>
      <c r="G22" s="157">
        <f>+C22+D22+E22+F22</f>
        <v>0</v>
      </c>
      <c r="H22" s="158"/>
      <c r="I22" s="298">
        <v>0</v>
      </c>
      <c r="J22" s="158"/>
      <c r="K22" s="322">
        <v>0</v>
      </c>
      <c r="L22" s="158"/>
    </row>
    <row r="23" spans="1:17" ht="20.100000000000001" customHeight="1">
      <c r="A23" s="151">
        <v>12</v>
      </c>
      <c r="B23" s="152" t="s">
        <v>146</v>
      </c>
      <c r="C23" s="295">
        <v>0</v>
      </c>
      <c r="D23" s="295">
        <v>0</v>
      </c>
      <c r="E23" s="295">
        <v>0</v>
      </c>
      <c r="F23" s="295">
        <v>0</v>
      </c>
      <c r="G23" s="157">
        <f>+C23+D23+E23+F23</f>
        <v>0</v>
      </c>
      <c r="H23" s="158"/>
      <c r="I23" s="298">
        <v>0</v>
      </c>
      <c r="J23" s="158"/>
      <c r="K23" s="322">
        <v>0</v>
      </c>
      <c r="L23" s="158"/>
    </row>
    <row r="24" spans="1:17" ht="20.100000000000001" customHeight="1" thickBot="1">
      <c r="A24" s="151">
        <v>13</v>
      </c>
      <c r="B24" s="152" t="s">
        <v>147</v>
      </c>
      <c r="C24" s="296">
        <v>0</v>
      </c>
      <c r="D24" s="296">
        <v>0</v>
      </c>
      <c r="E24" s="296">
        <v>0</v>
      </c>
      <c r="F24" s="296">
        <v>0</v>
      </c>
      <c r="G24" s="160">
        <f>+C24+D24+E24+F24</f>
        <v>0</v>
      </c>
      <c r="H24" s="158"/>
      <c r="I24" s="299">
        <v>0</v>
      </c>
      <c r="J24" s="158"/>
      <c r="K24" s="323">
        <v>0</v>
      </c>
      <c r="L24" s="158"/>
    </row>
    <row r="25" spans="1:17" ht="20.100000000000001" customHeight="1" thickBot="1">
      <c r="A25" s="151">
        <v>14</v>
      </c>
      <c r="B25" s="162" t="s">
        <v>20</v>
      </c>
      <c r="C25" s="163">
        <f>SUM(C20:C24)</f>
        <v>333017034</v>
      </c>
      <c r="D25" s="164">
        <f>SUM(D20:D24)</f>
        <v>10833421</v>
      </c>
      <c r="E25" s="164">
        <f>SUM(E20:E24)</f>
        <v>915509</v>
      </c>
      <c r="F25" s="164">
        <f>SUM(F20:F24)</f>
        <v>30662168</v>
      </c>
      <c r="G25" s="165">
        <f>+C25+D25-E25+F25</f>
        <v>373597114</v>
      </c>
      <c r="H25" s="158"/>
      <c r="I25" s="166">
        <f>SUM(I20:I24)</f>
        <v>198817797</v>
      </c>
      <c r="J25" s="158"/>
      <c r="K25" s="163">
        <f>SUM(K20:K24)</f>
        <v>9097802</v>
      </c>
      <c r="L25" s="158"/>
    </row>
    <row r="26" spans="1:17" ht="11.25" customHeight="1" thickBot="1">
      <c r="A26" s="151"/>
      <c r="B26" s="167"/>
      <c r="C26" s="172"/>
      <c r="D26" s="172"/>
      <c r="E26" s="172"/>
      <c r="F26" s="172"/>
      <c r="G26" s="172"/>
      <c r="H26" s="158"/>
      <c r="I26" s="171"/>
      <c r="J26" s="158"/>
      <c r="K26" s="182"/>
      <c r="L26" s="158"/>
      <c r="M26" s="657">
        <f>G25-'Balance sheet Sched 2'!C11</f>
        <v>0</v>
      </c>
    </row>
    <row r="27" spans="1:17" ht="20.100000000000001" customHeight="1" thickBot="1">
      <c r="A27" s="151">
        <v>15</v>
      </c>
      <c r="B27" s="152" t="s">
        <v>148</v>
      </c>
      <c r="C27" s="295">
        <v>33378257</v>
      </c>
      <c r="D27" s="295">
        <v>30997059</v>
      </c>
      <c r="E27" s="295">
        <v>0</v>
      </c>
      <c r="F27" s="295">
        <v>-30662168</v>
      </c>
      <c r="G27" s="165">
        <f>+C27+D27-E27+F27</f>
        <v>33713148</v>
      </c>
      <c r="H27" s="158"/>
      <c r="I27" s="161"/>
      <c r="J27" s="158"/>
      <c r="K27" s="180"/>
      <c r="L27" s="158"/>
      <c r="M27" s="657">
        <f>G27-'Balance sheet Sched 2'!C12</f>
        <v>0</v>
      </c>
    </row>
    <row r="28" spans="1:17" ht="20.100000000000001" customHeight="1" thickBot="1">
      <c r="A28" s="151">
        <v>16</v>
      </c>
      <c r="B28" s="162" t="s">
        <v>149</v>
      </c>
      <c r="C28" s="163">
        <f>SUM(C25:C27)</f>
        <v>366395291</v>
      </c>
      <c r="D28" s="164">
        <f>SUM(D25:D27)</f>
        <v>41830480</v>
      </c>
      <c r="E28" s="164">
        <f>SUM(E25:E27)</f>
        <v>915509</v>
      </c>
      <c r="F28" s="164">
        <f>SUM(F25:F27)</f>
        <v>0</v>
      </c>
      <c r="G28" s="165">
        <f>+C28+D28-E28+F28</f>
        <v>407310262</v>
      </c>
      <c r="H28" s="158"/>
      <c r="I28" s="166">
        <f>SUM(I25:I27)</f>
        <v>198817797</v>
      </c>
      <c r="J28" s="158"/>
      <c r="K28" s="163">
        <f>SUM(K25:K27)</f>
        <v>9097802</v>
      </c>
      <c r="L28" s="158"/>
      <c r="N28" s="170"/>
    </row>
    <row r="29" spans="1:17" ht="20.100000000000001" customHeight="1">
      <c r="G29" s="610"/>
      <c r="I29" s="657">
        <f>I28-'Balance sheet Sched 2'!C15</f>
        <v>0</v>
      </c>
    </row>
    <row r="31" spans="1:17">
      <c r="I31" s="616" t="s">
        <v>627</v>
      </c>
      <c r="K31" s="635">
        <v>294558</v>
      </c>
    </row>
    <row r="32" spans="1:17">
      <c r="I32" s="616" t="s">
        <v>628</v>
      </c>
      <c r="K32" s="617">
        <f>SUM(K28:K31)</f>
        <v>9392360</v>
      </c>
      <c r="M32" s="657">
        <f>K32-'Income Sched 3'!C12</f>
        <v>0</v>
      </c>
    </row>
  </sheetData>
  <mergeCells count="5">
    <mergeCell ref="A6:G6"/>
    <mergeCell ref="A1:K1"/>
    <mergeCell ref="A2:K2"/>
    <mergeCell ref="A3:K3"/>
    <mergeCell ref="A4:K4"/>
  </mergeCells>
  <pageMargins left="0.25" right="0.25" top="0.75" bottom="0.5" header="0.5" footer="0.5"/>
  <pageSetup scale="94" orientation="landscape" r:id="rId1"/>
  <headerFooter alignWithMargins="0">
    <oddHeader>&amp;L&amp;"Arial MT,Bold"Rochester Public Utilities
2016 Work Papers&amp;R&amp;"Arial MT,Bold"Exhibit RPU-8
Page 3 of 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D9"/>
  <sheetViews>
    <sheetView zoomScaleNormal="100" workbookViewId="0">
      <selection activeCell="C8" sqref="C8"/>
    </sheetView>
  </sheetViews>
  <sheetFormatPr defaultColWidth="8.90625" defaultRowHeight="13.2"/>
  <cols>
    <col min="1" max="1" width="4.08984375" style="12" bestFit="1" customWidth="1"/>
    <col min="2" max="2" width="38.6328125" style="12" customWidth="1"/>
    <col min="3" max="3" width="9.453125" style="12" customWidth="1"/>
    <col min="4" max="16384" width="8.90625" style="12"/>
  </cols>
  <sheetData>
    <row r="1" spans="1:4" ht="15.6">
      <c r="A1" s="695" t="str">
        <f>Coversheet!B3</f>
        <v>Rochester Public Utilities</v>
      </c>
      <c r="B1" s="695"/>
      <c r="C1" s="695"/>
      <c r="D1" s="695"/>
    </row>
    <row r="2" spans="1:4" ht="15">
      <c r="A2" s="687" t="s">
        <v>10</v>
      </c>
      <c r="B2" s="687"/>
      <c r="C2" s="687"/>
      <c r="D2" s="687"/>
    </row>
    <row r="3" spans="1:4" ht="15">
      <c r="A3" s="687" t="s">
        <v>181</v>
      </c>
      <c r="B3" s="687"/>
      <c r="C3" s="687"/>
      <c r="D3" s="687"/>
    </row>
    <row r="4" spans="1:4" ht="15.6">
      <c r="A4" s="696" t="str">
        <f>'Balance sheet Sched 2'!A4:F4</f>
        <v>True-up Actual for 12 Months Ended December 31, 2016</v>
      </c>
      <c r="B4" s="696"/>
      <c r="C4" s="696"/>
      <c r="D4" s="696"/>
    </row>
    <row r="5" spans="1:4">
      <c r="A5" s="224"/>
      <c r="B5" s="224"/>
      <c r="C5" s="224"/>
    </row>
    <row r="6" spans="1:4" ht="15.6">
      <c r="A6" s="382" t="s">
        <v>182</v>
      </c>
      <c r="B6" s="383"/>
      <c r="C6" s="383"/>
    </row>
    <row r="7" spans="1:4" ht="15.6">
      <c r="A7" s="384" t="s">
        <v>16</v>
      </c>
      <c r="B7" s="383"/>
      <c r="C7" s="383"/>
    </row>
    <row r="8" spans="1:4" ht="15.6">
      <c r="A8" s="382">
        <v>1</v>
      </c>
      <c r="B8" s="383" t="s">
        <v>183</v>
      </c>
      <c r="C8" s="477">
        <f>ROUND('Taxes other than inc tax'!D11,0)</f>
        <v>8470041</v>
      </c>
    </row>
    <row r="9" spans="1:4" ht="15.6">
      <c r="A9" s="383"/>
      <c r="B9" s="383"/>
      <c r="C9" s="383"/>
    </row>
  </sheetData>
  <mergeCells count="4">
    <mergeCell ref="A1:D1"/>
    <mergeCell ref="A2:D2"/>
    <mergeCell ref="A3:D3"/>
    <mergeCell ref="A4:D4"/>
  </mergeCells>
  <pageMargins left="0.5" right="0.5" top="1" bottom="1" header="0.5" footer="0.5"/>
  <pageSetup orientation="portrait" r:id="rId1"/>
  <headerFooter alignWithMargins="0">
    <oddHeader>&amp;L&amp;"Arial MT,Bold"Rochester Public Utilities
2016 Work Papers&amp;R&amp;"Arial MT,Bold"Exhibit RPU-8
Page 4 of 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44"/>
  <sheetViews>
    <sheetView topLeftCell="A4" zoomScale="90" zoomScaleNormal="90" workbookViewId="0">
      <selection activeCell="G2" sqref="G2"/>
    </sheetView>
  </sheetViews>
  <sheetFormatPr defaultColWidth="8.90625" defaultRowHeight="13.2"/>
  <cols>
    <col min="1" max="1" width="5.1796875" style="12" customWidth="1"/>
    <col min="2" max="2" width="24.54296875" style="12" customWidth="1"/>
    <col min="3" max="3" width="12.1796875" style="12" customWidth="1"/>
    <col min="4" max="4" width="13.08984375" style="12" bestFit="1" customWidth="1"/>
    <col min="5" max="5" width="12.1796875" style="12" customWidth="1"/>
    <col min="6" max="6" width="13.08984375" style="11" bestFit="1" customWidth="1"/>
    <col min="7" max="7" width="8.90625" style="12"/>
    <col min="8" max="8" width="12.453125" style="12" bestFit="1" customWidth="1"/>
    <col min="9" max="9" width="15.6328125" style="12" bestFit="1" customWidth="1"/>
    <col min="10" max="16384" width="8.90625" style="12"/>
  </cols>
  <sheetData>
    <row r="1" spans="1:8" s="11" customFormat="1" ht="15.6">
      <c r="A1" s="686" t="str">
        <f>Coversheet!B3</f>
        <v>Rochester Public Utilities</v>
      </c>
      <c r="B1" s="686"/>
      <c r="C1" s="686"/>
      <c r="D1" s="686"/>
      <c r="E1" s="686"/>
      <c r="F1" s="686"/>
      <c r="G1" s="92"/>
    </row>
    <row r="2" spans="1:8" s="11" customFormat="1" ht="15">
      <c r="A2" s="687" t="s">
        <v>10</v>
      </c>
      <c r="B2" s="687"/>
      <c r="C2" s="687"/>
      <c r="D2" s="687"/>
      <c r="E2" s="687"/>
      <c r="F2" s="687"/>
      <c r="G2" s="92"/>
      <c r="H2" s="93"/>
    </row>
    <row r="3" spans="1:8" s="11" customFormat="1" ht="15">
      <c r="A3" s="687" t="s">
        <v>150</v>
      </c>
      <c r="B3" s="687"/>
      <c r="C3" s="687"/>
      <c r="D3" s="687"/>
      <c r="E3" s="687"/>
      <c r="F3" s="687"/>
      <c r="G3" s="92"/>
    </row>
    <row r="4" spans="1:8" s="11" customFormat="1" ht="15.6">
      <c r="A4" s="688" t="str">
        <f>'Plant Sched 4'!A4:G4</f>
        <v>True-up Actual for 12 Months Ended December 31, 2016</v>
      </c>
      <c r="B4" s="688"/>
      <c r="C4" s="688"/>
      <c r="D4" s="688"/>
      <c r="E4" s="688"/>
      <c r="F4" s="688"/>
      <c r="G4" s="94"/>
    </row>
    <row r="5" spans="1:8" s="11" customFormat="1"/>
    <row r="6" spans="1:8">
      <c r="A6" s="699" t="s">
        <v>151</v>
      </c>
      <c r="B6" s="699"/>
      <c r="C6" s="699"/>
      <c r="D6" s="699"/>
      <c r="E6" s="699"/>
      <c r="F6" s="699"/>
    </row>
    <row r="7" spans="1:8">
      <c r="A7" s="13" t="s">
        <v>0</v>
      </c>
      <c r="B7" s="15"/>
      <c r="C7" s="15"/>
      <c r="D7" s="15"/>
      <c r="E7" s="15"/>
      <c r="F7" s="110"/>
    </row>
    <row r="8" spans="1:8">
      <c r="A8" s="16" t="s">
        <v>16</v>
      </c>
      <c r="B8" s="17"/>
      <c r="C8" s="15" t="s">
        <v>152</v>
      </c>
      <c r="D8" s="17" t="s">
        <v>153</v>
      </c>
      <c r="E8" s="17" t="s">
        <v>154</v>
      </c>
      <c r="F8" s="109" t="s">
        <v>3</v>
      </c>
    </row>
    <row r="9" spans="1:8">
      <c r="A9" s="19">
        <v>1</v>
      </c>
      <c r="B9" s="68" t="s">
        <v>155</v>
      </c>
      <c r="C9" s="95"/>
      <c r="D9" s="96"/>
      <c r="E9" s="96"/>
      <c r="F9" s="111"/>
    </row>
    <row r="10" spans="1:8">
      <c r="A10" s="16"/>
      <c r="B10" s="97" t="s">
        <v>156</v>
      </c>
      <c r="C10" s="300">
        <v>0</v>
      </c>
      <c r="D10" s="301">
        <v>0</v>
      </c>
      <c r="E10" s="301">
        <v>0</v>
      </c>
      <c r="F10" s="112">
        <f>SUM(C10:E10)</f>
        <v>0</v>
      </c>
    </row>
    <row r="11" spans="1:8">
      <c r="A11" s="16">
        <v>2</v>
      </c>
      <c r="B11" s="97" t="s">
        <v>157</v>
      </c>
      <c r="C11" s="302">
        <v>0</v>
      </c>
      <c r="D11" s="303">
        <v>0</v>
      </c>
      <c r="E11" s="303">
        <v>0</v>
      </c>
      <c r="F11" s="113">
        <f>SUM(C11:E11)</f>
        <v>0</v>
      </c>
    </row>
    <row r="12" spans="1:8">
      <c r="A12" s="19">
        <v>3</v>
      </c>
      <c r="B12" s="68" t="s">
        <v>158</v>
      </c>
      <c r="C12" s="304"/>
      <c r="D12" s="305"/>
      <c r="E12" s="305"/>
      <c r="F12" s="114"/>
    </row>
    <row r="13" spans="1:8">
      <c r="A13" s="16"/>
      <c r="B13" s="98" t="s">
        <v>159</v>
      </c>
      <c r="C13" s="302">
        <v>0</v>
      </c>
      <c r="D13" s="303">
        <v>40041</v>
      </c>
      <c r="E13" s="303">
        <v>227111</v>
      </c>
      <c r="F13" s="128">
        <f>SUM(C13:E13)</f>
        <v>267152</v>
      </c>
    </row>
    <row r="14" spans="1:8">
      <c r="A14" s="26">
        <v>4</v>
      </c>
      <c r="B14" s="70" t="s">
        <v>160</v>
      </c>
      <c r="C14" s="304"/>
      <c r="D14" s="305"/>
      <c r="E14" s="305"/>
      <c r="F14" s="129"/>
    </row>
    <row r="15" spans="1:8">
      <c r="A15" s="16"/>
      <c r="B15" s="98" t="s">
        <v>161</v>
      </c>
      <c r="C15" s="302">
        <v>1388010</v>
      </c>
      <c r="D15" s="302">
        <v>749887</v>
      </c>
      <c r="E15" s="302">
        <v>344323</v>
      </c>
      <c r="F15" s="128">
        <f>SUM(C15:E15)</f>
        <v>2482220</v>
      </c>
    </row>
    <row r="16" spans="1:8">
      <c r="A16" s="34">
        <v>5</v>
      </c>
      <c r="B16" s="99" t="s">
        <v>162</v>
      </c>
      <c r="C16" s="306">
        <v>0</v>
      </c>
      <c r="D16" s="302">
        <v>84702575</v>
      </c>
      <c r="E16" s="307">
        <v>0</v>
      </c>
      <c r="F16" s="130">
        <f>+C16+D16+E16</f>
        <v>84702575</v>
      </c>
    </row>
    <row r="17" spans="1:9">
      <c r="A17" s="19">
        <v>6</v>
      </c>
      <c r="B17" s="70" t="s">
        <v>163</v>
      </c>
      <c r="C17" s="304"/>
      <c r="D17" s="305"/>
      <c r="E17" s="305"/>
      <c r="F17" s="129"/>
    </row>
    <row r="18" spans="1:9" ht="13.8" thickBot="1">
      <c r="A18" s="16"/>
      <c r="B18" s="98" t="s">
        <v>164</v>
      </c>
      <c r="C18" s="304">
        <v>0</v>
      </c>
      <c r="D18" s="308">
        <v>0</v>
      </c>
      <c r="E18" s="305">
        <v>0</v>
      </c>
      <c r="F18" s="129">
        <f>SUM(C18:E18)</f>
        <v>0</v>
      </c>
    </row>
    <row r="19" spans="1:9" ht="13.8" thickBot="1">
      <c r="A19" s="32">
        <v>7</v>
      </c>
      <c r="B19" s="99" t="s">
        <v>165</v>
      </c>
      <c r="C19" s="100">
        <f>SUM(C10:C18)</f>
        <v>1388010</v>
      </c>
      <c r="D19" s="101">
        <f>SUM(D10:D18)</f>
        <v>85492503</v>
      </c>
      <c r="E19" s="101">
        <f>SUM(E10:E18)</f>
        <v>571434</v>
      </c>
      <c r="F19" s="131">
        <f>SUM(C19:E19)</f>
        <v>87451947</v>
      </c>
    </row>
    <row r="20" spans="1:9">
      <c r="A20" s="19">
        <v>8</v>
      </c>
      <c r="B20" s="82" t="s">
        <v>166</v>
      </c>
      <c r="C20" s="102"/>
      <c r="D20" s="102"/>
      <c r="E20" s="102"/>
      <c r="F20" s="132"/>
    </row>
    <row r="21" spans="1:9">
      <c r="A21" s="16"/>
      <c r="B21" s="133" t="s">
        <v>167</v>
      </c>
      <c r="C21" s="103" t="s">
        <v>168</v>
      </c>
      <c r="D21" s="80">
        <f>'Transmission O&amp;M'!C23</f>
        <v>8669766</v>
      </c>
      <c r="E21" s="80">
        <f>'Transmission O&amp;M'!C35</f>
        <v>196051</v>
      </c>
      <c r="F21" s="134">
        <f>SUM(D21:E21)</f>
        <v>8865817</v>
      </c>
    </row>
    <row r="22" spans="1:9">
      <c r="A22" s="19">
        <v>9</v>
      </c>
      <c r="B22" s="82" t="s">
        <v>169</v>
      </c>
      <c r="C22" s="104"/>
      <c r="D22" s="305"/>
      <c r="E22" s="305"/>
      <c r="F22" s="135"/>
    </row>
    <row r="23" spans="1:9">
      <c r="A23" s="16"/>
      <c r="B23" s="133" t="s">
        <v>170</v>
      </c>
      <c r="C23" s="103" t="s">
        <v>168</v>
      </c>
      <c r="D23" s="302">
        <v>2419959</v>
      </c>
      <c r="E23" s="302">
        <v>3296561</v>
      </c>
      <c r="F23" s="134">
        <f>+D23+E23</f>
        <v>5716520</v>
      </c>
    </row>
    <row r="24" spans="1:9">
      <c r="A24" s="19">
        <v>10</v>
      </c>
      <c r="B24" s="82" t="s">
        <v>171</v>
      </c>
      <c r="C24" s="104"/>
      <c r="D24" s="83"/>
      <c r="E24" s="305"/>
      <c r="F24" s="135"/>
      <c r="I24" s="142"/>
    </row>
    <row r="25" spans="1:9">
      <c r="A25" s="16"/>
      <c r="B25" s="133" t="s">
        <v>172</v>
      </c>
      <c r="C25" s="103" t="s">
        <v>168</v>
      </c>
      <c r="D25" s="80">
        <f>'Admin &amp; General'!C14</f>
        <v>1876446</v>
      </c>
      <c r="E25" s="303">
        <v>0</v>
      </c>
      <c r="F25" s="134">
        <f>+D25+E25</f>
        <v>1876446</v>
      </c>
      <c r="I25" s="142"/>
    </row>
    <row r="26" spans="1:9">
      <c r="A26" s="19">
        <v>11</v>
      </c>
      <c r="B26" s="82" t="s">
        <v>173</v>
      </c>
      <c r="C26" s="104"/>
      <c r="D26" s="83"/>
      <c r="E26" s="305"/>
      <c r="F26" s="135"/>
      <c r="I26" s="142"/>
    </row>
    <row r="27" spans="1:9">
      <c r="A27" s="16"/>
      <c r="B27" s="133" t="s">
        <v>174</v>
      </c>
      <c r="C27" s="103" t="s">
        <v>168</v>
      </c>
      <c r="D27" s="80">
        <f>'Admin &amp; General'!C21</f>
        <v>1149928</v>
      </c>
      <c r="E27" s="303">
        <v>0</v>
      </c>
      <c r="F27" s="134">
        <f>+D27+E27</f>
        <v>1149928</v>
      </c>
      <c r="I27" s="141"/>
    </row>
    <row r="28" spans="1:9">
      <c r="A28" s="32">
        <v>12</v>
      </c>
      <c r="B28" s="81" t="s">
        <v>175</v>
      </c>
      <c r="C28" s="105" t="s">
        <v>168</v>
      </c>
      <c r="D28" s="80">
        <f>'Admin &amp; General'!C28</f>
        <v>513252</v>
      </c>
      <c r="E28" s="303">
        <v>0</v>
      </c>
      <c r="F28" s="134">
        <f>+D28+E28</f>
        <v>513252</v>
      </c>
      <c r="I28" s="141"/>
    </row>
    <row r="29" spans="1:9">
      <c r="A29" s="32">
        <v>13</v>
      </c>
      <c r="B29" s="81" t="s">
        <v>176</v>
      </c>
      <c r="C29" s="105" t="s">
        <v>168</v>
      </c>
      <c r="D29" s="80">
        <f>SUM('Admin &amp; General'!C30:C43)</f>
        <v>11840484</v>
      </c>
      <c r="E29" s="80">
        <f>'Admin &amp; General'!C44</f>
        <v>876866</v>
      </c>
      <c r="F29" s="134">
        <f>+D29+E29</f>
        <v>12717350</v>
      </c>
      <c r="I29" s="141"/>
    </row>
    <row r="30" spans="1:9" ht="13.8" thickBot="1">
      <c r="A30" s="19">
        <v>14</v>
      </c>
      <c r="B30" s="82" t="s">
        <v>177</v>
      </c>
      <c r="C30" s="106"/>
      <c r="D30" s="102"/>
      <c r="E30" s="102"/>
      <c r="F30" s="132"/>
      <c r="I30" s="141"/>
    </row>
    <row r="31" spans="1:9" ht="13.8" thickBot="1">
      <c r="A31" s="16"/>
      <c r="B31" s="98" t="s">
        <v>178</v>
      </c>
      <c r="C31" s="100">
        <f>SUM(C19:C29)</f>
        <v>1388010</v>
      </c>
      <c r="D31" s="101">
        <f>SUM(D19:D29)</f>
        <v>111962338</v>
      </c>
      <c r="E31" s="101">
        <f>SUM(E19:E29)</f>
        <v>4940912</v>
      </c>
      <c r="F31" s="131">
        <f>SUM(F19:F30)</f>
        <v>118291260</v>
      </c>
      <c r="I31" s="141"/>
    </row>
    <row r="32" spans="1:9">
      <c r="B32" s="59"/>
      <c r="C32" s="107"/>
      <c r="D32" s="107"/>
      <c r="E32" s="107"/>
      <c r="F32" s="136"/>
      <c r="I32" s="141"/>
    </row>
    <row r="33" spans="2:9">
      <c r="B33" s="697" t="s">
        <v>179</v>
      </c>
      <c r="C33" s="698"/>
      <c r="D33" s="614">
        <v>180</v>
      </c>
      <c r="E33" s="107"/>
      <c r="F33" s="136"/>
      <c r="I33" s="141"/>
    </row>
    <row r="34" spans="2:9">
      <c r="B34" s="137" t="s">
        <v>180</v>
      </c>
      <c r="C34" s="138"/>
      <c r="D34" s="139"/>
      <c r="E34" s="173"/>
      <c r="F34" s="140"/>
      <c r="I34" s="141"/>
    </row>
    <row r="35" spans="2:9">
      <c r="B35" s="59"/>
      <c r="C35" s="107"/>
      <c r="D35" s="107"/>
      <c r="E35" s="107"/>
      <c r="F35" s="136"/>
      <c r="I35" s="141"/>
    </row>
    <row r="36" spans="2:9" ht="15">
      <c r="B36" s="228" t="s">
        <v>388</v>
      </c>
      <c r="C36" s="228"/>
      <c r="D36" s="228"/>
      <c r="E36" s="228"/>
      <c r="F36" s="228"/>
      <c r="I36" s="141"/>
    </row>
    <row r="37" spans="2:9" ht="15">
      <c r="B37" s="228"/>
      <c r="C37" s="228"/>
      <c r="D37" s="228"/>
      <c r="E37" s="228"/>
      <c r="F37" s="228"/>
      <c r="I37" s="141"/>
    </row>
    <row r="38" spans="2:9" ht="15">
      <c r="B38" s="229" t="s">
        <v>383</v>
      </c>
      <c r="C38" s="230" t="s">
        <v>168</v>
      </c>
      <c r="D38" s="309">
        <v>264828</v>
      </c>
      <c r="E38" s="309">
        <v>0</v>
      </c>
      <c r="F38" s="231">
        <f>+D38+E38</f>
        <v>264828</v>
      </c>
      <c r="I38" s="141"/>
    </row>
    <row r="39" spans="2:9" ht="15">
      <c r="B39" s="232" t="s">
        <v>389</v>
      </c>
      <c r="C39" s="232"/>
      <c r="D39" s="232"/>
      <c r="E39" s="232"/>
      <c r="F39" s="233"/>
      <c r="I39" s="141"/>
    </row>
    <row r="40" spans="2:9" ht="15">
      <c r="B40" s="228"/>
      <c r="C40" s="228"/>
      <c r="D40" s="228"/>
      <c r="E40" s="228"/>
      <c r="F40" s="228"/>
      <c r="I40" s="141"/>
    </row>
    <row r="41" spans="2:9" ht="15">
      <c r="B41" s="234" t="s">
        <v>177</v>
      </c>
      <c r="C41" s="228"/>
      <c r="D41" s="228"/>
      <c r="E41" s="228"/>
      <c r="F41" s="228"/>
      <c r="I41" s="141"/>
    </row>
    <row r="42" spans="2:9" ht="15">
      <c r="B42" s="235" t="s">
        <v>178</v>
      </c>
      <c r="C42" s="228"/>
      <c r="D42" s="236">
        <f>C19+D31+D38</f>
        <v>113615176</v>
      </c>
      <c r="E42" s="236">
        <f>E38+E31</f>
        <v>4940912</v>
      </c>
      <c r="F42" s="236">
        <f>F38+F31</f>
        <v>118556088</v>
      </c>
      <c r="I42" s="141"/>
    </row>
    <row r="43" spans="2:9" ht="15">
      <c r="B43" s="228"/>
      <c r="C43" s="228"/>
      <c r="D43" s="237"/>
      <c r="E43" s="237"/>
      <c r="F43" s="228"/>
    </row>
    <row r="44" spans="2:9">
      <c r="D44" s="539">
        <f>D42-'Income Sched 3'!C10</f>
        <v>0</v>
      </c>
      <c r="E44" s="539">
        <f>E42-'Income Sched 3'!C11</f>
        <v>0</v>
      </c>
    </row>
  </sheetData>
  <mergeCells count="6">
    <mergeCell ref="B33:C33"/>
    <mergeCell ref="A1:F1"/>
    <mergeCell ref="A2:F2"/>
    <mergeCell ref="A3:F3"/>
    <mergeCell ref="A4:F4"/>
    <mergeCell ref="A6:F6"/>
  </mergeCells>
  <pageMargins left="0.5" right="0.25" top="0.75" bottom="0.75" header="0.5" footer="0.5"/>
  <pageSetup orientation="portrait" r:id="rId1"/>
  <headerFooter alignWithMargins="0">
    <oddHeader>&amp;L&amp;"Arial MT,Bold"Rochester Public Utilities
2016 Work Papers&amp;R&amp;"Arial MT,Bold"Exhibit RPU-8
Page 5 of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Coversheet</vt:lpstr>
      <vt:lpstr>Sched 1_RPU</vt:lpstr>
      <vt:lpstr>True-up Interest</vt:lpstr>
      <vt:lpstr>Interzonal Alloc</vt:lpstr>
      <vt:lpstr>Balance sheet Sched 2</vt:lpstr>
      <vt:lpstr>Income Sched 3</vt:lpstr>
      <vt:lpstr>Plant Sched 4</vt:lpstr>
      <vt:lpstr>Taxes Sched 5</vt:lpstr>
      <vt:lpstr>Op &amp; Maint Sched 7</vt:lpstr>
      <vt:lpstr>Divisor</vt:lpstr>
      <vt:lpstr>Plant</vt:lpstr>
      <vt:lpstr>Adj to Rate Base</vt:lpstr>
      <vt:lpstr>Land Held for Future Use</vt:lpstr>
      <vt:lpstr>Materials and Prepayments</vt:lpstr>
      <vt:lpstr>Capital Structure</vt:lpstr>
      <vt:lpstr>Transmission O&amp;M</vt:lpstr>
      <vt:lpstr>Admin &amp; General</vt:lpstr>
      <vt:lpstr>Wages &amp; Salaries</vt:lpstr>
      <vt:lpstr>FERC Fees</vt:lpstr>
      <vt:lpstr>EPRI Reg Comm Non Safety</vt:lpstr>
      <vt:lpstr>Taxes other than inc tax</vt:lpstr>
      <vt:lpstr>Account 454</vt:lpstr>
      <vt:lpstr>Account 456.1</vt:lpstr>
      <vt:lpstr>'Account 454'!Print_Area</vt:lpstr>
      <vt:lpstr>'Account 456.1'!Print_Area</vt:lpstr>
      <vt:lpstr>'Adj to Rate Base'!Print_Area</vt:lpstr>
      <vt:lpstr>'Admin &amp; General'!Print_Area</vt:lpstr>
      <vt:lpstr>'Balance sheet Sched 2'!Print_Area</vt:lpstr>
      <vt:lpstr>'Capital Structure'!Print_Area</vt:lpstr>
      <vt:lpstr>Coversheet!Print_Area</vt:lpstr>
      <vt:lpstr>Divisor!Print_Area</vt:lpstr>
      <vt:lpstr>'EPRI Reg Comm Non Safety'!Print_Area</vt:lpstr>
      <vt:lpstr>'FERC Fees'!Print_Area</vt:lpstr>
      <vt:lpstr>'Income Sched 3'!Print_Area</vt:lpstr>
      <vt:lpstr>'Interzonal Alloc'!Print_Area</vt:lpstr>
      <vt:lpstr>'Land Held for Future Use'!Print_Area</vt:lpstr>
      <vt:lpstr>'Materials and Prepayments'!Print_Area</vt:lpstr>
      <vt:lpstr>'Op &amp; Maint Sched 7'!Print_Area</vt:lpstr>
      <vt:lpstr>Plant!Print_Area</vt:lpstr>
      <vt:lpstr>'Plant Sched 4'!Print_Area</vt:lpstr>
      <vt:lpstr>'Taxes other than inc tax'!Print_Area</vt:lpstr>
      <vt:lpstr>'Taxes Sched 5'!Print_Area</vt:lpstr>
      <vt:lpstr>'Transmission O&amp;M'!Print_Area</vt:lpstr>
      <vt:lpstr>'True-up Interest'!Print_Area</vt:lpstr>
      <vt:lpstr>'Wages &amp; Salaries'!Print_Area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/>
</file>