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95" windowWidth="13185" windowHeight="9480" activeTab="1"/>
  </bookViews>
  <sheets>
    <sheet name="Coversheet" sheetId="12" r:id="rId1"/>
    <sheet name="Sch 1 Rcvble Exp" sheetId="41" r:id="rId2"/>
    <sheet name="True-up Interest" sheetId="40" state="hidden" r:id="rId3"/>
    <sheet name="Gross Plant Transmission Form" sheetId="43" r:id="rId4"/>
    <sheet name="Interzonal Alloc" sheetId="37" r:id="rId5"/>
    <sheet name="Balance sheet Sched 2" sheetId="2" r:id="rId6"/>
    <sheet name="Income Sched 3" sheetId="3" r:id="rId7"/>
    <sheet name="Plant Sched 4" sheetId="4" r:id="rId8"/>
    <sheet name="Taxes Sched 5" sheetId="34" r:id="rId9"/>
    <sheet name="Op &amp; Maint Sched 7" sheetId="5" r:id="rId10"/>
    <sheet name="Divisor" sheetId="13" r:id="rId11"/>
    <sheet name="Plant" sheetId="14" r:id="rId12"/>
    <sheet name="Adj to Rate Base" sheetId="16" r:id="rId13"/>
    <sheet name="Land Held for Future Use" sheetId="18" r:id="rId14"/>
    <sheet name="Materials and Prepayments" sheetId="19" r:id="rId15"/>
    <sheet name="Capital Structure" sheetId="20" r:id="rId16"/>
    <sheet name="Transmission O&amp;M" sheetId="24" r:id="rId17"/>
    <sheet name="Admin &amp; General" sheetId="25" r:id="rId18"/>
    <sheet name="Wages &amp; Salaries" sheetId="33" r:id="rId19"/>
    <sheet name="FERC Fees" sheetId="26" r:id="rId20"/>
    <sheet name="EPRI Reg Comm Non Safety" sheetId="27" r:id="rId21"/>
    <sheet name="Taxes other than inc tax" sheetId="28" r:id="rId22"/>
    <sheet name="Account 454" sheetId="31" r:id="rId23"/>
    <sheet name="Account 456.1" sheetId="32" r:id="rId24"/>
  </sheets>
  <externalReferences>
    <externalReference r:id="rId25"/>
    <externalReference r:id="rId26"/>
    <externalReference r:id="rId27"/>
    <externalReference r:id="rId28"/>
    <externalReference r:id="rId29"/>
    <externalReference r:id="rId30"/>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22">'Account 454'!$A$1:$D$22</definedName>
    <definedName name="_xlnm.Print_Area" localSheetId="23">'Account 456.1'!$B$1:$D$31</definedName>
    <definedName name="_xlnm.Print_Area" localSheetId="12">'Adj to Rate Base'!$A$1:$E$18</definedName>
    <definedName name="_xlnm.Print_Area" localSheetId="17">'Admin &amp; General'!$A$1:$C$46</definedName>
    <definedName name="_xlnm.Print_Area" localSheetId="5">'Balance sheet Sched 2'!$A$1:$F$60</definedName>
    <definedName name="_xlnm.Print_Area" localSheetId="15">'Capital Structure'!$D$1:$L$24</definedName>
    <definedName name="_xlnm.Print_Area" localSheetId="0">Coversheet!$B$2:$D$7</definedName>
    <definedName name="_xlnm.Print_Area" localSheetId="10">Divisor!$B$1:$M$30</definedName>
    <definedName name="_xlnm.Print_Area" localSheetId="20">'EPRI Reg Comm Non Safety'!$A$1:$C$23</definedName>
    <definedName name="_xlnm.Print_Area" localSheetId="19">'FERC Fees'!$A$1:$C$14</definedName>
    <definedName name="_xlnm.Print_Area" localSheetId="6">'Income Sched 3'!$A$1:$D$34</definedName>
    <definedName name="_xlnm.Print_Area" localSheetId="4">'Interzonal Alloc'!$A$1:$R$57</definedName>
    <definedName name="_xlnm.Print_Area" localSheetId="13">'Land Held for Future Use'!$A$2:$F$23</definedName>
    <definedName name="_xlnm.Print_Area" localSheetId="14">'Materials and Prepayments'!$B$1:$H$22</definedName>
    <definedName name="_xlnm.Print_Area" localSheetId="9">'Op &amp; Maint Sched 7'!$A$1:$F$41</definedName>
    <definedName name="_xlnm.Print_Area" localSheetId="11">Plant!$C$1:$O$70</definedName>
    <definedName name="_xlnm.Print_Area" localSheetId="7">'Plant Sched 4'!$A$1:$K$28</definedName>
    <definedName name="_xlnm.Print_Area" localSheetId="21">'Taxes other than inc tax'!$A$1:$D$13</definedName>
    <definedName name="_xlnm.Print_Area" localSheetId="8">'Taxes Sched 5'!$A$1:$C$11</definedName>
    <definedName name="_xlnm.Print_Area" localSheetId="16">'Transmission O&amp;M'!$A$1:$C$39</definedName>
    <definedName name="_xlnm.Print_Area" localSheetId="18">'Wages &amp; Salaries'!$A$1:$D$12</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R33" i="43" l="1"/>
  <c r="O33" i="43"/>
  <c r="L33" i="43"/>
  <c r="K33" i="43"/>
  <c r="J33" i="43"/>
  <c r="G33" i="43"/>
  <c r="F33" i="43"/>
  <c r="E33" i="43"/>
  <c r="C33" i="43"/>
  <c r="M32" i="43"/>
  <c r="H32" i="43"/>
  <c r="P32" i="43" s="1"/>
  <c r="M31" i="43"/>
  <c r="H31" i="43"/>
  <c r="P31" i="43" s="1"/>
  <c r="M30" i="43"/>
  <c r="H30" i="43"/>
  <c r="P30" i="43" s="1"/>
  <c r="M29" i="43"/>
  <c r="H29" i="43"/>
  <c r="P29" i="43" s="1"/>
  <c r="M28" i="43"/>
  <c r="H28" i="43"/>
  <c r="P28" i="43" s="1"/>
  <c r="M27" i="43"/>
  <c r="M33" i="43" s="1"/>
  <c r="H27" i="43"/>
  <c r="P27" i="43" s="1"/>
  <c r="S32" i="43" l="1"/>
  <c r="S30" i="43"/>
  <c r="S27" i="43"/>
  <c r="P33" i="43"/>
  <c r="S28" i="43" s="1"/>
  <c r="S29" i="43"/>
  <c r="S31" i="43"/>
  <c r="H33" i="43"/>
  <c r="L13" i="37"/>
  <c r="N13" i="37" s="1"/>
  <c r="L14" i="37"/>
  <c r="N14" i="37" s="1"/>
  <c r="F18" i="41" l="1"/>
  <c r="F17" i="41"/>
  <c r="F16" i="41"/>
  <c r="B31" i="41" l="1"/>
  <c r="D29" i="41"/>
  <c r="D23" i="41"/>
  <c r="F19" i="41"/>
  <c r="F23" i="41" s="1"/>
  <c r="F29" i="41" s="1"/>
  <c r="D19" i="4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8" i="41"/>
  <c r="A13" i="40"/>
  <c r="A14" i="40" s="1"/>
  <c r="A16" i="40" s="1"/>
  <c r="A17" i="40" s="1"/>
  <c r="A18" i="40" s="1"/>
  <c r="A19" i="40" s="1"/>
  <c r="A20" i="40" s="1"/>
  <c r="A21" i="40" s="1"/>
  <c r="A23" i="40" s="1"/>
  <c r="A24" i="40" s="1"/>
  <c r="A25" i="40" s="1"/>
  <c r="A27" i="40" s="1"/>
  <c r="A28" i="40" s="1"/>
  <c r="A29" i="40" s="1"/>
  <c r="A31" i="40" s="1"/>
  <c r="A32" i="40" s="1"/>
  <c r="A33" i="40" s="1"/>
  <c r="J14" i="40"/>
  <c r="J16" i="40"/>
  <c r="J18" i="40" s="1"/>
  <c r="J20" i="40" s="1"/>
  <c r="J21" i="40" s="1"/>
  <c r="J19" i="40"/>
  <c r="J27" i="40"/>
  <c r="J29" i="40" s="1"/>
  <c r="L53" i="40"/>
  <c r="O63" i="40"/>
  <c r="R63" i="40"/>
  <c r="U63" i="40"/>
  <c r="G66" i="40" s="1"/>
  <c r="X63" i="40"/>
  <c r="AA63" i="40"/>
  <c r="AD63" i="40"/>
  <c r="AG63" i="40"/>
  <c r="G70" i="40" s="1"/>
  <c r="K70" i="40" s="1"/>
  <c r="AJ63" i="40"/>
  <c r="AM63" i="40"/>
  <c r="AP63" i="40"/>
  <c r="AS63" i="40"/>
  <c r="AV63" i="40"/>
  <c r="AY63" i="40"/>
  <c r="BB63" i="40"/>
  <c r="BE63" i="40"/>
  <c r="BH63" i="40"/>
  <c r="BK63" i="40"/>
  <c r="BN63" i="40"/>
  <c r="BQ63" i="40"/>
  <c r="BT63" i="40"/>
  <c r="BW63" i="40"/>
  <c r="BZ63" i="40"/>
  <c r="CC63" i="40"/>
  <c r="CF63" i="40"/>
  <c r="G64" i="40"/>
  <c r="I64" i="40"/>
  <c r="I88" i="40" s="1"/>
  <c r="K64" i="40"/>
  <c r="A65" i="40"/>
  <c r="G65" i="40"/>
  <c r="I65" i="40"/>
  <c r="K65" i="40"/>
  <c r="A66" i="40"/>
  <c r="I66" i="40"/>
  <c r="A67" i="40"/>
  <c r="G67" i="40"/>
  <c r="I67" i="40"/>
  <c r="K67" i="40"/>
  <c r="A68" i="40"/>
  <c r="G68" i="40"/>
  <c r="I68" i="40"/>
  <c r="K68" i="40"/>
  <c r="A69" i="40"/>
  <c r="G69" i="40"/>
  <c r="I69" i="40"/>
  <c r="K69" i="40"/>
  <c r="A70" i="40"/>
  <c r="I70" i="40"/>
  <c r="A71" i="40"/>
  <c r="G71" i="40"/>
  <c r="I71" i="40"/>
  <c r="K71" i="40"/>
  <c r="A72" i="40"/>
  <c r="G72" i="40"/>
  <c r="I72" i="40"/>
  <c r="K72" i="40"/>
  <c r="A73" i="40"/>
  <c r="G73" i="40"/>
  <c r="K73" i="40" s="1"/>
  <c r="I73" i="40"/>
  <c r="A74" i="40"/>
  <c r="G74" i="40"/>
  <c r="K74" i="40" s="1"/>
  <c r="I74" i="40"/>
  <c r="A75" i="40"/>
  <c r="G75" i="40"/>
  <c r="K75" i="40" s="1"/>
  <c r="I75" i="40"/>
  <c r="A76" i="40"/>
  <c r="G76" i="40"/>
  <c r="K76" i="40" s="1"/>
  <c r="I76" i="40"/>
  <c r="A77" i="40"/>
  <c r="G77" i="40"/>
  <c r="K77" i="40" s="1"/>
  <c r="I77" i="40"/>
  <c r="A78" i="40"/>
  <c r="G78" i="40"/>
  <c r="K78" i="40" s="1"/>
  <c r="I78" i="40"/>
  <c r="A79" i="40"/>
  <c r="G79" i="40"/>
  <c r="K79" i="40" s="1"/>
  <c r="I79" i="40"/>
  <c r="A80" i="40"/>
  <c r="G80" i="40"/>
  <c r="K80" i="40" s="1"/>
  <c r="I80" i="40"/>
  <c r="A81" i="40"/>
  <c r="G81" i="40"/>
  <c r="K81" i="40" s="1"/>
  <c r="I81" i="40"/>
  <c r="A82" i="40"/>
  <c r="G82" i="40"/>
  <c r="K82" i="40" s="1"/>
  <c r="I82" i="40"/>
  <c r="A83" i="40"/>
  <c r="G83" i="40"/>
  <c r="K83" i="40" s="1"/>
  <c r="I83" i="40"/>
  <c r="A84" i="40"/>
  <c r="G84" i="40"/>
  <c r="K84" i="40" s="1"/>
  <c r="I84" i="40"/>
  <c r="A85" i="40"/>
  <c r="G85" i="40"/>
  <c r="K85" i="40" s="1"/>
  <c r="I85" i="40"/>
  <c r="A86" i="40"/>
  <c r="A87" i="40" s="1"/>
  <c r="A88" i="40" s="1"/>
  <c r="G86" i="40"/>
  <c r="K86" i="40" s="1"/>
  <c r="I86" i="40"/>
  <c r="G87" i="40"/>
  <c r="K87" i="40" s="1"/>
  <c r="I87" i="40"/>
  <c r="E88" i="40"/>
  <c r="K66" i="40" l="1"/>
  <c r="K88" i="40" s="1"/>
  <c r="J31" i="40" s="1"/>
  <c r="J33" i="40" s="1"/>
  <c r="G88" i="40"/>
  <c r="J25" i="40"/>
  <c r="J23" i="40"/>
  <c r="I30" i="20" l="1"/>
  <c r="I29" i="20"/>
  <c r="I28" i="20"/>
  <c r="I27" i="20"/>
  <c r="L12" i="14"/>
  <c r="L13" i="14" s="1"/>
  <c r="L14" i="14" s="1"/>
  <c r="L15" i="14" s="1"/>
  <c r="L16" i="14" s="1"/>
  <c r="L17" i="14" s="1"/>
  <c r="F13" i="14"/>
  <c r="F14" i="14" s="1"/>
  <c r="F15" i="14" s="1"/>
  <c r="F16" i="14" s="1"/>
  <c r="F17" i="14" s="1"/>
  <c r="C13" i="3" l="1"/>
  <c r="D15" i="5" l="1"/>
  <c r="H13" i="20"/>
  <c r="H14" i="20" s="1"/>
  <c r="H15" i="20" s="1"/>
  <c r="H16" i="20" s="1"/>
  <c r="H17" i="20" s="1"/>
  <c r="H18" i="20" s="1"/>
  <c r="H19" i="20" s="1"/>
  <c r="H20" i="20" s="1"/>
  <c r="H21" i="20" s="1"/>
  <c r="H11" i="20" l="1"/>
  <c r="H30" i="20" l="1"/>
  <c r="H29" i="20"/>
  <c r="H28" i="20"/>
  <c r="H27" i="20"/>
  <c r="E29" i="5" l="1"/>
  <c r="I22" i="20" l="1"/>
  <c r="I24" i="20" l="1"/>
  <c r="E41" i="12" l="1"/>
  <c r="B41" i="12"/>
  <c r="C41" i="12" s="1"/>
  <c r="B41" i="40" l="1"/>
  <c r="B49" i="40"/>
  <c r="B38" i="40"/>
  <c r="B42" i="40"/>
  <c r="B39" i="40"/>
  <c r="B40" i="40"/>
  <c r="B48" i="40"/>
  <c r="B73" i="40"/>
  <c r="E42" i="12"/>
  <c r="B3" i="31"/>
  <c r="B5" i="18"/>
  <c r="A4" i="2"/>
  <c r="A3" i="33"/>
  <c r="A7" i="16"/>
  <c r="A7" i="37"/>
  <c r="E7" i="20"/>
  <c r="C3" i="14"/>
  <c r="B3" i="32"/>
  <c r="B5" i="19"/>
  <c r="B5" i="13"/>
  <c r="E40" i="12"/>
  <c r="B40" i="12"/>
  <c r="C40" i="12" s="1"/>
  <c r="G70" i="14" l="1"/>
  <c r="B64" i="40"/>
  <c r="B42" i="12"/>
  <c r="C42" i="12" s="1"/>
  <c r="B85" i="40"/>
  <c r="B47" i="40"/>
  <c r="E20" i="19"/>
  <c r="L6" i="14" l="1"/>
  <c r="L7" i="14" s="1"/>
  <c r="L8" i="14" s="1"/>
  <c r="L9" i="14" s="1"/>
  <c r="L10" i="14" s="1"/>
  <c r="L11" i="14" s="1"/>
  <c r="K6" i="14"/>
  <c r="K7" i="14" s="1"/>
  <c r="K8" i="14" s="1"/>
  <c r="K9" i="14" s="1"/>
  <c r="K10" i="14" s="1"/>
  <c r="K11" i="14" s="1"/>
  <c r="K12" i="14" s="1"/>
  <c r="K13" i="14" s="1"/>
  <c r="K14" i="14" s="1"/>
  <c r="K15" i="14" s="1"/>
  <c r="K16" i="14" s="1"/>
  <c r="K17" i="14" s="1"/>
  <c r="G20" i="19"/>
  <c r="K22" i="20" l="1"/>
  <c r="J22" i="20"/>
  <c r="H22" i="20"/>
  <c r="H20" i="19"/>
  <c r="A5" i="16" l="1"/>
  <c r="D29" i="5" l="1"/>
  <c r="D23" i="32" l="1"/>
  <c r="B24" i="13" l="1"/>
  <c r="B10" i="32" l="1"/>
  <c r="B11" i="32" s="1"/>
  <c r="B12" i="32" s="1"/>
  <c r="B13" i="32" s="1"/>
  <c r="B14" i="32" s="1"/>
  <c r="B16" i="32" s="1"/>
  <c r="B17" i="32" s="1"/>
  <c r="B18" i="32" s="1"/>
  <c r="B22" i="32" s="1"/>
  <c r="B23" i="32" s="1"/>
  <c r="B24" i="32" s="1"/>
  <c r="B25" i="32" s="1"/>
  <c r="B26" i="32" s="1"/>
  <c r="R26" i="37"/>
  <c r="A13" i="31"/>
  <c r="A14" i="31" s="1"/>
  <c r="A15" i="31" s="1"/>
  <c r="A16" i="31" s="1"/>
  <c r="C16" i="31"/>
  <c r="C21" i="31" l="1"/>
  <c r="B3" i="13" l="1"/>
  <c r="B3" i="18"/>
  <c r="H12" i="20" l="1"/>
  <c r="C49" i="24"/>
  <c r="C50" i="24" s="1"/>
  <c r="H56" i="37"/>
  <c r="H55" i="37"/>
  <c r="E41" i="14"/>
  <c r="H64" i="14"/>
  <c r="I6" i="14" s="1"/>
  <c r="M53" i="14"/>
  <c r="M52" i="14"/>
  <c r="M51" i="14"/>
  <c r="M50" i="14"/>
  <c r="M49" i="14"/>
  <c r="M48" i="14"/>
  <c r="M47" i="14"/>
  <c r="M46" i="14"/>
  <c r="M45" i="14"/>
  <c r="M44" i="14"/>
  <c r="M43" i="14"/>
  <c r="M42" i="14"/>
  <c r="N41" i="14"/>
  <c r="M41" i="14"/>
  <c r="N38" i="14"/>
  <c r="M38" i="14"/>
  <c r="M20" i="14"/>
  <c r="N7" i="14"/>
  <c r="N8" i="14" s="1"/>
  <c r="I7" i="14" l="1"/>
  <c r="P38" i="37"/>
  <c r="M55" i="14"/>
  <c r="H57" i="37"/>
  <c r="N9" i="14"/>
  <c r="N43" i="14"/>
  <c r="N42" i="14"/>
  <c r="I8" i="14" l="1"/>
  <c r="P39" i="37"/>
  <c r="N10" i="14"/>
  <c r="N44" i="14"/>
  <c r="I9" i="14" l="1"/>
  <c r="P40" i="37"/>
  <c r="N45" i="14"/>
  <c r="N11" i="14"/>
  <c r="I10" i="14" l="1"/>
  <c r="P41" i="37"/>
  <c r="N12" i="14"/>
  <c r="N46" i="14"/>
  <c r="I11" i="14" l="1"/>
  <c r="P42" i="37"/>
  <c r="N47" i="14"/>
  <c r="N13" i="14"/>
  <c r="I12" i="14" l="1"/>
  <c r="P43" i="37"/>
  <c r="N48" i="14"/>
  <c r="N14" i="14"/>
  <c r="I13" i="14" l="1"/>
  <c r="P44" i="37"/>
  <c r="N15" i="14"/>
  <c r="N49" i="14"/>
  <c r="I14" i="14" l="1"/>
  <c r="P45" i="37"/>
  <c r="N50" i="14"/>
  <c r="N16" i="14"/>
  <c r="I15" i="14" l="1"/>
  <c r="P46" i="37"/>
  <c r="N51" i="14"/>
  <c r="N17" i="14"/>
  <c r="I16" i="14" l="1"/>
  <c r="P47" i="37"/>
  <c r="N18" i="14"/>
  <c r="N52" i="14"/>
  <c r="I17" i="14" l="1"/>
  <c r="P48" i="37"/>
  <c r="N53" i="14"/>
  <c r="N55" i="14" s="1"/>
  <c r="N20" i="14"/>
  <c r="I18" i="14" l="1"/>
  <c r="P49" i="37"/>
  <c r="P50" i="37" l="1"/>
  <c r="I20" i="14"/>
  <c r="H15" i="37"/>
  <c r="K7" i="4" l="1"/>
  <c r="D59" i="14"/>
  <c r="D9" i="19"/>
  <c r="D10" i="19" s="1"/>
  <c r="D11" i="19" s="1"/>
  <c r="D12" i="19" s="1"/>
  <c r="D13" i="19" s="1"/>
  <c r="D14" i="19" s="1"/>
  <c r="D15" i="19" s="1"/>
  <c r="D16" i="19" s="1"/>
  <c r="D17" i="19" s="1"/>
  <c r="D18" i="19" s="1"/>
  <c r="D19" i="19" s="1"/>
  <c r="D20" i="19" s="1"/>
  <c r="F11" i="13"/>
  <c r="G11" i="20"/>
  <c r="G12" i="20" s="1"/>
  <c r="G13" i="20" s="1"/>
  <c r="G14" i="20" s="1"/>
  <c r="G15" i="20" s="1"/>
  <c r="G16" i="20" s="1"/>
  <c r="G17" i="20" s="1"/>
  <c r="G18" i="20" s="1"/>
  <c r="G19" i="20" s="1"/>
  <c r="G20" i="20" s="1"/>
  <c r="G21" i="20" s="1"/>
  <c r="G22" i="20" s="1"/>
  <c r="D9" i="18"/>
  <c r="D10" i="18" s="1"/>
  <c r="D11" i="18" s="1"/>
  <c r="D12" i="18" s="1"/>
  <c r="D13" i="18" s="1"/>
  <c r="D14" i="18" s="1"/>
  <c r="D15" i="18" s="1"/>
  <c r="D16" i="18" s="1"/>
  <c r="D17" i="18" s="1"/>
  <c r="D18" i="18" s="1"/>
  <c r="D19" i="18" s="1"/>
  <c r="D20" i="18" s="1"/>
  <c r="D18" i="37"/>
  <c r="D19" i="37"/>
  <c r="E7" i="14"/>
  <c r="C39" i="37"/>
  <c r="C40" i="37" s="1"/>
  <c r="C41" i="37" s="1"/>
  <c r="C42" i="37" s="1"/>
  <c r="C43" i="37" s="1"/>
  <c r="C44" i="37" s="1"/>
  <c r="C45" i="37" s="1"/>
  <c r="C46" i="37" s="1"/>
  <c r="C47" i="37" s="1"/>
  <c r="C48" i="37" s="1"/>
  <c r="C49" i="37" s="1"/>
  <c r="C50" i="37" s="1"/>
  <c r="A4" i="3" l="1"/>
  <c r="A4" i="4" s="1"/>
  <c r="A4" i="5" s="1"/>
  <c r="A4" i="34"/>
  <c r="D8" i="19"/>
  <c r="G10" i="20"/>
  <c r="D8" i="18"/>
  <c r="E25" i="14"/>
  <c r="E43" i="14" s="1"/>
  <c r="E8" i="14"/>
  <c r="E6" i="14"/>
  <c r="E24" i="14" s="1"/>
  <c r="E42" i="14" s="1"/>
  <c r="C38" i="37"/>
  <c r="E26" i="14" l="1"/>
  <c r="E44" i="14" s="1"/>
  <c r="E9" i="14"/>
  <c r="C1" i="14"/>
  <c r="E10" i="14" l="1"/>
  <c r="E27" i="14"/>
  <c r="E45" i="14" s="1"/>
  <c r="E11" i="14" l="1"/>
  <c r="E28" i="14"/>
  <c r="E46" i="14" s="1"/>
  <c r="E12" i="14" l="1"/>
  <c r="E29" i="14"/>
  <c r="E47" i="14" s="1"/>
  <c r="E13" i="14" l="1"/>
  <c r="E30" i="14"/>
  <c r="E48" i="14" s="1"/>
  <c r="E14" i="14" l="1"/>
  <c r="E31" i="14"/>
  <c r="E49" i="14" s="1"/>
  <c r="E15" i="14" l="1"/>
  <c r="E32" i="14"/>
  <c r="E50" i="14" s="1"/>
  <c r="E16" i="14" l="1"/>
  <c r="E33" i="14"/>
  <c r="E51" i="14" s="1"/>
  <c r="E17" i="14" l="1"/>
  <c r="E34" i="14"/>
  <c r="E52" i="14" s="1"/>
  <c r="C45" i="25"/>
  <c r="E18" i="14" l="1"/>
  <c r="E36" i="14" s="1"/>
  <c r="E35" i="14"/>
  <c r="E53" i="14" s="1"/>
  <c r="E5" i="20"/>
  <c r="C8" i="34" l="1"/>
  <c r="C28" i="25"/>
  <c r="D28" i="5" l="1"/>
  <c r="C21" i="25"/>
  <c r="D27" i="5" l="1"/>
  <c r="G12" i="4"/>
  <c r="G14" i="4" l="1"/>
  <c r="G9" i="4" l="1"/>
  <c r="G13" i="4"/>
  <c r="G18" i="4" l="1"/>
  <c r="K18" i="14" s="1"/>
  <c r="G19" i="4"/>
  <c r="L18" i="14" s="1"/>
  <c r="L20" i="14" l="1"/>
  <c r="K20" i="14"/>
  <c r="C15" i="4"/>
  <c r="F6" i="14" s="1"/>
  <c r="G11" i="4"/>
  <c r="F7" i="14" l="1"/>
  <c r="F8" i="14" l="1"/>
  <c r="C51" i="24"/>
  <c r="F9" i="14" l="1"/>
  <c r="F10" i="14" l="1"/>
  <c r="C19" i="5"/>
  <c r="F11" i="14" l="1"/>
  <c r="C30" i="2"/>
  <c r="F12" i="14" l="1"/>
  <c r="B1" i="32" l="1"/>
  <c r="B1" i="31"/>
  <c r="A1" i="28"/>
  <c r="A1" i="27"/>
  <c r="A1" i="26"/>
  <c r="A1" i="33"/>
  <c r="A1" i="25"/>
  <c r="A1" i="24"/>
  <c r="B3" i="19"/>
  <c r="A1" i="5"/>
  <c r="A1" i="34"/>
  <c r="A1" i="4"/>
  <c r="C35" i="24" l="1"/>
  <c r="E21" i="5" s="1"/>
  <c r="C23" i="24"/>
  <c r="D21" i="5" s="1"/>
  <c r="C38" i="24" l="1"/>
  <c r="D25" i="32"/>
  <c r="A3" i="24"/>
  <c r="A3" i="25" s="1"/>
  <c r="A3" i="26" s="1"/>
  <c r="A3" i="27" s="1"/>
  <c r="A3" i="28" s="1"/>
  <c r="B22" i="27"/>
  <c r="B16" i="27"/>
  <c r="C14" i="26"/>
  <c r="B14" i="26"/>
  <c r="A1" i="3" l="1"/>
  <c r="A1" i="2"/>
  <c r="E22" i="18"/>
  <c r="C17" i="16"/>
  <c r="F12" i="13"/>
  <c r="F13" i="13" s="1"/>
  <c r="F14" i="13" s="1"/>
  <c r="F15" i="13" s="1"/>
  <c r="F16" i="13" s="1"/>
  <c r="F17" i="13" s="1"/>
  <c r="F18" i="13" s="1"/>
  <c r="F19" i="13" s="1"/>
  <c r="F20" i="13" s="1"/>
  <c r="F21" i="13" s="1"/>
  <c r="F22" i="13" s="1"/>
  <c r="G22" i="19" l="1"/>
  <c r="F28" i="5" l="1"/>
  <c r="F27" i="5"/>
  <c r="F21" i="5"/>
  <c r="F18" i="5"/>
  <c r="F11" i="5"/>
  <c r="F10" i="5"/>
  <c r="G24" i="4"/>
  <c r="G23" i="4"/>
  <c r="G22" i="4"/>
  <c r="F15" i="4"/>
  <c r="E15" i="4"/>
  <c r="D15" i="4"/>
  <c r="C27" i="3"/>
  <c r="F54" i="2"/>
  <c r="C54" i="2"/>
  <c r="F45" i="2"/>
  <c r="F33" i="2"/>
  <c r="G15" i="4" l="1"/>
  <c r="F18" i="14" s="1"/>
  <c r="E20" i="4"/>
  <c r="E25" i="4" s="1"/>
  <c r="E28" i="4" s="1"/>
  <c r="D37" i="33"/>
  <c r="D36" i="33"/>
  <c r="D31" i="33"/>
  <c r="D25" i="33"/>
  <c r="B25" i="33" s="1"/>
  <c r="C31" i="5"/>
  <c r="F20" i="14" l="1"/>
  <c r="C14" i="25" l="1"/>
  <c r="D25" i="5" l="1"/>
  <c r="F25" i="5" l="1"/>
  <c r="D35" i="33" s="1"/>
  <c r="D38" i="33"/>
  <c r="G27" i="4" l="1"/>
  <c r="C12" i="2" s="1"/>
  <c r="D20" i="4" l="1"/>
  <c r="F20" i="4"/>
  <c r="F25" i="4" s="1"/>
  <c r="F28" i="4" s="1"/>
  <c r="D25" i="4" l="1"/>
  <c r="D28" i="4" l="1"/>
  <c r="F28" i="2" l="1"/>
  <c r="F38" i="37" l="1"/>
  <c r="D39" i="37" l="1"/>
  <c r="D40" i="37" l="1"/>
  <c r="F39" i="37"/>
  <c r="D41" i="37" l="1"/>
  <c r="F40" i="37"/>
  <c r="F41" i="37" l="1"/>
  <c r="D42" i="37"/>
  <c r="F42" i="37" l="1"/>
  <c r="D43" i="37"/>
  <c r="D44" i="37" l="1"/>
  <c r="F43" i="37"/>
  <c r="F44" i="37" l="1"/>
  <c r="D45" i="37"/>
  <c r="F45" i="37" l="1"/>
  <c r="D46" i="37"/>
  <c r="F46" i="37" l="1"/>
  <c r="D47" i="37"/>
  <c r="D48" i="37" l="1"/>
  <c r="F47" i="37"/>
  <c r="F48" i="37" l="1"/>
  <c r="D49" i="37"/>
  <c r="F49" i="37" l="1"/>
  <c r="D50" i="37"/>
  <c r="L41" i="14" l="1"/>
  <c r="K41" i="14"/>
  <c r="F41" i="14" l="1"/>
  <c r="H22" i="19" l="1"/>
  <c r="M11" i="13" l="1"/>
  <c r="L42" i="14" l="1"/>
  <c r="K42" i="14"/>
  <c r="F42" i="14" l="1"/>
  <c r="J24" i="14" l="1"/>
  <c r="O24" i="14" s="1"/>
  <c r="I41" i="14"/>
  <c r="L43" i="14"/>
  <c r="K43" i="14"/>
  <c r="F43" i="14"/>
  <c r="I42" i="14"/>
  <c r="J25" i="14" l="1"/>
  <c r="O25" i="14" s="1"/>
  <c r="L44" i="14"/>
  <c r="K44" i="14"/>
  <c r="F44" i="14"/>
  <c r="I43" i="14"/>
  <c r="J26" i="14" l="1"/>
  <c r="O26" i="14" s="1"/>
  <c r="L45" i="14"/>
  <c r="K45" i="14"/>
  <c r="I44" i="14"/>
  <c r="F45" i="14" l="1"/>
  <c r="J27" i="14"/>
  <c r="O27" i="14" s="1"/>
  <c r="L46" i="14"/>
  <c r="K46" i="14"/>
  <c r="F46" i="14"/>
  <c r="I45" i="14"/>
  <c r="J28" i="14" l="1"/>
  <c r="O28" i="14" s="1"/>
  <c r="F47" i="14"/>
  <c r="I46" i="14"/>
  <c r="J29" i="14" l="1"/>
  <c r="O29" i="14" s="1"/>
  <c r="L47" i="14"/>
  <c r="K47" i="14"/>
  <c r="L48" i="14"/>
  <c r="K48" i="14"/>
  <c r="I47" i="14"/>
  <c r="F48" i="14" l="1"/>
  <c r="J30" i="14"/>
  <c r="L49" i="14"/>
  <c r="K49" i="14"/>
  <c r="F49" i="14"/>
  <c r="I48" i="14"/>
  <c r="J31" i="14" l="1"/>
  <c r="O31" i="14" s="1"/>
  <c r="O30" i="14"/>
  <c r="L50" i="14"/>
  <c r="K50" i="14"/>
  <c r="F50" i="14"/>
  <c r="I49" i="14"/>
  <c r="J32" i="14" l="1"/>
  <c r="L51" i="14"/>
  <c r="K51" i="14"/>
  <c r="F51" i="14"/>
  <c r="I50" i="14"/>
  <c r="J33" i="14" l="1"/>
  <c r="O33" i="14" s="1"/>
  <c r="O32" i="14"/>
  <c r="L52" i="14"/>
  <c r="K52" i="14"/>
  <c r="F52" i="14"/>
  <c r="I51" i="14"/>
  <c r="F53" i="14" l="1"/>
  <c r="I14" i="4"/>
  <c r="I15" i="4" s="1"/>
  <c r="I19" i="4"/>
  <c r="L53" i="14"/>
  <c r="L55" i="14" s="1"/>
  <c r="L38" i="14"/>
  <c r="F55" i="14"/>
  <c r="F38" i="14"/>
  <c r="I18" i="4"/>
  <c r="K53" i="14"/>
  <c r="K55" i="14" s="1"/>
  <c r="K38" i="14"/>
  <c r="J34" i="14"/>
  <c r="I52" i="14"/>
  <c r="J35" i="14" l="1"/>
  <c r="O35" i="14" s="1"/>
  <c r="O34" i="14"/>
  <c r="H70" i="14"/>
  <c r="H59" i="14" l="1"/>
  <c r="H38" i="14"/>
  <c r="I53" i="14"/>
  <c r="I55" i="14" s="1"/>
  <c r="I38" i="14"/>
  <c r="H67" i="14" s="1"/>
  <c r="J36" i="14"/>
  <c r="I17" i="4" s="1"/>
  <c r="G38" i="14"/>
  <c r="I20" i="4" l="1"/>
  <c r="I25" i="4" s="1"/>
  <c r="I28" i="4" s="1"/>
  <c r="O36" i="14"/>
  <c r="J38" i="14"/>
  <c r="H66" i="14" l="1"/>
  <c r="H68" i="14" s="1"/>
  <c r="O38" i="14"/>
  <c r="K15" i="4" l="1"/>
  <c r="K20" i="4" s="1"/>
  <c r="K25" i="4" s="1"/>
  <c r="K28" i="4" s="1"/>
  <c r="I30" i="4"/>
  <c r="K33" i="4" l="1"/>
  <c r="K34" i="4" s="1"/>
  <c r="M15" i="13"/>
  <c r="M22" i="13"/>
  <c r="M20" i="13" l="1"/>
  <c r="M14" i="13"/>
  <c r="M21" i="13"/>
  <c r="M13" i="13"/>
  <c r="M12" i="13"/>
  <c r="M18" i="13" l="1"/>
  <c r="K24" i="13"/>
  <c r="M17" i="13"/>
  <c r="M19" i="13"/>
  <c r="M16" i="13"/>
  <c r="I24" i="13"/>
  <c r="M24" i="13" l="1"/>
  <c r="J6" i="14" l="1"/>
  <c r="O6" i="14" s="1"/>
  <c r="O41" i="14" s="1"/>
  <c r="C20" i="4"/>
  <c r="G17" i="4"/>
  <c r="J18" i="14" s="1"/>
  <c r="O18" i="14" s="1"/>
  <c r="O53" i="14" s="1"/>
  <c r="G20" i="4" l="1"/>
  <c r="C25" i="4"/>
  <c r="C28" i="4" l="1"/>
  <c r="G28" i="4" s="1"/>
  <c r="G25" i="4"/>
  <c r="C11" i="2" s="1"/>
  <c r="C16" i="2" s="1"/>
  <c r="C22" i="2" s="1"/>
  <c r="H41" i="14" l="1"/>
  <c r="K38" i="37"/>
  <c r="H42" i="14" l="1"/>
  <c r="K39" i="37"/>
  <c r="I39" i="37"/>
  <c r="H38" i="37"/>
  <c r="P6" i="14"/>
  <c r="G41" i="14"/>
  <c r="J38" i="37" l="1"/>
  <c r="H39" i="37"/>
  <c r="K40" i="37"/>
  <c r="I40" i="37"/>
  <c r="H43" i="14"/>
  <c r="J41" i="14"/>
  <c r="J7" i="14"/>
  <c r="P7" i="14" s="1"/>
  <c r="G42" i="14"/>
  <c r="J42" i="14" s="1"/>
  <c r="I41" i="37" l="1"/>
  <c r="H44" i="14"/>
  <c r="K41" i="37"/>
  <c r="J39" i="37"/>
  <c r="H40" i="37"/>
  <c r="O7" i="14"/>
  <c r="G43" i="14"/>
  <c r="J8" i="14"/>
  <c r="O8" i="14" s="1"/>
  <c r="O43" i="14" s="1"/>
  <c r="R38" i="37"/>
  <c r="N38" i="37"/>
  <c r="L38" i="37"/>
  <c r="H41" i="37" l="1"/>
  <c r="J40" i="37"/>
  <c r="J43" i="14"/>
  <c r="J9" i="14"/>
  <c r="O9" i="14" s="1"/>
  <c r="O44" i="14" s="1"/>
  <c r="G44" i="14"/>
  <c r="J44" i="14" s="1"/>
  <c r="L39" i="37"/>
  <c r="R39" i="37"/>
  <c r="N39" i="37"/>
  <c r="H45" i="14"/>
  <c r="K42" i="37"/>
  <c r="I42" i="37"/>
  <c r="P8" i="14"/>
  <c r="O42" i="14"/>
  <c r="P9" i="14" l="1"/>
  <c r="L40" i="37"/>
  <c r="R40" i="37"/>
  <c r="N40" i="37"/>
  <c r="H46" i="14"/>
  <c r="K43" i="37"/>
  <c r="I43" i="37"/>
  <c r="G45" i="14"/>
  <c r="J45" i="14" s="1"/>
  <c r="J10" i="14"/>
  <c r="O10" i="14" s="1"/>
  <c r="P10" i="14"/>
  <c r="J41" i="37"/>
  <c r="H42" i="37"/>
  <c r="H47" i="14" l="1"/>
  <c r="I44" i="37"/>
  <c r="K44" i="37"/>
  <c r="N41" i="37"/>
  <c r="L41" i="37"/>
  <c r="R41" i="37"/>
  <c r="J11" i="14"/>
  <c r="O11" i="14" s="1"/>
  <c r="O46" i="14" s="1"/>
  <c r="G46" i="14"/>
  <c r="H43" i="37"/>
  <c r="J42" i="37"/>
  <c r="O45" i="14"/>
  <c r="H44" i="37" l="1"/>
  <c r="J43" i="37"/>
  <c r="J12" i="14"/>
  <c r="O12" i="14" s="1"/>
  <c r="G47" i="14"/>
  <c r="J47" i="14" s="1"/>
  <c r="J46" i="14"/>
  <c r="K45" i="37"/>
  <c r="H48" i="14"/>
  <c r="I45" i="37"/>
  <c r="R42" i="37"/>
  <c r="L42" i="37"/>
  <c r="N42" i="37"/>
  <c r="P11" i="14"/>
  <c r="O47" i="14" l="1"/>
  <c r="L43" i="37"/>
  <c r="N43" i="37"/>
  <c r="R43" i="37"/>
  <c r="G48" i="14"/>
  <c r="J13" i="14"/>
  <c r="O13" i="14" s="1"/>
  <c r="O48" i="14" s="1"/>
  <c r="J44" i="37"/>
  <c r="H45" i="37"/>
  <c r="I46" i="37"/>
  <c r="H49" i="14"/>
  <c r="K46" i="37"/>
  <c r="P12" i="14"/>
  <c r="P13" i="14" l="1"/>
  <c r="J48" i="14"/>
  <c r="H46" i="37"/>
  <c r="J45" i="37"/>
  <c r="K47" i="37"/>
  <c r="I47" i="37"/>
  <c r="H50" i="14"/>
  <c r="N44" i="37"/>
  <c r="R44" i="37"/>
  <c r="L44" i="37"/>
  <c r="G49" i="14"/>
  <c r="J49" i="14" s="1"/>
  <c r="J14" i="14"/>
  <c r="O14" i="14" s="1"/>
  <c r="O49" i="14" s="1"/>
  <c r="P14" i="14" l="1"/>
  <c r="J15" i="14"/>
  <c r="O15" i="14" s="1"/>
  <c r="O50" i="14" s="1"/>
  <c r="G50" i="14"/>
  <c r="J50" i="14" s="1"/>
  <c r="H51" i="14"/>
  <c r="K48" i="37"/>
  <c r="I48" i="37"/>
  <c r="L45" i="37"/>
  <c r="N45" i="37"/>
  <c r="R45" i="37"/>
  <c r="J46" i="37"/>
  <c r="H47" i="37"/>
  <c r="P15" i="14" l="1"/>
  <c r="H48" i="37"/>
  <c r="J47" i="37"/>
  <c r="R46" i="37"/>
  <c r="N46" i="37"/>
  <c r="L46" i="37"/>
  <c r="H52" i="14"/>
  <c r="I49" i="37"/>
  <c r="K49" i="37"/>
  <c r="G51" i="14"/>
  <c r="J51" i="14" s="1"/>
  <c r="J16" i="14"/>
  <c r="O16" i="14" s="1"/>
  <c r="O51" i="14" s="1"/>
  <c r="P16" i="14" l="1"/>
  <c r="J17" i="14"/>
  <c r="G52" i="14"/>
  <c r="J52" i="14" s="1"/>
  <c r="N47" i="37"/>
  <c r="L47" i="37"/>
  <c r="R47" i="37"/>
  <c r="K50" i="37"/>
  <c r="K51" i="37" s="1"/>
  <c r="J13" i="37" s="1"/>
  <c r="J15" i="37" s="1"/>
  <c r="H53" i="14"/>
  <c r="H55" i="14" s="1"/>
  <c r="I50" i="37"/>
  <c r="H20" i="14"/>
  <c r="J48" i="37"/>
  <c r="H49" i="37"/>
  <c r="O17" i="14" l="1"/>
  <c r="J20" i="14"/>
  <c r="H50" i="37"/>
  <c r="J50" i="37" s="1"/>
  <c r="J49" i="37"/>
  <c r="L48" i="37"/>
  <c r="R48" i="37"/>
  <c r="N48" i="37"/>
  <c r="G53" i="14"/>
  <c r="P18" i="14"/>
  <c r="E50" i="37"/>
  <c r="G20" i="14"/>
  <c r="P17" i="14"/>
  <c r="O52" i="14" l="1"/>
  <c r="O55" i="14" s="1"/>
  <c r="O20" i="14"/>
  <c r="L50" i="37"/>
  <c r="J51" i="37"/>
  <c r="F13" i="37" s="1"/>
  <c r="F50" i="37"/>
  <c r="K58" i="37"/>
  <c r="J53" i="14"/>
  <c r="J55" i="14" s="1"/>
  <c r="G55" i="14"/>
  <c r="R49" i="37"/>
  <c r="L49" i="37"/>
  <c r="N49" i="37"/>
  <c r="I13" i="37" l="1"/>
  <c r="L51" i="37"/>
  <c r="N50" i="37"/>
  <c r="N51" i="37" s="1"/>
  <c r="F51" i="37"/>
  <c r="F14" i="37" s="1"/>
  <c r="I14" i="37" s="1"/>
  <c r="K14" i="37" s="1"/>
  <c r="R50" i="37"/>
  <c r="R51" i="37" s="1"/>
  <c r="R58" i="37" s="1"/>
  <c r="I15" i="37" l="1"/>
  <c r="K13" i="37"/>
  <c r="K15" i="37" s="1"/>
  <c r="F15" i="37"/>
  <c r="L15" i="37" l="1"/>
  <c r="H24" i="20" l="1"/>
  <c r="D24" i="32" l="1"/>
  <c r="D19" i="32"/>
  <c r="D22" i="32" s="1"/>
  <c r="D26" i="32" l="1"/>
  <c r="K24" i="20" l="1"/>
  <c r="J24" i="20"/>
  <c r="I31" i="20" l="1"/>
  <c r="B37" i="33"/>
  <c r="F37" i="5" l="1"/>
  <c r="F16" i="5"/>
  <c r="D28" i="33" s="1"/>
  <c r="B28" i="33" s="1"/>
  <c r="F15" i="5"/>
  <c r="D27" i="33" s="1"/>
  <c r="F29" i="5"/>
  <c r="C46" i="2"/>
  <c r="C56" i="2" s="1"/>
  <c r="D19" i="5" l="1"/>
  <c r="D31" i="5" s="1"/>
  <c r="D41" i="5" s="1"/>
  <c r="F23" i="5"/>
  <c r="D33" i="33" s="1"/>
  <c r="B36" i="33" l="1"/>
  <c r="B35" i="33"/>
  <c r="C38" i="33"/>
  <c r="C11" i="33" s="1"/>
  <c r="E19" i="5"/>
  <c r="F13" i="5"/>
  <c r="D26" i="33" s="1"/>
  <c r="D29" i="33" s="1"/>
  <c r="C10" i="3"/>
  <c r="D43" i="5" s="1"/>
  <c r="B38" i="33" l="1"/>
  <c r="E31" i="5"/>
  <c r="E41" i="5" s="1"/>
  <c r="C11" i="3" s="1"/>
  <c r="E43" i="5" s="1"/>
  <c r="F19" i="5"/>
  <c r="F31" i="5" s="1"/>
  <c r="F41" i="5" s="1"/>
  <c r="B26" i="33"/>
  <c r="C29" i="33"/>
  <c r="C8" i="33" s="1"/>
  <c r="B27" i="33"/>
  <c r="C10" i="33" l="1"/>
  <c r="B33" i="33"/>
  <c r="B31" i="33"/>
  <c r="C9" i="33"/>
  <c r="B29" i="33"/>
  <c r="D13" i="28"/>
  <c r="C12" i="33" l="1"/>
  <c r="C15" i="3" l="1"/>
  <c r="C16" i="3" s="1"/>
  <c r="C18" i="3" s="1"/>
  <c r="C23" i="3" s="1"/>
  <c r="C28" i="3" s="1"/>
  <c r="C31" i="3" s="1"/>
  <c r="F16" i="2" l="1"/>
  <c r="L22" i="20" l="1"/>
  <c r="F56" i="2"/>
  <c r="F58" i="2" s="1"/>
  <c r="L24" i="20" l="1"/>
</calcChain>
</file>

<file path=xl/sharedStrings.xml><?xml version="1.0" encoding="utf-8"?>
<sst xmlns="http://schemas.openxmlformats.org/spreadsheetml/2006/main" count="1480" uniqueCount="667">
  <si>
    <t xml:space="preserve"> </t>
  </si>
  <si>
    <t>Line</t>
  </si>
  <si>
    <t>No.</t>
  </si>
  <si>
    <t>Amount</t>
  </si>
  <si>
    <t>Total</t>
  </si>
  <si>
    <t>(3)</t>
  </si>
  <si>
    <t>Transmission</t>
  </si>
  <si>
    <t xml:space="preserve">  a. Transmission charges for all transmission transactions </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</si>
  <si>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</si>
  <si>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</si>
  <si>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</si>
  <si>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</si>
  <si>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</si>
  <si>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</si>
  <si>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</si>
  <si>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</si>
  <si>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</si>
  <si>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</si>
  <si>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</si>
  <si>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</si>
  <si>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</si>
  <si>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</si>
  <si>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</si>
  <si>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</si>
  <si>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</si>
  <si>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</si>
  <si>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</si>
  <si>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</si>
  <si>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</si>
  <si>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</si>
  <si>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</si>
  <si>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</si>
  <si>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</si>
  <si>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</si>
  <si>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</si>
  <si>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</si>
  <si>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</si>
  <si>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</si>
  <si>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</si>
  <si>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</si>
  <si>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</si>
  <si>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</si>
  <si>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</si>
  <si>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</si>
  <si>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</si>
  <si>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</si>
  <si>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</si>
  <si>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</si>
  <si>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</si>
  <si>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</si>
  <si>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</si>
  <si>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</si>
  <si>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</si>
  <si>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</si>
  <si>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</si>
  <si>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</si>
  <si>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</si>
  <si>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</si>
  <si>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</si>
  <si>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</si>
  <si>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</si>
  <si>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</si>
  <si>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</si>
  <si>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</si>
  <si>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</si>
  <si>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</si>
  <si>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</si>
  <si>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</si>
  <si>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</si>
  <si>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</si>
  <si>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</si>
  <si>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</si>
  <si>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</si>
  <si>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</si>
  <si>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</si>
  <si>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</si>
  <si>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</si>
  <si>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</si>
  <si>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</si>
  <si>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</si>
  <si>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</si>
  <si>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</si>
  <si>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</si>
  <si>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</si>
  <si>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</si>
  <si>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</si>
  <si>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</si>
  <si>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</si>
  <si>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</si>
  <si>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</si>
  <si>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</si>
  <si>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</si>
  <si>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</si>
  <si>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</si>
  <si>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</si>
  <si>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</si>
  <si>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</si>
  <si>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</si>
  <si>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</si>
  <si>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</si>
  <si>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</si>
  <si>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</si>
  <si>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</si>
  <si>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</si>
  <si>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</si>
  <si>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</si>
  <si>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</si>
  <si>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</si>
  <si>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</si>
  <si>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</si>
  <si>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</si>
  <si>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</si>
  <si>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</si>
  <si>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</si>
  <si>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</si>
  <si>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</si>
  <si>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</si>
  <si>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</si>
  <si>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</si>
  <si>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</si>
  <si>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</si>
  <si>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</si>
  <si>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</si>
  <si>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</si>
  <si>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</si>
  <si>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</si>
  <si>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</si>
  <si>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</si>
  <si>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</si>
  <si>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</si>
  <si>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</si>
  <si>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</si>
  <si>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</si>
  <si>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</si>
  <si>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</si>
  <si>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</si>
  <si>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</si>
  <si>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</si>
  <si>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</si>
  <si>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</si>
  <si>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</si>
  <si>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</si>
  <si>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</si>
  <si>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</si>
  <si>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</si>
  <si>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</si>
  <si>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</si>
  <si>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</si>
  <si>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</si>
  <si>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</si>
  <si>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</si>
  <si>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</si>
  <si>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</si>
  <si>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</si>
  <si>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</si>
  <si>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</si>
  <si>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</si>
  <si>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</si>
  <si>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</si>
  <si>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</si>
  <si>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</si>
  <si>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</si>
  <si>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</si>
  <si>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</si>
  <si>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</si>
  <si>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</si>
  <si>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</si>
  <si>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</si>
  <si>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</si>
  <si>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</si>
  <si>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</si>
  <si>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</si>
  <si>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</si>
  <si>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</si>
  <si>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</si>
  <si>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</si>
  <si>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</si>
  <si>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</si>
  <si>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</si>
  <si>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</si>
  <si>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</si>
  <si>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</si>
  <si>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</si>
  <si>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</si>
  <si>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</si>
  <si>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January</t>
  </si>
  <si>
    <t>February</t>
  </si>
  <si>
    <t>March</t>
  </si>
  <si>
    <t>April</t>
  </si>
  <si>
    <t>May</t>
  </si>
  <si>
    <t>June</t>
  </si>
  <si>
    <t>July</t>
  </si>
  <si>
    <t>August</t>
  </si>
  <si>
    <t>September</t>
  </si>
  <si>
    <t>October</t>
  </si>
  <si>
    <t>November</t>
  </si>
  <si>
    <t>December</t>
  </si>
  <si>
    <t xml:space="preserve">Attachment O Workpapers </t>
  </si>
  <si>
    <t>Line No.</t>
  </si>
  <si>
    <t xml:space="preserve">Month </t>
  </si>
  <si>
    <t>Year</t>
  </si>
  <si>
    <t>12 Month Average</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</si>
  <si>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</si>
  <si>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</si>
  <si>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</si>
  <si>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</si>
  <si>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</si>
  <si>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</si>
  <si>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</si>
  <si>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</si>
  <si>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</si>
  <si>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</si>
  <si>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</si>
  <si>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</si>
  <si>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</si>
  <si>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</si>
  <si>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</si>
  <si>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</si>
  <si>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9</t>
  </si>
  <si>
    <t>Line 10</t>
  </si>
  <si>
    <t>Line 11</t>
  </si>
  <si>
    <t>Net Plant</t>
  </si>
  <si>
    <t>Total Net Plant in Service</t>
  </si>
  <si>
    <t>Adjustments to Rate Base</t>
  </si>
  <si>
    <t>Account 281 (enter as negative)</t>
  </si>
  <si>
    <t>Account 282  (enter as negative)</t>
  </si>
  <si>
    <t>Account 283  (enter as negative)</t>
  </si>
  <si>
    <t>Account 190</t>
  </si>
  <si>
    <t>Account 255  (enter as negative)</t>
  </si>
  <si>
    <t>Total Adjustments to Rate Base</t>
  </si>
  <si>
    <t>Transmission Related Land Held for Future Use</t>
  </si>
  <si>
    <t>Line 27</t>
  </si>
  <si>
    <t>Line 28</t>
  </si>
  <si>
    <t>Attachment O Workpapers - Capital Structure</t>
  </si>
  <si>
    <t>Outstanding Long-term Debt</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</si>
  <si>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</si>
  <si>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</si>
  <si>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</si>
  <si>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</si>
  <si>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</si>
  <si>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</si>
  <si>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</si>
  <si>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</si>
  <si>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</si>
  <si>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</si>
  <si>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</si>
  <si>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</si>
  <si>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</si>
  <si>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</si>
  <si>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</si>
  <si>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</si>
  <si>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</si>
  <si>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</si>
  <si>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</si>
  <si>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</si>
  <si>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</si>
  <si>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</si>
  <si>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</si>
  <si>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</si>
  <si>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</si>
  <si>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</si>
  <si>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</si>
  <si>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</si>
  <si>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</si>
  <si>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</si>
  <si>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</si>
  <si>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</si>
  <si>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</si>
  <si>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</si>
  <si>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</si>
  <si>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</si>
  <si>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</si>
  <si>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</si>
  <si>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</si>
  <si>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</si>
  <si>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</si>
  <si>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</si>
  <si>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</si>
  <si>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</si>
  <si>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</si>
  <si>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</si>
  <si>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</si>
  <si>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</si>
  <si>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</si>
  <si>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</si>
  <si>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</si>
  <si>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</si>
  <si>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</si>
  <si>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</si>
  <si>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</si>
  <si>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</si>
  <si>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</si>
  <si>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</si>
  <si>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</si>
  <si>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</si>
  <si>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</si>
  <si>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</si>
  <si>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</si>
  <si>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</si>
  <si>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</si>
  <si>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</si>
  <si>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</si>
  <si>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</si>
  <si>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</si>
  <si>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</si>
  <si>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</si>
  <si>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</si>
  <si>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</si>
  <si>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</si>
  <si>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</si>
  <si>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</si>
  <si>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</si>
  <si>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</si>
  <si>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</si>
  <si>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</si>
  <si>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Account</t>
  </si>
  <si>
    <t>FERC fees recorded to expense during the year</t>
  </si>
  <si>
    <t>Charged</t>
  </si>
  <si>
    <t>FERC fees payable to FERC</t>
  </si>
  <si>
    <t>FERC fees paid to MISO via Schedule 10-FERC</t>
  </si>
  <si>
    <t>Other FERC fees paid</t>
  </si>
  <si>
    <t>EPRI Costs</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</si>
  <si>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</si>
  <si>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</si>
  <si>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</si>
  <si>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</si>
  <si>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</si>
  <si>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</si>
  <si>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</si>
  <si>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</si>
  <si>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</si>
  <si>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</si>
  <si>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</si>
  <si>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</si>
  <si>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</si>
  <si>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</si>
  <si>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</si>
  <si>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</si>
  <si>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</si>
  <si>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</si>
  <si>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Property Description</t>
  </si>
  <si>
    <t>XXXXX</t>
  </si>
  <si>
    <t>Includes income related only to transmission facilities,</t>
  </si>
  <si>
    <t>such as pole attachments, rentals and special use.</t>
  </si>
  <si>
    <t>Should tie to a financial statement line item - if not please</t>
  </si>
  <si>
    <t xml:space="preserve">and indicate what other items are included in that financial statement line item </t>
  </si>
  <si>
    <t>by providing a brief but descriptive explanation</t>
  </si>
  <si>
    <t>Account 456.1</t>
  </si>
  <si>
    <t>Revenue</t>
  </si>
  <si>
    <t>MISO Schedule 1</t>
  </si>
  <si>
    <t>MISO Schedule 2</t>
  </si>
  <si>
    <t>MISO Schedule 24</t>
  </si>
  <si>
    <t>MISO Schedule 26 (NUC)</t>
  </si>
  <si>
    <t>MISO Schedule 26-A (MVP)</t>
  </si>
  <si>
    <t>Total Revenue</t>
  </si>
  <si>
    <t xml:space="preserve">  b. Transmission charges for all transmission transactions included in Divisor on Page 1</t>
  </si>
  <si>
    <t>Attachment O, pg. 4, Line 32</t>
  </si>
  <si>
    <t>Total of (a)-(b)-(c)-(d)</t>
  </si>
  <si>
    <t>6a</t>
  </si>
  <si>
    <t>Total Operation Expense</t>
  </si>
  <si>
    <t>Total Maintenance Expense</t>
  </si>
  <si>
    <t>EIA Form 412</t>
  </si>
  <si>
    <t>Schedule 2, Line  33</t>
  </si>
  <si>
    <t>Schedule 2, Line  36</t>
  </si>
  <si>
    <t>Rochester Public Utilities</t>
  </si>
  <si>
    <t>Report on Attachment O, page 4, line 12</t>
  </si>
  <si>
    <t>Report on Attachment O, page 4, line 13</t>
  </si>
  <si>
    <t>Report on Attachment O, page 4, line 14</t>
  </si>
  <si>
    <t>Other _1/</t>
  </si>
  <si>
    <t>Report on Attachment O, page 4, line 15</t>
  </si>
  <si>
    <t>Does this tie to a line item on the audited f/s?</t>
  </si>
  <si>
    <t xml:space="preserve">If not, please provide an explantion and a  work paper </t>
  </si>
  <si>
    <t>reconciling to the audited financial statements</t>
  </si>
  <si>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</si>
  <si>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</si>
  <si>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</si>
  <si>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</si>
  <si>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</si>
  <si>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</si>
  <si>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</si>
  <si>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</si>
  <si>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</si>
  <si>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</si>
  <si>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</si>
  <si>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</si>
  <si>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</si>
  <si>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</si>
  <si>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</si>
  <si>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</si>
  <si>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</si>
  <si>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</si>
  <si>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</si>
  <si>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</si>
  <si>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</si>
  <si>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</si>
  <si>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</si>
  <si>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</si>
  <si>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</si>
  <si>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</si>
  <si>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t>RPU does not have any EPRI costs.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</si>
  <si>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</si>
  <si>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</si>
  <si>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</si>
  <si>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</si>
  <si>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</si>
  <si>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t>Schedule 2, Line  35</t>
  </si>
  <si>
    <t>Schedule 2, Line  32</t>
  </si>
  <si>
    <t>Page 1 of 2</t>
  </si>
  <si>
    <t>Page 2 of 2</t>
  </si>
  <si>
    <t>Pricing Zone</t>
  </si>
  <si>
    <t>-</t>
  </si>
  <si>
    <t>Formula Rate Template</t>
  </si>
  <si>
    <t>Attachment O Allocable Gross Transmission Plant in-service</t>
  </si>
  <si>
    <t xml:space="preserve">Zone 20 (SMMPA) </t>
  </si>
  <si>
    <t xml:space="preserve">Zone 16 (NSP) </t>
  </si>
  <si>
    <t>Base</t>
  </si>
  <si>
    <t>Zone 20 Total</t>
  </si>
  <si>
    <t>Zone 16 Total</t>
  </si>
  <si>
    <t>less: Attachment GG Xmsn</t>
  </si>
  <si>
    <t>Zone 16  Attachment O Total</t>
  </si>
  <si>
    <t>Calculation of Inter-zonal allocation of RPU ATRR</t>
  </si>
  <si>
    <t>Month</t>
  </si>
  <si>
    <t>Allocation Percent</t>
  </si>
  <si>
    <t>(a)</t>
  </si>
  <si>
    <t>(b)</t>
  </si>
  <si>
    <t>( c)</t>
  </si>
  <si>
    <t>(d)</t>
  </si>
  <si>
    <t>(e)</t>
  </si>
  <si>
    <t>16 (NSP)</t>
  </si>
  <si>
    <t>20 (SMMPA)</t>
  </si>
  <si>
    <t>Total Zonal Gross Plant (1)</t>
  </si>
  <si>
    <t xml:space="preserve">     value on Attachment O, p 2 of 5, line 2, col 5</t>
  </si>
  <si>
    <t xml:space="preserve">Remove Reconciliation Adjustment for 12 months ended </t>
  </si>
  <si>
    <t xml:space="preserve">&lt;===  Error indicates mismatch with gross transmission plant </t>
  </si>
  <si>
    <t>DO NOT MODIFY THE FOLLOWING BLOCK</t>
  </si>
  <si>
    <t>Notes:</t>
  </si>
  <si>
    <t xml:space="preserve"> including True-up for 12 months ended </t>
  </si>
  <si>
    <t>Attachment GG Gross Plant (1)</t>
  </si>
  <si>
    <t>Less: transmission plant included in OATT Ancillary Services</t>
  </si>
  <si>
    <t>Gross Plant in Service for Rate Base (2)
(a) - (b)</t>
  </si>
  <si>
    <t>Gross Plant Net of Plant under Ancillaries and Attachment GG (c) - (d )</t>
  </si>
  <si>
    <t>Allocated ATRR    Amount</t>
  </si>
  <si>
    <t>(f)</t>
  </si>
  <si>
    <t>(g)</t>
  </si>
  <si>
    <t>(1) 13 month Avg Gross Book Value from Page 2 of 2, line 14</t>
  </si>
  <si>
    <t>Total Zonal Gross Plant</t>
  </si>
  <si>
    <t>No Zone - CIAC adjustment (3)</t>
  </si>
  <si>
    <t xml:space="preserve">Actual Transmission Revenue Collected for 12 months ended </t>
  </si>
  <si>
    <t xml:space="preserve">Reconciliation Adjustment for 12 months ended </t>
  </si>
  <si>
    <t>(3) Contributions in Aid of Construction (CIACs) include:</t>
  </si>
  <si>
    <t>Chester-Silver Lake 161 kV Substation contribution from NSP</t>
  </si>
  <si>
    <t>MNDOT US52 transmission relocation contribution</t>
  </si>
  <si>
    <t xml:space="preserve">      Chester-Silver Lake 161 kV Substation contribution from NSP</t>
  </si>
  <si>
    <t xml:space="preserve">      MNDOT US52 transmission relocation contribution</t>
  </si>
  <si>
    <t>(1) Contributions in Aid of Construction (CIACs) include:</t>
  </si>
  <si>
    <t>Error</t>
  </si>
  <si>
    <t>Forward Looking Attachment O under Docket Nos ER14-2154 and ER15-277 filings at FERC</t>
  </si>
  <si>
    <t>recorded in Usof A account ________, reflected in I/S in _______ exp</t>
  </si>
  <si>
    <t>recorded in USofA account ________, reflected in I/S in _________ exp</t>
  </si>
  <si>
    <t>recorded in USofA account ________, reflected in I/S in ________ exp</t>
  </si>
  <si>
    <r>
      <t xml:space="preserve">Confirm that the above does not contain any capitalized wages. </t>
    </r>
    <r>
      <rPr>
        <b/>
        <sz val="12"/>
        <color theme="1"/>
        <rFont val="Times New Roman"/>
        <family val="1"/>
      </rPr>
      <t xml:space="preserve"> Correct.</t>
    </r>
  </si>
  <si>
    <r>
      <t xml:space="preserve">Confirm that the above does not contain any any A&amp;G related wages  . </t>
    </r>
    <r>
      <rPr>
        <b/>
        <sz val="12"/>
        <color theme="1"/>
        <rFont val="Times New Roman"/>
        <family val="1"/>
      </rPr>
      <t>Correct.</t>
    </r>
  </si>
  <si>
    <t>(c )</t>
  </si>
  <si>
    <t>SMMPA Settlement Payment</t>
  </si>
  <si>
    <t>Unamortized Premium on Long-term Debt</t>
  </si>
  <si>
    <t>Unamortized Discount on Long-term Debt</t>
  </si>
  <si>
    <t>24 Month Average</t>
  </si>
  <si>
    <t>(2) From "Monthly Rate (Annual % / 365dx # days in month)" column for the noted months on the following web page:
(Annual % / 365dx # days in month) 1
(Annual % / 365dx # days in month) 1</t>
  </si>
  <si>
    <t>http://www.ferc.gov/enforcement/acct-matts/interest-rates.asp</t>
  </si>
  <si>
    <t>(3) Average of daily rates for one month maturities from the following web page:
(Annual % / 365dx # days in month) 1
(Annual % / 365dx # days in month) 1</t>
  </si>
  <si>
    <t>https://research.stlouisfed.org/fred2/series/USD1MTD156N</t>
  </si>
  <si>
    <t>(4) Interest calculated on RPU over-collections using average of monthly FERC refund rates for the noted months</t>
  </si>
  <si>
    <t>Rate for Over Collection (4)</t>
  </si>
  <si>
    <t>Rate for Under Collection (5)</t>
  </si>
  <si>
    <t>(1) The Interest Rate for True-up will be the average of the most recent Interest Rates at the time of the True-up calculation</t>
  </si>
  <si>
    <t xml:space="preserve">Actual Gross ATRR for 12 months ended </t>
  </si>
  <si>
    <t xml:space="preserve">True-up Under/(Over) Adjustment from True-up Attachment O for 12 months ended </t>
  </si>
  <si>
    <t>RPU Load below contract rate of delivery (1)</t>
  </si>
  <si>
    <t>RPU Load above contract rate of delivery (2)</t>
  </si>
  <si>
    <t>RPU 12 CP Load Amounts</t>
  </si>
  <si>
    <t>RPU Total Load         (c )+(d)</t>
  </si>
  <si>
    <t>Column (e) amount goes to Att O_RPU, page 1, line 8</t>
  </si>
  <si>
    <t>Attachment O Workpapers - RPU System Load Calculation</t>
  </si>
  <si>
    <t>Calculation of Effective Interest Rate</t>
  </si>
  <si>
    <t>Calculation of Interest on True-up Amount</t>
  </si>
  <si>
    <t>Notes</t>
  </si>
  <si>
    <t>True-up year ATRR True-up Amount                                         (Line 1 - Line 2)</t>
  </si>
  <si>
    <t>True-up year Actual divisor                                                                          (3)</t>
  </si>
  <si>
    <t>True-up Year Projected Divisor                                                                    (4)</t>
  </si>
  <si>
    <t>True-up Year Projected Annual Cost ($/kW/Yr)                                          (5)</t>
  </si>
  <si>
    <t>True-upYear Divisor True-up Amount                                       (Line 6 * Line 7)</t>
  </si>
  <si>
    <t>Total True-up Amount                                                               (Line 3 + Line 8)</t>
  </si>
  <si>
    <t>Monthly Interest Rate--Final FERC or LIBOR rate                                     (6)</t>
  </si>
  <si>
    <t>Interest on True-Up Amount                                    (Line 9 * Line 10 * Line 11)</t>
  </si>
  <si>
    <t>Number of Months being Trued Up                                                             (7)</t>
  </si>
  <si>
    <t xml:space="preserve">(5) Interest calculated on RPU under-collections using the lesser of the average of 1 month LIBOR Rates or </t>
  </si>
  <si>
    <t xml:space="preserve">     the average of the FERC Refund rates for the noted months</t>
  </si>
  <si>
    <r>
      <t xml:space="preserve">(6) For over-collections, the applicable interest rate shall be the average of the FERC refund rate listed on the FERC website at  </t>
    </r>
    <r>
      <rPr>
        <sz val="12"/>
        <color theme="4" tint="-0.24994659260841701"/>
        <rFont val="Times New Roman"/>
        <family val="1"/>
      </rPr>
      <t/>
    </r>
  </si>
  <si>
    <t xml:space="preserve">      be calculated based on the annual average of the one-month London Interbank Offer Rate (“LIBOR”) capped at the annual average of the </t>
  </si>
  <si>
    <t xml:space="preserve">      applicable refund interest rates as provided in 18 C.F.R. § 35.19a.</t>
  </si>
  <si>
    <t>Transmission CIAC adjustment</t>
  </si>
  <si>
    <t>Interest</t>
  </si>
  <si>
    <t>FERC Refund Rate (2)</t>
  </si>
  <si>
    <t>1 month LIBOR Interest Rate (3)</t>
  </si>
  <si>
    <t>Total RPU Transmission-related Rental income                         (Total of Lines 1 through 4)</t>
  </si>
  <si>
    <r>
      <t>If a zero is reported</t>
    </r>
    <r>
      <rPr>
        <b/>
        <u/>
        <sz val="12"/>
        <color theme="1"/>
        <rFont val="Times New Roman"/>
        <family val="1"/>
      </rPr>
      <t xml:space="preserve"> for any category above</t>
    </r>
    <r>
      <rPr>
        <b/>
        <sz val="12"/>
        <color theme="1"/>
        <rFont val="Times New Roman"/>
        <family val="1"/>
      </rPr>
      <t>, please provide a brief explanation as to why.</t>
    </r>
  </si>
  <si>
    <t>Attachment O, page 4, line 31</t>
  </si>
  <si>
    <t>Attachment O Workpapers - Land held for Future Transmission Use</t>
  </si>
  <si>
    <t>Attachment O Work Papers - True-up Interest Calculation</t>
  </si>
  <si>
    <t xml:space="preserve">Attachment O Workpapers - Calculation of Zonal Allocation Factor </t>
  </si>
  <si>
    <t>Attachment O Workpapers - Monthly Plant Balances</t>
  </si>
  <si>
    <t>Attachment O Workpapers - Adjustments to Rate Base</t>
  </si>
  <si>
    <t>Attachment O Workpapers - Transmission O&amp;M Expense Amounts</t>
  </si>
  <si>
    <t>Transmission O&amp;M Expenses by Account</t>
  </si>
  <si>
    <t>Customer Accts &amp; Admin and General Expense Amounts</t>
  </si>
  <si>
    <t>Attachment O Workpapers - Customer Accts and Administrative &amp; General Expenses</t>
  </si>
  <si>
    <t>Attachment O Workpapers - Functionalized Wage &amp; Salary Amounts</t>
  </si>
  <si>
    <t>Source for Attachment O, page 4, lines 12 - 15</t>
  </si>
  <si>
    <t>Source for: Attachment O, page 3, line 4</t>
  </si>
  <si>
    <t>Attachment O Workpapers - Applicable FERC Fees</t>
  </si>
  <si>
    <t>Sources for: Attachment O, page 3, lines 5 and 5a</t>
  </si>
  <si>
    <t>Attachment O Workpapers - Applicable EPRI and non-Safety-Related Advertising</t>
  </si>
  <si>
    <t>Attachment O Workpapers - Taxes Other than Income Taxes</t>
  </si>
  <si>
    <t>Attachment O Workpapers - Other Electric Revenues - Transmission-related (Acct 456.1)</t>
  </si>
  <si>
    <t xml:space="preserve">Regulatory Commission Expense (provide a brief but descriptive list of charges)  </t>
  </si>
  <si>
    <t>Indicate by yellow highlight if Transmission Related</t>
  </si>
  <si>
    <t>Goes to Attachment O, Page 3, Line 5a; recorded in UsofA account 928, reflected in I/S in Admin &amp; General O&amp;M exp</t>
  </si>
  <si>
    <t>MISO Schedule 7 &amp; 8 revenue received (1)</t>
  </si>
  <si>
    <t>MISO Schedule 9 (1)</t>
  </si>
  <si>
    <t>Difference in Divisor                                                                     (line 5 - line 4)</t>
  </si>
  <si>
    <t>Interest on Attachment O Amounts</t>
  </si>
  <si>
    <t>True-up year actual Att GG ATRR Amount                                                 (8)</t>
  </si>
  <si>
    <t>True-up Year Projected Att GG ATRR Amount                                          (9)</t>
  </si>
  <si>
    <t>True-up year Att GG ATRR True-up Amount                        (Line 13 - Line 14)</t>
  </si>
  <si>
    <t>Interest on True-Up Amount                                   (Line 15 * Line 16 * Line 17)</t>
  </si>
  <si>
    <t>True-up year Actual ATRR Amount                                                               (1)</t>
  </si>
  <si>
    <t>True-up Year Projected ATRR Amount                                                         (2)</t>
  </si>
  <si>
    <t>Template Use Notes:</t>
  </si>
  <si>
    <t xml:space="preserve">    used throughtout the workbook and should not be modified or deleted </t>
  </si>
  <si>
    <t>Schedule 11 Pass-through Adjustments to Attachment GG Revenues</t>
  </si>
  <si>
    <r>
      <t xml:space="preserve">      http://www.ferc.gov/enforcement/acct-matts/interest-rates.asp </t>
    </r>
    <r>
      <rPr>
        <sz val="12"/>
        <rFont val="Times New Roman"/>
        <family val="1"/>
      </rPr>
      <t xml:space="preserve">for the appropriate Months.  For under-collections, the applicable interest rate shall </t>
    </r>
  </si>
  <si>
    <t>Formula Rate Work Papers - True-up Interest Calculation</t>
  </si>
  <si>
    <t>(1) Revenues received from Schedules 7, 8 or 9 distributions under the Revenue Distribution Agreements in effect</t>
  </si>
  <si>
    <t xml:space="preserve">      for Zones 20 and 16</t>
  </si>
  <si>
    <t>Direct labor, legal and outside engineering costs incurred in preparing and posting annual ATRR True-up and Update</t>
  </si>
  <si>
    <t>Line 8</t>
  </si>
  <si>
    <t>Attachment O Workpapers - Rental Income from Electric Property (Acct 454)</t>
  </si>
  <si>
    <t>indicate what line of the audited financials reflects Pre Payments</t>
  </si>
  <si>
    <t xml:space="preserve">  c. Transmission charges from Schedules associated with Attachment GG  (line 6 + line 6a)  (Note X)</t>
  </si>
  <si>
    <t>DD/MM/YYYY</t>
  </si>
  <si>
    <t>Transmission CIAC adjustment (1)</t>
  </si>
  <si>
    <t>Other utility plant depreciation expense</t>
  </si>
  <si>
    <t>Schedule 3, Line 4</t>
  </si>
  <si>
    <t>Total Materials and Supplies</t>
  </si>
  <si>
    <t>Other Materials and Supplies</t>
  </si>
  <si>
    <t>Other (describe)</t>
  </si>
  <si>
    <t>Goes to Att O_RPU, page 4 of 5, line 30</t>
  </si>
  <si>
    <t>The date entered in cell L1 on the True-up Interest tab is the base for all dates shown in the workbook</t>
  </si>
  <si>
    <t>The contents of the block B30:F42 contain headings and date calculations</t>
  </si>
  <si>
    <t xml:space="preserve">    to be set to "FLTY Forecast"</t>
  </si>
  <si>
    <t>Entering a value greater than zero in cell J12 (Line 1 of True-up Interest tab) will cause all page headings</t>
  </si>
  <si>
    <t xml:space="preserve">    to be set to "True-up Actual"</t>
  </si>
  <si>
    <t>Entering a value of zero in cell J12 (Line 1 of True-up Interest tab) will cause all page headings</t>
  </si>
  <si>
    <t>Transmission CIAC adjustment (2)</t>
  </si>
  <si>
    <t xml:space="preserve">(2) Accumulated Depreciation for Attachment O Transmission is 13 month average of total Transmission Accumulated Depreciation less Accumulated Depreciation for CIAC facilities </t>
  </si>
  <si>
    <t>Total Transmission Accum. Depreciation</t>
  </si>
  <si>
    <t>Accum. Depreciation for CIAC facilities</t>
  </si>
  <si>
    <t>Att O_RPU, P 2 of 5, Line 8</t>
  </si>
  <si>
    <t>Attachment O, page 3, line 19</t>
  </si>
  <si>
    <t>Attachment O, pg. 4, Line 31</t>
  </si>
  <si>
    <t>Attachment O, pg. 4, Line 32a</t>
  </si>
  <si>
    <t>Attachment O, pg. 4, Line 32b</t>
  </si>
  <si>
    <t>Should match value on Attachment O, pg. 4, Line 33</t>
  </si>
  <si>
    <t>Other Long-term Debt</t>
  </si>
  <si>
    <t>Schedule 2, Line  34</t>
  </si>
  <si>
    <t>Attachment O, Page 4, Line 22</t>
  </si>
  <si>
    <t>Attachment O, Page 4, Line 23</t>
  </si>
  <si>
    <t>Calculation of Attachment O Long Term Debt</t>
  </si>
  <si>
    <t>(1) Under the SMMPA-RPU Power Sales Agreement RPU's load up to 216,000 kW must be purchased through SMMPA. The actual load will also be included in SMMPA's Attachment O.</t>
  </si>
  <si>
    <t>FLTY Forecast for 12 Months Ended December 31, 2019</t>
  </si>
  <si>
    <t>For the 12 months ended 12/31/19</t>
  </si>
  <si>
    <t>(2) Load supplied by directly by RPU.  Not included in SMMPA Attachment O load.</t>
  </si>
  <si>
    <t>Schedule 1 Recoverable Expenses</t>
  </si>
  <si>
    <t>Company:</t>
  </si>
  <si>
    <t>Rate Year:</t>
  </si>
  <si>
    <r>
      <t>True-Up Year</t>
    </r>
    <r>
      <rPr>
        <vertAlign val="superscript"/>
        <sz val="11"/>
        <rFont val="Calibri"/>
        <family val="2"/>
        <scheme val="minor"/>
      </rPr>
      <t>1</t>
    </r>
    <r>
      <rPr>
        <sz val="11"/>
        <rFont val="Calibri"/>
        <family val="2"/>
        <scheme val="minor"/>
      </rPr>
      <t>:</t>
    </r>
  </si>
  <si>
    <t>Projected or Actual:</t>
  </si>
  <si>
    <t>Projected</t>
  </si>
  <si>
    <t>(c)</t>
  </si>
  <si>
    <t>Account 561.1</t>
  </si>
  <si>
    <r>
      <rPr>
        <sz val="11"/>
        <color rgb="FFFF0000"/>
        <rFont val="Calibri"/>
        <family val="2"/>
        <scheme val="minor"/>
      </rPr>
      <t>EIA-412, Schedule 7, Line 8 and Transmission O&amp;M workpaper</t>
    </r>
    <r>
      <rPr>
        <vertAlign val="superscript"/>
        <sz val="11"/>
        <rFont val="Calibri"/>
        <family val="2"/>
        <scheme val="minor"/>
      </rPr>
      <t>2,</t>
    </r>
  </si>
  <si>
    <t>$</t>
  </si>
  <si>
    <t>Account 561.2</t>
  </si>
  <si>
    <t>EIA-412, Schedule 7, Line 8 and Transmission O&amp;M workpaper</t>
  </si>
  <si>
    <t>Account 561.3</t>
  </si>
  <si>
    <t xml:space="preserve">   Subtotal</t>
  </si>
  <si>
    <t>Account 561.BA for Schedule 24</t>
  </si>
  <si>
    <t>Input 1:  Account 561 Available excluding revenue credits</t>
  </si>
  <si>
    <t>Input 2:  True-Up Adjustment Principal &amp; Interest Under(Over) Recovery</t>
  </si>
  <si>
    <r>
      <t>Input 3: Revenue Credits</t>
    </r>
    <r>
      <rPr>
        <sz val="11"/>
        <rFont val="Calibri"/>
        <family val="2"/>
        <scheme val="minor"/>
      </rPr>
      <t xml:space="preserve"> </t>
    </r>
    <r>
      <rPr>
        <sz val="8"/>
        <rFont val="Calibri"/>
        <family val="2"/>
        <scheme val="minor"/>
      </rPr>
      <t>(Current year Schedule 1 Revenue Credits, excluding True-Up Adjustment)</t>
    </r>
  </si>
  <si>
    <t>Schedule 1 Net Expenses including True-Up Adjustment</t>
  </si>
  <si>
    <t>Note 2:  Source references may vary by company; page references are to each company's source document; analogous figures</t>
  </si>
  <si>
    <t xml:space="preserve">   would be provided for projected year.  Inputs in whole dollars.</t>
  </si>
  <si>
    <t>Note 3:  Revenue collected by the Transmission Owner or ITC under this Schedule 1 for firm transactions of less than 1 year,</t>
  </si>
  <si>
    <t>all non-firm transactions, and any other transactions whose loads are not included in the Attachment O Zonal Rate Divisor for the zone.</t>
  </si>
  <si>
    <t>This revenue credit is derived from the MISO MR Settlements file by subtracting Schedule 9 revenues related to Schedule 1</t>
  </si>
  <si>
    <t>from the total Schedule 1 revenues, which results in the total revenue credit for Schedule 1.</t>
  </si>
  <si>
    <r>
      <rPr>
        <sz val="11"/>
        <color rgb="FFFF0000"/>
        <rFont val="Calibri"/>
        <family val="2"/>
        <scheme val="minor"/>
      </rPr>
      <t>2019_RPU_YE123117_AttO_GGWkpr 083018, True-up Interest, Page 2,Line 20</t>
    </r>
    <r>
      <rPr>
        <vertAlign val="superscript"/>
        <sz val="11"/>
        <rFont val="Calibri"/>
        <family val="2"/>
        <scheme val="minor"/>
      </rPr>
      <t xml:space="preserve"> 2</t>
    </r>
  </si>
  <si>
    <t>Gross Transmission Plant Reporting Form</t>
  </si>
  <si>
    <t>Purpose:</t>
  </si>
  <si>
    <t>Per Appendix C.III.7 of the Transmission Owners Agreement (TOA), MISO is required to distribute Schedule 7 and 8 Through and Out Revenues (1) 50% in proportion to transmission investment reflected in the applicable rates determined by the Attachment O formula; and (2) 50% based upon power flows.</t>
  </si>
  <si>
    <t>Item (1) above, is calculated using Gross Transmission plant reported on Attachment O, page 2, line 2, column 5 less Gross Transmission plant included in Attachments GG, MM, and ZZ page 2, column 3.  MISO requests TOs complete the following brief template to clearly show the calculation of Gross Transmission plant used for Schedule 7 and 8 Through and Out Revenue distribution.</t>
  </si>
  <si>
    <t>Instructions:</t>
  </si>
  <si>
    <t>Cells shaded in yellow are inputs.  If a cell is not shaded yellow, please do not use it for input</t>
  </si>
  <si>
    <t>TOs with load and/or transmission assets in multiple Transmission Pricing Zones (TPZs), enter amount applicable to each TPZ on a separate line</t>
  </si>
  <si>
    <t>Enter "non-MISO" as the TPZ for transmission facilities and/or load included in Attachment O that is located outside of MISO</t>
  </si>
  <si>
    <t>Column A - enter the TO name or name abbreviation</t>
  </si>
  <si>
    <t>Column B - enter TPZ(s) where transmission assets are located</t>
  </si>
  <si>
    <t>Column C - enter Allocated Gross Transmission Plant from Attachment O, page 2, line 2, column 5 applicable to each TPZ - unless otherwise noted in footnote 1 below</t>
  </si>
  <si>
    <t>Column D - if applicable, enter total Gross Transmission Plant from Attachment GG, page 2, Column 3 for each TPZ</t>
  </si>
  <si>
    <t>Column E - if applicable, enter CWIP included in Attach GG, page 2, Column 3 for each TPZ.  Enter this amount as a negative</t>
  </si>
  <si>
    <t>Column F - if applicable, enter AFUDC excluded from Attach GG, page 2, Column 3 for each TPZ.  Enter this amount as a positive</t>
  </si>
  <si>
    <t>Columns H - J - enter Attach MM information similar to how Attach GG information was entered for columns D - F</t>
  </si>
  <si>
    <r>
      <t>Column L - applicable to</t>
    </r>
    <r>
      <rPr>
        <b/>
        <sz val="11"/>
        <rFont val="Calibri"/>
        <family val="2"/>
        <scheme val="minor"/>
      </rPr>
      <t xml:space="preserve"> </t>
    </r>
    <r>
      <rPr>
        <b/>
        <u/>
        <sz val="11"/>
        <rFont val="Calibri"/>
        <family val="2"/>
        <scheme val="minor"/>
      </rPr>
      <t>Minnesota Power (MP)</t>
    </r>
    <r>
      <rPr>
        <sz val="11"/>
        <rFont val="Calibri"/>
        <family val="2"/>
        <scheme val="minor"/>
      </rPr>
      <t xml:space="preserve"> only -enter the total Gross Transmission Plant from Attachment ZZ, pg 2, Col 3, </t>
    </r>
    <r>
      <rPr>
        <b/>
        <u/>
        <sz val="11"/>
        <rFont val="Calibri"/>
        <family val="2"/>
        <scheme val="minor"/>
      </rPr>
      <t>AC system only</t>
    </r>
  </si>
  <si>
    <r>
      <t xml:space="preserve">Column N  - applicable to </t>
    </r>
    <r>
      <rPr>
        <b/>
        <u/>
        <sz val="11"/>
        <rFont val="Calibri"/>
        <family val="2"/>
        <scheme val="minor"/>
      </rPr>
      <t>GRE, MRES, NSP, and RPU</t>
    </r>
    <r>
      <rPr>
        <sz val="11"/>
        <rFont val="Calibri"/>
        <family val="2"/>
        <scheme val="minor"/>
      </rPr>
      <t xml:space="preserve"> only - enter divisor from Attach O, page 1, line 15 for each TPZ</t>
    </r>
  </si>
  <si>
    <r>
      <t xml:space="preserve">Column O  - applicable to </t>
    </r>
    <r>
      <rPr>
        <b/>
        <u/>
        <sz val="11"/>
        <rFont val="Calibri"/>
        <family val="2"/>
        <scheme val="minor"/>
      </rPr>
      <t>GRE, MRES, NSP, and RPU</t>
    </r>
    <r>
      <rPr>
        <sz val="11"/>
        <rFont val="Calibri"/>
        <family val="2"/>
        <scheme val="minor"/>
      </rPr>
      <t xml:space="preserve"> only - if you have transmission assets in multiple TPZs, please report the annual transmission revenue requirement from Attachment O, page 1, line 7 in the yellow highlighted cell in Column O</t>
    </r>
  </si>
  <si>
    <t>Less Gross Trans Plant, Attach GG, page 2, col 3</t>
  </si>
  <si>
    <t>Less Gross Trans Plant, Attach MM, page 2, col 3</t>
  </si>
  <si>
    <t>TO</t>
  </si>
  <si>
    <t>Trans Pricing Zone</t>
  </si>
  <si>
    <r>
      <t>Allocated Gross Trans Plant (Att O, pg 2, ln 2, col 5)</t>
    </r>
    <r>
      <rPr>
        <b/>
        <vertAlign val="superscript"/>
        <sz val="11"/>
        <rFont val="Calibri"/>
        <family val="2"/>
        <scheme val="minor"/>
      </rPr>
      <t xml:space="preserve"> 1</t>
    </r>
  </si>
  <si>
    <r>
      <t xml:space="preserve">Gross Trans Plant Attach GG, pg 2, total of col 3 </t>
    </r>
    <r>
      <rPr>
        <b/>
        <vertAlign val="superscript"/>
        <sz val="11"/>
        <rFont val="Calibri"/>
        <family val="2"/>
        <scheme val="minor"/>
      </rPr>
      <t>2</t>
    </r>
  </si>
  <si>
    <t>CWIP in Att GG, pg 2, col 3 (enter as negative)</t>
  </si>
  <si>
    <t>AFUDC excl from Att GG, page 2, col 3 (enter as positive)</t>
  </si>
  <si>
    <t xml:space="preserve">Subtotal Gross Trans Plant Att GG </t>
  </si>
  <si>
    <t>Gross Trans Plant Attach MM, pg 2, total of col 3</t>
  </si>
  <si>
    <t>CWIP in Att MM, pg 2, col 3 (enter as negative)</t>
  </si>
  <si>
    <t>AFUDC excl from Att MM, page 2, col 3 (enter as positive)</t>
  </si>
  <si>
    <t>Subtotal Gross Trans Plant Att MM</t>
  </si>
  <si>
    <r>
      <rPr>
        <b/>
        <sz val="11"/>
        <color rgb="FFFF0000"/>
        <rFont val="Calibri"/>
        <family val="2"/>
        <scheme val="minor"/>
      </rPr>
      <t xml:space="preserve">MP Only - AC System       </t>
    </r>
    <r>
      <rPr>
        <b/>
        <sz val="11"/>
        <color theme="1"/>
        <rFont val="Calibri"/>
        <family val="2"/>
        <scheme val="minor"/>
      </rPr>
      <t>Gross Trans Plant Attach ZZ, pg 2, total col 3</t>
    </r>
  </si>
  <si>
    <t>Gross Trans Plant For Sched 7 &amp; 8 Thru &amp; Out Rev Distribution</t>
  </si>
  <si>
    <r>
      <t xml:space="preserve">Divisor, Att O, pg 1, line 15 </t>
    </r>
    <r>
      <rPr>
        <b/>
        <vertAlign val="superscript"/>
        <sz val="11"/>
        <rFont val="Calibri"/>
        <family val="2"/>
        <scheme val="minor"/>
      </rPr>
      <t>3</t>
    </r>
  </si>
  <si>
    <r>
      <t xml:space="preserve">Ann Trans Revenue Req (Att O, pg 1, line 7) </t>
    </r>
    <r>
      <rPr>
        <b/>
        <vertAlign val="superscript"/>
        <sz val="11"/>
        <rFont val="Calibri"/>
        <family val="2"/>
        <scheme val="minor"/>
      </rPr>
      <t>3</t>
    </r>
  </si>
  <si>
    <t>(A)</t>
  </si>
  <si>
    <t>(B)</t>
  </si>
  <si>
    <t>(C)</t>
  </si>
  <si>
    <t>(D)</t>
  </si>
  <si>
    <t>(E)</t>
  </si>
  <si>
    <t>(F)</t>
  </si>
  <si>
    <t>(G) = D + E + F</t>
  </si>
  <si>
    <t>(H)</t>
  </si>
  <si>
    <t>(I)</t>
  </si>
  <si>
    <t>(J)</t>
  </si>
  <si>
    <t>(K) = H + I + J</t>
  </si>
  <si>
    <t>(L)</t>
  </si>
  <si>
    <t>(M) = C - G - K - L</t>
  </si>
  <si>
    <t>(N)</t>
  </si>
  <si>
    <t>(O)</t>
  </si>
  <si>
    <t>RPU</t>
  </si>
  <si>
    <t>16(NSP)</t>
  </si>
  <si>
    <t>20(SMMPA)</t>
  </si>
  <si>
    <r>
      <rPr>
        <b/>
        <vertAlign val="superscript"/>
        <sz val="11"/>
        <color theme="1"/>
        <rFont val="Calibri"/>
        <family val="2"/>
        <scheme val="minor"/>
      </rPr>
      <t>1</t>
    </r>
    <r>
      <rPr>
        <sz val="12"/>
        <rFont val="Arial MT"/>
      </rPr>
      <t xml:space="preserve">  For </t>
    </r>
    <r>
      <rPr>
        <b/>
        <sz val="11"/>
        <color theme="1"/>
        <rFont val="Calibri"/>
        <family val="2"/>
        <scheme val="minor"/>
      </rPr>
      <t>ATC</t>
    </r>
    <r>
      <rPr>
        <sz val="12"/>
        <rFont val="Arial MT"/>
      </rPr>
      <t xml:space="preserve"> specifically, please enter Allocated Gross Transmission Plant from Attachment O, page 2, column 5, line 2a</t>
    </r>
  </si>
  <si>
    <r>
      <t xml:space="preserve">   For </t>
    </r>
    <r>
      <rPr>
        <b/>
        <sz val="11"/>
        <color theme="1"/>
        <rFont val="Calibri"/>
        <family val="2"/>
        <scheme val="minor"/>
      </rPr>
      <t>CMMPA</t>
    </r>
    <r>
      <rPr>
        <sz val="12"/>
        <rFont val="Arial MT"/>
      </rPr>
      <t xml:space="preserve"> and</t>
    </r>
    <r>
      <rPr>
        <b/>
        <sz val="11"/>
        <color theme="1"/>
        <rFont val="Calibri"/>
        <family val="2"/>
        <scheme val="minor"/>
      </rPr>
      <t xml:space="preserve"> MRES</t>
    </r>
    <r>
      <rPr>
        <sz val="12"/>
        <rFont val="Arial MT"/>
      </rPr>
      <t xml:space="preserve"> specifically, please enter Allocated Gross Transmission Plant from Attachment O, page 2, column 5, lines 2 + 2a</t>
    </r>
  </si>
  <si>
    <r>
      <t xml:space="preserve">   For </t>
    </r>
    <r>
      <rPr>
        <b/>
        <sz val="11"/>
        <color theme="1"/>
        <rFont val="Calibri"/>
        <family val="2"/>
        <scheme val="minor"/>
      </rPr>
      <t>DPC</t>
    </r>
    <r>
      <rPr>
        <sz val="12"/>
        <rFont val="Arial MT"/>
      </rPr>
      <t xml:space="preserve"> specifically, please enter Allocated Gross Transmission Plant from Attachment O, page 2, column 5, lines 2 + 2a + 2b + 2c</t>
    </r>
  </si>
  <si>
    <r>
      <t xml:space="preserve">   For </t>
    </r>
    <r>
      <rPr>
        <b/>
        <sz val="11"/>
        <color theme="1"/>
        <rFont val="Calibri"/>
        <family val="2"/>
        <scheme val="minor"/>
      </rPr>
      <t>Minnesota Power</t>
    </r>
    <r>
      <rPr>
        <sz val="12"/>
        <rFont val="Arial MT"/>
      </rPr>
      <t xml:space="preserve"> specifically, please enter Allocated Gross Transmission Plant for the AC system only from Attachment O, page 2, column 7, line 2</t>
    </r>
  </si>
  <si>
    <r>
      <rPr>
        <b/>
        <vertAlign val="superscript"/>
        <sz val="11"/>
        <rFont val="Calibri"/>
        <family val="2"/>
        <scheme val="minor"/>
      </rPr>
      <t>2</t>
    </r>
    <r>
      <rPr>
        <sz val="11"/>
        <rFont val="Calibri"/>
        <family val="2"/>
        <scheme val="minor"/>
      </rPr>
      <t xml:space="preserve">  For TOs that construct a Targeted Market Efficiency Project (TMEP), please also include the TMEP Gross Trans Plant from Attach GG, page 3, column 3</t>
    </r>
  </si>
  <si>
    <r>
      <rPr>
        <b/>
        <vertAlign val="superscript"/>
        <sz val="11"/>
        <color theme="1"/>
        <rFont val="Calibri"/>
        <family val="2"/>
        <scheme val="minor"/>
      </rPr>
      <t>3</t>
    </r>
    <r>
      <rPr>
        <sz val="12"/>
        <rFont val="Arial MT"/>
      </rPr>
      <t xml:space="preserve">  Applies to GRE, MRES, NSP, and RPU only.  Currently, no other forward looking TOs have load and/or transmission assets in multiple zones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</si>
</sst>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0"/>
    <numFmt numFmtId="165" formatCode="&quot;$&quot;#,##0"/>
    <numFmt numFmtId="166" formatCode="&quot;$&quot;#,##0.000"/>
    <numFmt numFmtId="167" formatCode="&quot;$&quot;#,##0.00"/>
    <numFmt numFmtId="168" formatCode="_(&quot;$&quot;* #,##0_);_(&quot;$&quot;* \(#,##0\);_(&quot;$&quot;* &quot;-&quot;??_);_(@_)"/>
    <numFmt numFmtId="169" formatCode="_(* #,##0_);_(* \(#,##0\);_(* &quot;-&quot;??_);_(@_)"/>
    <numFmt numFmtId="170" formatCode="#,##0.0"/>
    <numFmt numFmtId="171" formatCode="0.00_)"/>
    <numFmt numFmtId="172" formatCode="General_)"/>
    <numFmt numFmtId="173" formatCode="0.000"/>
    <numFmt numFmtId="174" formatCode="_([$$-409]* #,##0.00_);_([$$-409]* \(#,##0.00\);_([$$-409]* &quot;-&quot;??_);_(@_)"/>
    <numFmt numFmtId="175" formatCode="0.0000%"/>
    <numFmt numFmtId="176" formatCode="[$$-409]#,##0_);\([$$-409]#,##0\)"/>
    <numFmt numFmtId="177" formatCode="_(* #,##0.0000_);_(* \(#,##0.0000\);_(* &quot;-&quot;??_);_(@_)"/>
  </numFmts>
  <fonts count="145">
    <font>
      <sz val="12"/>
      <name val="Arial MT"/>
    </font>
    <font>
      <sz val="10"/>
      <color theme="1"/>
      <name val="Calibri"/>
      <family val="2"/>
    </font>
    <font>
      <sz val="10"/>
      <color theme="1"/>
      <name val="Calibri"/>
      <family val="2"/>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b/>
      <u val="doubleAccounting"/>
      <sz val="11"/>
      <color theme="1"/>
      <name val="Calibri"/>
      <family val="2"/>
      <scheme val="minor"/>
    </font>
    <font>
      <sz val="10"/>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2"/>
      <name val="Helv"/>
    </font>
    <font>
      <b/>
      <sz val="14"/>
      <color theme="1"/>
      <name val="Times New Roman"/>
      <family val="1"/>
    </font>
    <font>
      <sz val="12"/>
      <color rgb="FFFF0000"/>
      <name val="Helvetica"/>
      <family val="2"/>
    </font>
    <font>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0"/>
      <name val="Arial"/>
      <family val="2"/>
    </font>
    <font>
      <sz val="12"/>
      <color theme="1"/>
      <name val="Arial"/>
      <family val="2"/>
    </font>
    <font>
      <sz val="12"/>
      <color rgb="FF000000"/>
      <name val="Times New Roman"/>
      <family val="1"/>
    </font>
    <font>
      <sz val="10"/>
      <name val="Times New Roman"/>
      <family val="1"/>
    </font>
    <font>
      <sz val="10"/>
      <color theme="1"/>
      <name val="Times New Roman"/>
      <family val="1"/>
    </font>
    <font>
      <b/>
      <sz val="12"/>
      <color rgb="FFFF0000"/>
      <name val="Times New Roman"/>
      <family val="1"/>
    </font>
    <font>
      <b/>
      <sz val="12"/>
      <color rgb="FFFF0000"/>
      <name val="Arial MT"/>
    </font>
    <font>
      <sz val="11"/>
      <color theme="1"/>
      <name val="Times New Roman"/>
      <family val="1"/>
    </font>
    <font>
      <u val="singleAccounting"/>
      <sz val="11"/>
      <color theme="1"/>
      <name val="Times New Roman"/>
      <family val="1"/>
    </font>
    <font>
      <b/>
      <u/>
      <sz val="11"/>
      <color theme="1"/>
      <name val="Times New Roman"/>
      <family val="1"/>
    </font>
    <font>
      <b/>
      <sz val="11"/>
      <color theme="1"/>
      <name val="Times New Roman"/>
      <family val="1"/>
    </font>
    <font>
      <b/>
      <u val="doubleAccounting"/>
      <sz val="11"/>
      <color theme="1"/>
      <name val="Times New Roman"/>
      <family val="1"/>
    </font>
    <font>
      <b/>
      <u val="doubleAccounting"/>
      <sz val="12"/>
      <color theme="1"/>
      <name val="Times New Roman"/>
      <family val="1"/>
    </font>
    <font>
      <sz val="12"/>
      <color rgb="FF333333"/>
      <name val="Times New Roman"/>
      <family val="1"/>
    </font>
    <font>
      <u/>
      <sz val="12"/>
      <color theme="10"/>
      <name val="Arial MT"/>
    </font>
    <font>
      <u/>
      <sz val="12"/>
      <color theme="10"/>
      <name val="Times New Roman"/>
      <family val="1"/>
    </font>
    <font>
      <sz val="12"/>
      <color theme="9" tint="-0.249977111117893"/>
      <name val="Times New Roman"/>
      <family val="1"/>
    </font>
    <font>
      <sz val="12"/>
      <color rgb="FF008000"/>
      <name val="Times New Roman"/>
      <family val="1"/>
    </font>
    <font>
      <sz val="12"/>
      <color theme="4" tint="-0.24994659260841701"/>
      <name val="Times New Roman"/>
      <family val="1"/>
    </font>
    <font>
      <sz val="12"/>
      <color theme="10"/>
      <name val="Times New Roman"/>
      <family val="1"/>
    </font>
    <font>
      <sz val="11"/>
      <color rgb="FF008000"/>
      <name val="Calibri"/>
      <family val="2"/>
      <scheme val="minor"/>
    </font>
    <font>
      <u val="singleAccounting"/>
      <sz val="12"/>
      <color theme="1"/>
      <name val="Times New Roman"/>
      <family val="1"/>
    </font>
    <font>
      <b/>
      <sz val="18"/>
      <color theme="1"/>
      <name val="Times New Roman"/>
      <family val="1"/>
    </font>
    <font>
      <sz val="11"/>
      <color rgb="FF008000"/>
      <name val="Times New Roman"/>
      <family val="1"/>
    </font>
    <font>
      <sz val="10"/>
      <color rgb="FF008000"/>
      <name val="Calibri"/>
      <family val="2"/>
      <scheme val="minor"/>
    </font>
    <font>
      <b/>
      <sz val="11"/>
      <color rgb="FF008000"/>
      <name val="Calibri"/>
      <family val="2"/>
      <scheme val="minor"/>
    </font>
    <font>
      <sz val="10"/>
      <color rgb="FF008000"/>
      <name val="Times New Roman"/>
      <family val="1"/>
    </font>
    <font>
      <sz val="12"/>
      <color rgb="FF008000"/>
      <name val="Arial MT"/>
    </font>
    <font>
      <sz val="12"/>
      <name val="Gill Sans MT"/>
      <family val="2"/>
    </font>
    <font>
      <u val="doubleAccounting"/>
      <sz val="12"/>
      <color theme="1"/>
      <name val="Times New Roman"/>
      <family val="1"/>
    </font>
    <font>
      <sz val="10"/>
      <name val="Courier"/>
      <family val="3"/>
    </font>
    <font>
      <sz val="12"/>
      <color rgb="FFFF0000"/>
      <name val="Arial MT"/>
    </font>
    <font>
      <sz val="10"/>
      <color rgb="FFFF0000"/>
      <name val="Calibri"/>
      <family val="2"/>
      <scheme val="minor"/>
    </font>
    <font>
      <u/>
      <sz val="10"/>
      <color rgb="FF000000"/>
      <name val="Times New Roman"/>
      <family val="1"/>
    </font>
    <font>
      <b/>
      <sz val="16"/>
      <name val="Calibri"/>
      <family val="2"/>
      <scheme val="minor"/>
    </font>
    <font>
      <vertAlign val="superscript"/>
      <sz val="11"/>
      <name val="Calibri"/>
      <family val="2"/>
      <scheme val="minor"/>
    </font>
    <font>
      <sz val="11"/>
      <color rgb="FFFF0000"/>
      <name val="Calibri"/>
      <family val="2"/>
      <scheme val="minor"/>
    </font>
    <font>
      <sz val="8"/>
      <name val="Calibri"/>
      <family val="2"/>
      <scheme val="minor"/>
    </font>
    <font>
      <b/>
      <sz val="16"/>
      <color theme="1"/>
      <name val="Calibri"/>
      <family val="2"/>
      <scheme val="minor"/>
    </font>
    <font>
      <b/>
      <u/>
      <sz val="11"/>
      <name val="Calibri"/>
      <family val="2"/>
      <scheme val="minor"/>
    </font>
    <font>
      <b/>
      <vertAlign val="superscript"/>
      <sz val="11"/>
      <name val="Calibri"/>
      <family val="2"/>
      <scheme val="minor"/>
    </font>
    <font>
      <b/>
      <vertAlign val="superscript"/>
      <sz val="11"/>
      <color theme="1"/>
      <name val="Calibri"/>
      <family val="2"/>
      <scheme val="minor"/>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1"/>
      </bottom>
      <diagonal/>
    </border>
    <border>
      <left/>
      <right/>
      <top style="thin">
        <color theme="1"/>
      </top>
      <bottom style="double">
        <color theme="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1490">
    <xf numFmtId="167" fontId="0" fillId="0" borderId="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4" fillId="0" borderId="0"/>
    <xf numFmtId="167" fontId="18" fillId="0" borderId="0" applyProtection="0"/>
    <xf numFmtId="167" fontId="27" fillId="0" borderId="0" applyFill="0"/>
    <xf numFmtId="167" fontId="27" fillId="0" borderId="0">
      <alignment horizontal="center"/>
    </xf>
    <xf numFmtId="0" fontId="27" fillId="0" borderId="0" applyFill="0">
      <alignment horizontal="center"/>
    </xf>
    <xf numFmtId="167" fontId="28" fillId="0" borderId="30" applyFill="0"/>
    <xf numFmtId="0" fontId="21" fillId="0" borderId="0" applyFont="0" applyAlignment="0"/>
    <xf numFmtId="0" fontId="29" fillId="0" borderId="0" applyFill="0">
      <alignment vertical="top"/>
    </xf>
    <xf numFmtId="0" fontId="28" fillId="0" borderId="0" applyFill="0">
      <alignment horizontal="left" vertical="top"/>
    </xf>
    <xf numFmtId="167" fontId="20" fillId="0" borderId="9" applyFill="0"/>
    <xf numFmtId="0" fontId="21" fillId="0" borderId="0" applyNumberFormat="0" applyFont="0" applyAlignment="0"/>
    <xf numFmtId="0" fontId="29" fillId="0" borderId="0" applyFill="0">
      <alignment wrapText="1"/>
    </xf>
    <xf numFmtId="0" fontId="28" fillId="0" borderId="0" applyFill="0">
      <alignment horizontal="left" vertical="top" wrapText="1"/>
    </xf>
    <xf numFmtId="167" fontId="23" fillId="0" borderId="0" applyFill="0"/>
    <xf numFmtId="0" fontId="30" fillId="0" borderId="0" applyNumberFormat="0" applyFont="0" applyAlignment="0">
      <alignment horizontal="center"/>
    </xf>
    <xf numFmtId="0" fontId="31" fillId="0" borderId="0" applyFill="0">
      <alignment vertical="top" wrapText="1"/>
    </xf>
    <xf numFmtId="0" fontId="20" fillId="0" borderId="0" applyFill="0">
      <alignment horizontal="left" vertical="top" wrapText="1"/>
    </xf>
    <xf numFmtId="167" fontId="21" fillId="0" borderId="0" applyFill="0"/>
    <xf numFmtId="0" fontId="30" fillId="0" borderId="0" applyNumberFormat="0" applyFont="0" applyAlignment="0">
      <alignment horizontal="center"/>
    </xf>
    <xf numFmtId="0" fontId="32" fillId="0" borderId="0" applyFill="0">
      <alignment vertical="center" wrapText="1"/>
    </xf>
    <xf numFmtId="0" fontId="22" fillId="0" borderId="0">
      <alignment horizontal="left" vertical="center" wrapText="1"/>
    </xf>
    <xf numFmtId="167" fontId="33" fillId="0" borderId="0" applyFill="0"/>
    <xf numFmtId="0" fontId="30" fillId="0" borderId="0" applyNumberFormat="0" applyFont="0" applyAlignment="0">
      <alignment horizontal="center"/>
    </xf>
    <xf numFmtId="0" fontId="34" fillId="0" borderId="0" applyFill="0">
      <alignment horizontal="center" vertical="center" wrapText="1"/>
    </xf>
    <xf numFmtId="0" fontId="21" fillId="0" borderId="0" applyFill="0">
      <alignment horizontal="center" vertical="center" wrapText="1"/>
    </xf>
    <xf numFmtId="167" fontId="35" fillId="0" borderId="0" applyFill="0"/>
    <xf numFmtId="0" fontId="30"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67" fontId="38" fillId="0" borderId="0" applyFill="0"/>
    <xf numFmtId="0" fontId="30" fillId="0" borderId="0" applyNumberFormat="0" applyFont="0" applyAlignment="0">
      <alignment horizontal="center"/>
    </xf>
    <xf numFmtId="0" fontId="39" fillId="0" borderId="0">
      <alignment horizontal="center" wrapText="1"/>
    </xf>
    <xf numFmtId="0" fontId="35" fillId="0" borderId="0" applyFill="0">
      <alignment horizontal="center" wrapText="1"/>
    </xf>
    <xf numFmtId="39"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21" fillId="0" borderId="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0" fontId="4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3" fontId="21" fillId="0" borderId="0" applyFont="0" applyFill="0" applyBorder="0" applyAlignment="0" applyProtection="0"/>
    <xf numFmtId="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5" fontId="21" fillId="0" borderId="0" applyFont="0" applyFill="0" applyBorder="0" applyAlignment="0" applyProtection="0"/>
    <xf numFmtId="14" fontId="21" fillId="0" borderId="0" applyFont="0" applyFill="0" applyBorder="0" applyAlignment="0" applyProtection="0"/>
    <xf numFmtId="2" fontId="21" fillId="0" borderId="0" applyFont="0" applyFill="0" applyBorder="0" applyAlignment="0" applyProtection="0"/>
    <xf numFmtId="38" fontId="27" fillId="3" borderId="0" applyNumberFormat="0" applyBorder="0" applyAlignment="0" applyProtection="0"/>
    <xf numFmtId="0" fontId="41" fillId="0" borderId="1"/>
    <xf numFmtId="0" fontId="42" fillId="0" borderId="0"/>
    <xf numFmtId="10" fontId="27" fillId="4" borderId="14" applyNumberFormat="0" applyBorder="0" applyAlignment="0" applyProtection="0"/>
    <xf numFmtId="171" fontId="43" fillId="0" borderId="0"/>
    <xf numFmtId="0" fontId="26" fillId="0" borderId="0"/>
    <xf numFmtId="39" fontId="44" fillId="0" borderId="0"/>
    <xf numFmtId="0" fontId="26" fillId="0" borderId="0"/>
    <xf numFmtId="0" fontId="26" fillId="0" borderId="0"/>
    <xf numFmtId="0" fontId="21" fillId="0" borderId="0"/>
    <xf numFmtId="0" fontId="21" fillId="0" borderId="0"/>
    <xf numFmtId="0" fontId="45" fillId="0" borderId="0"/>
    <xf numFmtId="0" fontId="14" fillId="0" borderId="0"/>
    <xf numFmtId="0" fontId="14" fillId="0" borderId="0"/>
    <xf numFmtId="0" fontId="18" fillId="0" borderId="0"/>
    <xf numFmtId="10"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3" fontId="21" fillId="0" borderId="0">
      <alignment horizontal="left" vertical="top"/>
    </xf>
    <xf numFmtId="0" fontId="47" fillId="0" borderId="1">
      <alignment horizontal="center"/>
    </xf>
    <xf numFmtId="3" fontId="40" fillId="0" borderId="0" applyFont="0" applyFill="0" applyBorder="0" applyAlignment="0" applyProtection="0"/>
    <xf numFmtId="0" fontId="40" fillId="5" borderId="0" applyNumberFormat="0" applyFont="0" applyBorder="0" applyAlignment="0" applyProtection="0"/>
    <xf numFmtId="3" fontId="21" fillId="0" borderId="0">
      <alignment horizontal="right" vertical="top"/>
    </xf>
    <xf numFmtId="41" fontId="22" fillId="3" borderId="13" applyFill="0"/>
    <xf numFmtId="0" fontId="48" fillId="0" borderId="0">
      <alignment horizontal="left" indent="7"/>
    </xf>
    <xf numFmtId="41" fontId="22" fillId="0" borderId="13" applyFill="0">
      <alignment horizontal="left" indent="2"/>
    </xf>
    <xf numFmtId="167" fontId="49" fillId="0" borderId="4" applyFill="0">
      <alignment horizontal="right"/>
    </xf>
    <xf numFmtId="0" fontId="24" fillId="0" borderId="14" applyNumberFormat="0" applyFont="0" applyBorder="0">
      <alignment horizontal="right"/>
    </xf>
    <xf numFmtId="0" fontId="50" fillId="0" borderId="0" applyFill="0"/>
    <xf numFmtId="0" fontId="20" fillId="0" borderId="0" applyFill="0"/>
    <xf numFmtId="4" fontId="49" fillId="0" borderId="4" applyFill="0"/>
    <xf numFmtId="0" fontId="21" fillId="0" borderId="0" applyNumberFormat="0" applyFont="0" applyBorder="0" applyAlignment="0"/>
    <xf numFmtId="0" fontId="31" fillId="0" borderId="0" applyFill="0">
      <alignment horizontal="left" indent="1"/>
    </xf>
    <xf numFmtId="0" fontId="51" fillId="0" borderId="0" applyFill="0">
      <alignment horizontal="left" indent="1"/>
    </xf>
    <xf numFmtId="4" fontId="33" fillId="0" borderId="0" applyFill="0"/>
    <xf numFmtId="0" fontId="21" fillId="0" borderId="0" applyNumberFormat="0" applyFont="0" applyFill="0" applyBorder="0" applyAlignment="0"/>
    <xf numFmtId="0" fontId="31" fillId="0" borderId="0" applyFill="0">
      <alignment horizontal="left" indent="2"/>
    </xf>
    <xf numFmtId="0" fontId="20" fillId="0" borderId="0" applyFill="0">
      <alignment horizontal="left" indent="2"/>
    </xf>
    <xf numFmtId="4" fontId="33" fillId="0" borderId="0" applyFill="0"/>
    <xf numFmtId="0" fontId="21" fillId="0" borderId="0" applyNumberFormat="0" applyFont="0" applyBorder="0" applyAlignment="0"/>
    <xf numFmtId="0" fontId="52" fillId="0" borderId="0">
      <alignment horizontal="left" indent="3"/>
    </xf>
    <xf numFmtId="0" fontId="53" fillId="0" borderId="0" applyFill="0">
      <alignment horizontal="left" indent="3"/>
    </xf>
    <xf numFmtId="4" fontId="33" fillId="0" borderId="0" applyFill="0"/>
    <xf numFmtId="0" fontId="21" fillId="0" borderId="0" applyNumberFormat="0" applyFont="0" applyBorder="0" applyAlignment="0"/>
    <xf numFmtId="0" fontId="34" fillId="0" borderId="0">
      <alignment horizontal="left" indent="4"/>
    </xf>
    <xf numFmtId="0" fontId="21" fillId="0" borderId="0" applyFill="0">
      <alignment horizontal="left" indent="4"/>
    </xf>
    <xf numFmtId="4" fontId="35" fillId="0" borderId="0" applyFill="0"/>
    <xf numFmtId="0" fontId="21"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21"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46" fillId="0" borderId="0" applyNumberFormat="0" applyBorder="0" applyAlignment="0"/>
    <xf numFmtId="0" fontId="54" fillId="0" borderId="0" applyNumberFormat="0" applyBorder="0" applyAlignment="0"/>
    <xf numFmtId="0" fontId="55" fillId="0" borderId="0" applyNumberFormat="0" applyBorder="0" applyAlignment="0"/>
    <xf numFmtId="0" fontId="46" fillId="0" borderId="0" applyNumberFormat="0" applyBorder="0" applyAlignment="0"/>
    <xf numFmtId="9" fontId="18" fillId="0" borderId="0" applyFont="0" applyFill="0" applyBorder="0" applyAlignment="0" applyProtection="0"/>
    <xf numFmtId="44" fontId="18" fillId="0" borderId="0" applyFont="0" applyFill="0" applyBorder="0" applyAlignment="0" applyProtection="0"/>
    <xf numFmtId="0" fontId="13" fillId="0" borderId="0"/>
    <xf numFmtId="43" fontId="19" fillId="0" borderId="0" applyFont="0" applyFill="0" applyBorder="0" applyAlignment="0" applyProtection="0"/>
    <xf numFmtId="44" fontId="19" fillId="0" borderId="0" applyFont="0" applyFill="0" applyBorder="0" applyAlignment="0" applyProtection="0"/>
    <xf numFmtId="0" fontId="18"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172" fontId="73" fillId="0" borderId="0"/>
    <xf numFmtId="44" fontId="19" fillId="0" borderId="0" applyFont="0" applyFill="0" applyBorder="0" applyAlignment="0" applyProtection="0"/>
    <xf numFmtId="0" fontId="19" fillId="0" borderId="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0" fillId="0" borderId="0"/>
    <xf numFmtId="0" fontId="84" fillId="0" borderId="0" applyNumberFormat="0" applyFill="0" applyBorder="0" applyAlignment="0" applyProtection="0"/>
    <xf numFmtId="0" fontId="85" fillId="0" borderId="31" applyNumberFormat="0" applyFill="0" applyAlignment="0" applyProtection="0"/>
    <xf numFmtId="0" fontId="86" fillId="0" borderId="32" applyNumberFormat="0" applyFill="0" applyAlignment="0" applyProtection="0"/>
    <xf numFmtId="0" fontId="87" fillId="0" borderId="33" applyNumberFormat="0" applyFill="0" applyAlignment="0" applyProtection="0"/>
    <xf numFmtId="0" fontId="87" fillId="0" borderId="0" applyNumberFormat="0" applyFill="0" applyBorder="0" applyAlignment="0" applyProtection="0"/>
    <xf numFmtId="0" fontId="88" fillId="7" borderId="0" applyNumberFormat="0" applyBorder="0" applyAlignment="0" applyProtection="0"/>
    <xf numFmtId="0" fontId="89" fillId="8" borderId="0" applyNumberFormat="0" applyBorder="0" applyAlignment="0" applyProtection="0"/>
    <xf numFmtId="0" fontId="90" fillId="9" borderId="0" applyNumberFormat="0" applyBorder="0" applyAlignment="0" applyProtection="0"/>
    <xf numFmtId="0" fontId="91" fillId="10" borderId="34" applyNumberFormat="0" applyAlignment="0" applyProtection="0"/>
    <xf numFmtId="0" fontId="92" fillId="11" borderId="35" applyNumberFormat="0" applyAlignment="0" applyProtection="0"/>
    <xf numFmtId="0" fontId="93" fillId="11" borderId="34" applyNumberFormat="0" applyAlignment="0" applyProtection="0"/>
    <xf numFmtId="0" fontId="94" fillId="0" borderId="36" applyNumberFormat="0" applyFill="0" applyAlignment="0" applyProtection="0"/>
    <xf numFmtId="0" fontId="95" fillId="12" borderId="37" applyNumberFormat="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39" applyNumberFormat="0" applyFill="0" applyAlignment="0" applyProtection="0"/>
    <xf numFmtId="0" fontId="9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9" fillId="21" borderId="0" applyNumberFormat="0" applyBorder="0" applyAlignment="0" applyProtection="0"/>
    <xf numFmtId="0" fontId="9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9" fillId="25" borderId="0" applyNumberFormat="0" applyBorder="0" applyAlignment="0" applyProtection="0"/>
    <xf numFmtId="0" fontId="9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9" fillId="29" borderId="0" applyNumberFormat="0" applyBorder="0" applyAlignment="0" applyProtection="0"/>
    <xf numFmtId="0" fontId="9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9" fillId="33" borderId="0" applyNumberFormat="0" applyBorder="0" applyAlignment="0" applyProtection="0"/>
    <xf numFmtId="0" fontId="9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9" fillId="37" borderId="0" applyNumberFormat="0" applyBorder="0" applyAlignment="0" applyProtection="0"/>
    <xf numFmtId="0" fontId="19" fillId="0" borderId="0"/>
    <xf numFmtId="0" fontId="19" fillId="0" borderId="0"/>
    <xf numFmtId="0" fontId="9" fillId="13" borderId="38" applyNumberFormat="0" applyFont="0" applyAlignment="0" applyProtection="0"/>
    <xf numFmtId="0" fontId="19" fillId="0" borderId="0"/>
    <xf numFmtId="43" fontId="19" fillId="0" borderId="0" applyFont="0" applyFill="0" applyBorder="0" applyAlignment="0" applyProtection="0"/>
    <xf numFmtId="0" fontId="103" fillId="0" borderId="0"/>
    <xf numFmtId="9" fontId="19" fillId="0" borderId="0" applyFont="0" applyFill="0" applyBorder="0" applyAlignment="0" applyProtection="0"/>
    <xf numFmtId="0" fontId="8" fillId="0" borderId="0"/>
    <xf numFmtId="44" fontId="7" fillId="0" borderId="0" applyFont="0" applyFill="0" applyBorder="0" applyAlignment="0" applyProtection="0"/>
    <xf numFmtId="0" fontId="117" fillId="0" borderId="0" applyNumberFormat="0" applyFill="0" applyBorder="0" applyAlignment="0" applyProtection="0">
      <alignment vertical="top"/>
      <protection locked="0"/>
    </xf>
    <xf numFmtId="0" fontId="5" fillId="0" borderId="0"/>
    <xf numFmtId="0" fontId="19" fillId="0" borderId="0" applyFont="0" applyAlignment="0"/>
    <xf numFmtId="0" fontId="19" fillId="0" borderId="0" applyNumberFormat="0" applyFont="0" applyAlignment="0"/>
    <xf numFmtId="167" fontId="19" fillId="0" borderId="0" applyFill="0"/>
    <xf numFmtId="0" fontId="19" fillId="0" borderId="0" applyFill="0">
      <alignment horizontal="center" vertical="center" wrapText="1"/>
    </xf>
    <xf numFmtId="39" fontId="19" fillId="0" borderId="0" applyFont="0" applyFill="0" applyBorder="0" applyAlignment="0" applyProtection="0"/>
    <xf numFmtId="43" fontId="19" fillId="0" borderId="0" applyFont="0" applyFill="0" applyBorder="0" applyAlignment="0" applyProtection="0"/>
    <xf numFmtId="17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7" fontId="19" fillId="0" borderId="0" applyFont="0" applyFill="0" applyBorder="0" applyAlignment="0" applyProtection="0"/>
    <xf numFmtId="44"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2" fontId="19" fillId="0" borderId="0" applyFont="0" applyFill="0" applyBorder="0" applyAlignment="0" applyProtection="0"/>
    <xf numFmtId="0" fontId="19" fillId="0" borderId="0"/>
    <xf numFmtId="0" fontId="19" fillId="0" borderId="0"/>
    <xf numFmtId="0" fontId="5" fillId="0" borderId="0"/>
    <xf numFmtId="0" fontId="5" fillId="0" borderId="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 fontId="19" fillId="0" borderId="0">
      <alignment horizontal="left" vertical="top"/>
    </xf>
    <xf numFmtId="3" fontId="19" fillId="0" borderId="0">
      <alignment horizontal="right" vertical="top"/>
    </xf>
    <xf numFmtId="0" fontId="19" fillId="0" borderId="0" applyNumberFormat="0" applyFont="0" applyBorder="0" applyAlignment="0"/>
    <xf numFmtId="0" fontId="19" fillId="0" borderId="0" applyNumberFormat="0" applyFont="0" applyFill="0" applyBorder="0" applyAlignment="0"/>
    <xf numFmtId="0" fontId="19" fillId="0" borderId="0" applyNumberFormat="0" applyFont="0" applyBorder="0" applyAlignment="0"/>
    <xf numFmtId="0" fontId="19" fillId="0" borderId="0" applyNumberFormat="0" applyFont="0" applyBorder="0" applyAlignment="0"/>
    <xf numFmtId="0" fontId="19" fillId="0" borderId="0" applyFill="0">
      <alignment horizontal="left" indent="4"/>
    </xf>
    <xf numFmtId="0" fontId="19" fillId="0" borderId="0" applyNumberFormat="0" applyFont="0" applyBorder="0" applyAlignment="0"/>
    <xf numFmtId="0" fontId="19" fillId="0" borderId="0" applyNumberFormat="0" applyFont="0" applyFill="0" applyBorder="0" applyAlignment="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4" fillId="0" borderId="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3" borderId="38" applyNumberFormat="0" applyFont="0" applyAlignment="0" applyProtection="0"/>
    <xf numFmtId="0" fontId="19" fillId="0" borderId="0"/>
    <xf numFmtId="0" fontId="5" fillId="0" borderId="0"/>
    <xf numFmtId="0" fontId="133" fillId="0" borderId="0"/>
    <xf numFmtId="43" fontId="19" fillId="0" borderId="0" applyFont="0" applyFill="0" applyBorder="0" applyAlignment="0" applyProtection="0"/>
    <xf numFmtId="44" fontId="19" fillId="0" borderId="0" applyFont="0" applyFill="0" applyBorder="0" applyAlignment="0" applyProtection="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4" fillId="13" borderId="38" applyNumberFormat="0" applyFont="0" applyAlignment="0" applyProtection="0"/>
    <xf numFmtId="43" fontId="4" fillId="0" borderId="0" applyFont="0" applyFill="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5" fillId="0" borderId="0"/>
    <xf numFmtId="0" fontId="19" fillId="0" borderId="0" applyFont="0" applyAlignment="0"/>
    <xf numFmtId="0" fontId="19" fillId="0" borderId="0" applyNumberFormat="0" applyFont="0" applyAlignment="0"/>
    <xf numFmtId="167" fontId="19" fillId="0" borderId="0" applyFill="0"/>
    <xf numFmtId="0" fontId="19" fillId="0" borderId="0" applyFill="0">
      <alignment horizontal="center" vertical="center" wrapText="1"/>
    </xf>
    <xf numFmtId="39" fontId="19" fillId="0" borderId="0" applyFont="0" applyFill="0" applyBorder="0" applyAlignment="0" applyProtection="0"/>
    <xf numFmtId="43" fontId="19" fillId="0" borderId="0" applyFont="0" applyFill="0" applyBorder="0" applyAlignment="0" applyProtection="0"/>
    <xf numFmtId="17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7" fontId="19" fillId="0" borderId="0" applyFont="0" applyFill="0" applyBorder="0" applyAlignment="0" applyProtection="0"/>
    <xf numFmtId="44"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2" fontId="19" fillId="0" borderId="0" applyFont="0" applyFill="0" applyBorder="0" applyAlignment="0" applyProtection="0"/>
    <xf numFmtId="0" fontId="19" fillId="0" borderId="0"/>
    <xf numFmtId="0" fontId="19" fillId="0" borderId="0"/>
    <xf numFmtId="0" fontId="5" fillId="0" borderId="0"/>
    <xf numFmtId="0" fontId="5" fillId="0" borderId="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 fontId="19" fillId="0" borderId="0">
      <alignment horizontal="left" vertical="top"/>
    </xf>
    <xf numFmtId="3" fontId="19" fillId="0" borderId="0">
      <alignment horizontal="right" vertical="top"/>
    </xf>
    <xf numFmtId="0" fontId="19" fillId="0" borderId="0" applyNumberFormat="0" applyFont="0" applyBorder="0" applyAlignment="0"/>
    <xf numFmtId="0" fontId="19" fillId="0" borderId="0" applyNumberFormat="0" applyFont="0" applyFill="0" applyBorder="0" applyAlignment="0"/>
    <xf numFmtId="0" fontId="19" fillId="0" borderId="0" applyNumberFormat="0" applyFont="0" applyBorder="0" applyAlignment="0"/>
    <xf numFmtId="0" fontId="19" fillId="0" borderId="0" applyNumberFormat="0" applyFont="0" applyBorder="0" applyAlignment="0"/>
    <xf numFmtId="0" fontId="19" fillId="0" borderId="0" applyFill="0">
      <alignment horizontal="left" indent="4"/>
    </xf>
    <xf numFmtId="0" fontId="19" fillId="0" borderId="0" applyNumberFormat="0" applyFont="0" applyBorder="0" applyAlignment="0"/>
    <xf numFmtId="0" fontId="19" fillId="0" borderId="0" applyNumberFormat="0" applyFont="0" applyFill="0" applyBorder="0" applyAlignment="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4" fillId="0" borderId="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3" borderId="38" applyNumberFormat="0" applyFont="0" applyAlignment="0" applyProtection="0"/>
    <xf numFmtId="0" fontId="19" fillId="0" borderId="0"/>
    <xf numFmtId="0" fontId="4" fillId="0" borderId="0"/>
    <xf numFmtId="43" fontId="4" fillId="0" borderId="0" applyFont="0" applyFill="0" applyBorder="0" applyAlignment="0" applyProtection="0"/>
    <xf numFmtId="0" fontId="4" fillId="0" borderId="0"/>
    <xf numFmtId="0" fontId="4" fillId="13" borderId="38" applyNumberFormat="0" applyFont="0" applyAlignment="0" applyProtection="0"/>
    <xf numFmtId="43" fontId="4" fillId="0" borderId="0" applyFont="0" applyFill="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0" borderId="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3" borderId="38" applyNumberFormat="0" applyFont="0" applyAlignment="0" applyProtection="0"/>
    <xf numFmtId="0" fontId="4" fillId="0" borderId="0"/>
    <xf numFmtId="43" fontId="4" fillId="0" borderId="0" applyFont="0" applyFill="0" applyBorder="0" applyAlignment="0" applyProtection="0"/>
    <xf numFmtId="0" fontId="4" fillId="0" borderId="0"/>
    <xf numFmtId="0" fontId="4" fillId="13" borderId="38" applyNumberFormat="0" applyFont="0" applyAlignment="0" applyProtection="0"/>
    <xf numFmtId="43" fontId="4" fillId="0" borderId="0" applyFont="0" applyFill="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0" borderId="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3" borderId="38" applyNumberFormat="0" applyFont="0" applyAlignment="0" applyProtection="0"/>
    <xf numFmtId="0" fontId="4" fillId="0" borderId="0"/>
    <xf numFmtId="43" fontId="4" fillId="0" borderId="0" applyFont="0" applyFill="0" applyBorder="0" applyAlignment="0" applyProtection="0"/>
    <xf numFmtId="0" fontId="4" fillId="0" borderId="0"/>
    <xf numFmtId="0" fontId="4" fillId="13" borderId="38" applyNumberFormat="0" applyFont="0" applyAlignment="0" applyProtection="0"/>
    <xf numFmtId="43" fontId="4" fillId="0" borderId="0" applyFont="0" applyFill="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5" fillId="0" borderId="0"/>
    <xf numFmtId="0" fontId="5" fillId="0" borderId="0"/>
    <xf numFmtId="0" fontId="5" fillId="0" borderId="0"/>
    <xf numFmtId="0" fontId="5" fillId="0" borderId="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2" fillId="0" borderId="0"/>
  </cellStyleXfs>
  <cellXfs count="670">
    <xf numFmtId="167" fontId="0" fillId="0" borderId="0" xfId="0" applyAlignment="1"/>
    <xf numFmtId="167" fontId="15" fillId="0" borderId="0" xfId="0" applyFont="1" applyAlignment="1"/>
    <xf numFmtId="0" fontId="15" fillId="0" borderId="0" xfId="0" applyNumberFormat="1" applyFont="1"/>
    <xf numFmtId="0" fontId="15" fillId="0" borderId="0" xfId="0" applyNumberFormat="1" applyFont="1" applyAlignment="1">
      <alignment horizontal="right"/>
    </xf>
    <xf numFmtId="0" fontId="15" fillId="0" borderId="0" xfId="0" applyNumberFormat="1" applyFont="1" applyAlignment="1">
      <alignment horizontal="center"/>
    </xf>
    <xf numFmtId="0" fontId="15" fillId="2" borderId="0" xfId="0" applyNumberFormat="1" applyFont="1" applyFill="1" applyAlignment="1" applyProtection="1">
      <alignment horizontal="right"/>
      <protection locked="0"/>
    </xf>
    <xf numFmtId="167" fontId="16" fillId="0" borderId="0" xfId="0" applyFont="1" applyAlignment="1">
      <alignment horizontal="center"/>
    </xf>
    <xf numFmtId="0" fontId="16" fillId="0" borderId="0" xfId="0" applyNumberFormat="1" applyFont="1" applyAlignment="1"/>
    <xf numFmtId="167" fontId="15" fillId="0" borderId="0" xfId="0" applyFont="1" applyFill="1" applyAlignment="1"/>
    <xf numFmtId="167" fontId="15" fillId="0" borderId="0" xfId="0" applyFont="1" applyAlignment="1">
      <alignment horizontal="right"/>
    </xf>
    <xf numFmtId="0" fontId="15" fillId="0" borderId="0" xfId="0" applyNumberFormat="1" applyFont="1" applyFill="1"/>
    <xf numFmtId="0" fontId="21" fillId="0" borderId="0" xfId="2" applyFont="1"/>
    <xf numFmtId="0" fontId="19" fillId="0" borderId="0" xfId="2"/>
    <xf numFmtId="0" fontId="19" fillId="0" borderId="11" xfId="2" applyBorder="1" applyAlignment="1">
      <alignment horizontal="center"/>
    </xf>
    <xf numFmtId="0" fontId="19" fillId="0" borderId="3" xfId="2" applyBorder="1"/>
    <xf numFmtId="0" fontId="19" fillId="0" borderId="3" xfId="2" applyBorder="1" applyAlignment="1">
      <alignment horizontal="center"/>
    </xf>
    <xf numFmtId="0" fontId="19" fillId="0" borderId="12" xfId="2" applyBorder="1" applyAlignment="1">
      <alignment horizontal="center"/>
    </xf>
    <xf numFmtId="0" fontId="19" fillId="0" borderId="5" xfId="2" applyBorder="1" applyAlignment="1">
      <alignment horizontal="center"/>
    </xf>
    <xf numFmtId="0" fontId="19" fillId="0" borderId="5" xfId="2" applyFill="1" applyBorder="1" applyAlignment="1">
      <alignment horizontal="center"/>
    </xf>
    <xf numFmtId="0" fontId="19" fillId="0" borderId="13" xfId="2" applyBorder="1" applyAlignment="1">
      <alignment horizontal="center"/>
    </xf>
    <xf numFmtId="0" fontId="24" fillId="0" borderId="11" xfId="2" applyFont="1" applyBorder="1" applyAlignment="1">
      <alignment horizontal="center"/>
    </xf>
    <xf numFmtId="43" fontId="0" fillId="0" borderId="11" xfId="3" applyFont="1" applyFill="1" applyBorder="1"/>
    <xf numFmtId="0" fontId="19" fillId="0" borderId="11" xfId="2" applyFill="1" applyBorder="1" applyAlignment="1">
      <alignment horizontal="center"/>
    </xf>
    <xf numFmtId="0" fontId="24" fillId="0" borderId="11" xfId="2" applyFont="1" applyFill="1" applyBorder="1" applyAlignment="1">
      <alignment horizontal="center"/>
    </xf>
    <xf numFmtId="0" fontId="19" fillId="0" borderId="13" xfId="2" applyBorder="1"/>
    <xf numFmtId="37" fontId="0" fillId="0" borderId="13" xfId="3" applyNumberFormat="1" applyFont="1" applyFill="1" applyBorder="1"/>
    <xf numFmtId="0" fontId="19" fillId="0" borderId="13" xfId="2" applyFill="1" applyBorder="1" applyAlignment="1">
      <alignment horizontal="center"/>
    </xf>
    <xf numFmtId="0" fontId="19" fillId="0" borderId="13" xfId="2" applyFill="1" applyBorder="1"/>
    <xf numFmtId="0" fontId="19" fillId="0" borderId="12" xfId="2" applyBorder="1" applyAlignment="1">
      <alignment horizontal="left" indent="1"/>
    </xf>
    <xf numFmtId="168" fontId="25" fillId="0" borderId="12" xfId="4" applyNumberFormat="1" applyFont="1" applyFill="1" applyBorder="1"/>
    <xf numFmtId="0" fontId="19" fillId="0" borderId="12" xfId="2" applyFill="1" applyBorder="1" applyAlignment="1">
      <alignment horizontal="center"/>
    </xf>
    <xf numFmtId="0" fontId="19" fillId="0" borderId="12" xfId="2" applyFill="1" applyBorder="1"/>
    <xf numFmtId="0" fontId="19" fillId="0" borderId="14" xfId="2" applyBorder="1" applyAlignment="1">
      <alignment horizontal="center"/>
    </xf>
    <xf numFmtId="0" fontId="19" fillId="0" borderId="14" xfId="2" applyBorder="1"/>
    <xf numFmtId="0" fontId="19" fillId="0" borderId="14" xfId="2" applyFill="1" applyBorder="1" applyAlignment="1">
      <alignment horizontal="center"/>
    </xf>
    <xf numFmtId="0" fontId="19" fillId="0" borderId="14" xfId="2" applyFill="1" applyBorder="1"/>
    <xf numFmtId="0" fontId="19" fillId="0" borderId="13" xfId="2" applyBorder="1" applyAlignment="1">
      <alignment horizontal="left" indent="1"/>
    </xf>
    <xf numFmtId="37" fontId="25" fillId="0" borderId="13" xfId="3" applyNumberFormat="1" applyFont="1" applyFill="1" applyBorder="1"/>
    <xf numFmtId="0" fontId="19" fillId="0" borderId="12" xfId="2" applyFill="1" applyBorder="1" applyAlignment="1">
      <alignment horizontal="left" indent="1"/>
    </xf>
    <xf numFmtId="0" fontId="24" fillId="0" borderId="15" xfId="2" applyFont="1" applyFill="1" applyBorder="1"/>
    <xf numFmtId="37" fontId="24" fillId="0" borderId="16" xfId="3" applyNumberFormat="1" applyFont="1" applyFill="1" applyBorder="1"/>
    <xf numFmtId="0" fontId="19" fillId="0" borderId="17" xfId="2" applyFill="1" applyBorder="1" applyAlignment="1">
      <alignment horizontal="center"/>
    </xf>
    <xf numFmtId="0" fontId="24" fillId="0" borderId="18" xfId="2" applyFont="1" applyFill="1" applyBorder="1"/>
    <xf numFmtId="37" fontId="25" fillId="0" borderId="3" xfId="3" applyNumberFormat="1" applyFont="1" applyFill="1" applyBorder="1"/>
    <xf numFmtId="0" fontId="24" fillId="0" borderId="13" xfId="2" applyFont="1" applyFill="1" applyBorder="1" applyAlignment="1">
      <alignment horizontal="center"/>
    </xf>
    <xf numFmtId="0" fontId="19" fillId="0" borderId="6" xfId="2" applyBorder="1"/>
    <xf numFmtId="0" fontId="19" fillId="0" borderId="3" xfId="2" applyFill="1" applyBorder="1" applyAlignment="1">
      <alignment horizontal="center"/>
    </xf>
    <xf numFmtId="0" fontId="19" fillId="0" borderId="9" xfId="2" applyBorder="1" applyAlignment="1">
      <alignment horizontal="center"/>
    </xf>
    <xf numFmtId="0" fontId="24" fillId="0" borderId="11" xfId="2" applyFont="1" applyBorder="1"/>
    <xf numFmtId="37" fontId="24" fillId="0" borderId="11" xfId="3" applyNumberFormat="1" applyFont="1" applyFill="1" applyBorder="1"/>
    <xf numFmtId="0" fontId="24" fillId="0" borderId="19" xfId="2" applyFont="1" applyBorder="1"/>
    <xf numFmtId="0" fontId="24" fillId="0" borderId="13" xfId="2" applyFont="1" applyBorder="1" applyAlignment="1">
      <alignment horizontal="center"/>
    </xf>
    <xf numFmtId="0" fontId="19" fillId="0" borderId="12" xfId="2" applyBorder="1"/>
    <xf numFmtId="169" fontId="25" fillId="0" borderId="12" xfId="3" applyNumberFormat="1" applyFont="1" applyFill="1" applyBorder="1"/>
    <xf numFmtId="169" fontId="0" fillId="0" borderId="13" xfId="3" applyNumberFormat="1" applyFont="1" applyFill="1" applyBorder="1"/>
    <xf numFmtId="0" fontId="24" fillId="0" borderId="7" xfId="2" applyFont="1" applyFill="1" applyBorder="1"/>
    <xf numFmtId="169" fontId="24" fillId="0" borderId="16" xfId="3" applyNumberFormat="1" applyFont="1" applyFill="1" applyBorder="1"/>
    <xf numFmtId="0" fontId="24" fillId="0" borderId="18" xfId="2" applyFont="1" applyBorder="1"/>
    <xf numFmtId="0" fontId="24" fillId="0" borderId="12" xfId="2" applyFont="1" applyFill="1" applyBorder="1" applyAlignment="1">
      <alignment horizontal="center"/>
    </xf>
    <xf numFmtId="0" fontId="19" fillId="0" borderId="0" xfId="2" applyFill="1"/>
    <xf numFmtId="0" fontId="19" fillId="0" borderId="12" xfId="2" quotePrefix="1" applyFill="1" applyBorder="1" applyAlignment="1">
      <alignment horizontal="left" indent="1"/>
    </xf>
    <xf numFmtId="0" fontId="24" fillId="0" borderId="13" xfId="2" applyFont="1" applyBorder="1"/>
    <xf numFmtId="169" fontId="24" fillId="0" borderId="13" xfId="3" applyNumberFormat="1" applyFont="1" applyFill="1" applyBorder="1"/>
    <xf numFmtId="0" fontId="19" fillId="0" borderId="20" xfId="2" applyBorder="1" applyAlignment="1">
      <alignment horizontal="center"/>
    </xf>
    <xf numFmtId="0" fontId="24" fillId="0" borderId="21" xfId="2" applyFont="1" applyBorder="1"/>
    <xf numFmtId="168" fontId="24" fillId="0" borderId="16" xfId="4" applyNumberFormat="1" applyFont="1" applyFill="1" applyBorder="1"/>
    <xf numFmtId="0" fontId="19" fillId="0" borderId="22" xfId="2" applyFill="1" applyBorder="1" applyAlignment="1">
      <alignment horizontal="center"/>
    </xf>
    <xf numFmtId="0" fontId="24" fillId="0" borderId="21" xfId="2" applyFont="1" applyFill="1" applyBorder="1"/>
    <xf numFmtId="0" fontId="19" fillId="0" borderId="0" xfId="2" applyBorder="1"/>
    <xf numFmtId="37" fontId="0" fillId="0" borderId="0" xfId="3" applyNumberFormat="1" applyFont="1" applyFill="1" applyBorder="1"/>
    <xf numFmtId="0" fontId="19" fillId="0" borderId="0" xfId="2" applyFill="1" applyBorder="1"/>
    <xf numFmtId="37" fontId="19" fillId="0" borderId="0" xfId="2" applyNumberFormat="1" applyFill="1" applyBorder="1"/>
    <xf numFmtId="37" fontId="19" fillId="0" borderId="0" xfId="2" applyNumberFormat="1" applyBorder="1"/>
    <xf numFmtId="0" fontId="22" fillId="0" borderId="0" xfId="2" applyFont="1" applyAlignment="1">
      <alignment horizontal="left"/>
    </xf>
    <xf numFmtId="14" fontId="22" fillId="0" borderId="0" xfId="2" applyNumberFormat="1" applyFont="1" applyAlignment="1">
      <alignment horizontal="left"/>
    </xf>
    <xf numFmtId="0" fontId="21" fillId="0" borderId="0" xfId="2" applyFont="1" applyAlignment="1">
      <alignment horizontal="left"/>
    </xf>
    <xf numFmtId="0" fontId="23" fillId="0" borderId="0" xfId="2" applyFont="1" applyBorder="1" applyAlignment="1">
      <alignment horizontal="left"/>
    </xf>
    <xf numFmtId="0" fontId="19" fillId="0" borderId="10" xfId="2" applyFill="1" applyBorder="1"/>
    <xf numFmtId="0" fontId="19" fillId="0" borderId="10" xfId="2" applyFill="1" applyBorder="1" applyAlignment="1">
      <alignment horizontal="center"/>
    </xf>
    <xf numFmtId="0" fontId="19" fillId="0" borderId="5" xfId="2" applyFill="1" applyBorder="1"/>
    <xf numFmtId="169" fontId="25" fillId="0" borderId="5" xfId="3" applyNumberFormat="1" applyFont="1" applyFill="1" applyBorder="1"/>
    <xf numFmtId="0" fontId="19" fillId="0" borderId="17" xfId="2" applyFill="1" applyBorder="1"/>
    <xf numFmtId="0" fontId="19" fillId="0" borderId="3" xfId="2" applyFill="1" applyBorder="1"/>
    <xf numFmtId="169" fontId="25" fillId="0" borderId="3" xfId="3" applyNumberFormat="1" applyFont="1" applyFill="1" applyBorder="1"/>
    <xf numFmtId="0" fontId="19" fillId="0" borderId="23" xfId="2" applyFill="1" applyBorder="1" applyAlignment="1">
      <alignment horizontal="center"/>
    </xf>
    <xf numFmtId="0" fontId="19" fillId="0" borderId="24" xfId="2" applyFill="1" applyBorder="1"/>
    <xf numFmtId="169" fontId="24" fillId="0" borderId="25" xfId="3" applyNumberFormat="1" applyFont="1" applyFill="1" applyBorder="1"/>
    <xf numFmtId="0" fontId="24" fillId="0" borderId="24" xfId="2" applyFont="1" applyFill="1" applyBorder="1"/>
    <xf numFmtId="0" fontId="21" fillId="0" borderId="23" xfId="2" applyFont="1" applyFill="1" applyBorder="1" applyAlignment="1">
      <alignment horizontal="center"/>
    </xf>
    <xf numFmtId="0" fontId="21" fillId="0" borderId="24" xfId="2" applyFont="1" applyFill="1" applyBorder="1"/>
    <xf numFmtId="168" fontId="24" fillId="0" borderId="26" xfId="4" applyNumberFormat="1" applyFont="1" applyFill="1" applyBorder="1"/>
    <xf numFmtId="37" fontId="19" fillId="0" borderId="0" xfId="2" applyNumberFormat="1"/>
    <xf numFmtId="0" fontId="22" fillId="0" borderId="0" xfId="2" applyFont="1" applyAlignment="1">
      <alignment horizontal="center"/>
    </xf>
    <xf numFmtId="0" fontId="24" fillId="0" borderId="0" xfId="2" applyFont="1"/>
    <xf numFmtId="14" fontId="22" fillId="0" borderId="0" xfId="2" applyNumberFormat="1" applyFont="1" applyAlignment="1">
      <alignment horizontal="center"/>
    </xf>
    <xf numFmtId="37" fontId="19" fillId="0" borderId="11" xfId="2" applyNumberFormat="1" applyBorder="1"/>
    <xf numFmtId="37" fontId="19" fillId="0" borderId="3" xfId="2" applyNumberFormat="1" applyBorder="1"/>
    <xf numFmtId="0" fontId="19" fillId="0" borderId="4" xfId="2" applyFill="1" applyBorder="1" applyAlignment="1">
      <alignment horizontal="left" indent="1"/>
    </xf>
    <xf numFmtId="0" fontId="19" fillId="0" borderId="28" xfId="2" applyFill="1" applyBorder="1"/>
    <xf numFmtId="168" fontId="24" fillId="0" borderId="27" xfId="4" applyNumberFormat="1" applyFont="1" applyFill="1" applyBorder="1"/>
    <xf numFmtId="168" fontId="24" fillId="0" borderId="24" xfId="4" applyNumberFormat="1" applyFont="1" applyFill="1" applyBorder="1"/>
    <xf numFmtId="37" fontId="25" fillId="0" borderId="3" xfId="2" applyNumberFormat="1" applyFont="1" applyFill="1" applyBorder="1"/>
    <xf numFmtId="169" fontId="25" fillId="0" borderId="5" xfId="3" applyNumberFormat="1" applyFont="1" applyFill="1" applyBorder="1" applyAlignment="1">
      <alignment horizontal="right"/>
    </xf>
    <xf numFmtId="169" fontId="25" fillId="0" borderId="3" xfId="3" applyNumberFormat="1" applyFont="1" applyFill="1" applyBorder="1" applyAlignment="1">
      <alignment horizontal="right"/>
    </xf>
    <xf numFmtId="169" fontId="25" fillId="0" borderId="17" xfId="3" applyNumberFormat="1" applyFont="1" applyFill="1" applyBorder="1" applyAlignment="1">
      <alignment horizontal="right"/>
    </xf>
    <xf numFmtId="37" fontId="25" fillId="0" borderId="3" xfId="2" applyNumberFormat="1" applyFont="1" applyFill="1" applyBorder="1" applyAlignment="1">
      <alignment horizontal="right"/>
    </xf>
    <xf numFmtId="37" fontId="19" fillId="0" borderId="0" xfId="2" applyNumberFormat="1" applyFill="1"/>
    <xf numFmtId="0" fontId="21" fillId="0" borderId="0" xfId="2" applyFont="1" applyBorder="1"/>
    <xf numFmtId="0" fontId="21" fillId="0" borderId="5" xfId="2" applyFont="1" applyBorder="1" applyAlignment="1">
      <alignment horizontal="center"/>
    </xf>
    <xf numFmtId="0" fontId="21" fillId="0" borderId="3" xfId="2" applyFont="1" applyBorder="1" applyAlignment="1">
      <alignment horizontal="center"/>
    </xf>
    <xf numFmtId="37" fontId="21" fillId="0" borderId="3" xfId="2" applyNumberFormat="1" applyFont="1" applyBorder="1"/>
    <xf numFmtId="168" fontId="21" fillId="0" borderId="5" xfId="4" applyNumberFormat="1" applyFont="1" applyBorder="1"/>
    <xf numFmtId="169" fontId="21" fillId="0" borderId="5" xfId="3" applyNumberFormat="1" applyFont="1" applyBorder="1"/>
    <xf numFmtId="169" fontId="21" fillId="0" borderId="3" xfId="3" applyNumberFormat="1" applyFont="1" applyBorder="1"/>
    <xf numFmtId="0" fontId="21" fillId="0" borderId="5" xfId="2" applyFont="1" applyFill="1" applyBorder="1" applyAlignment="1">
      <alignment horizontal="center"/>
    </xf>
    <xf numFmtId="43" fontId="56" fillId="0" borderId="11" xfId="3" applyFont="1" applyFill="1" applyBorder="1"/>
    <xf numFmtId="37" fontId="56" fillId="0" borderId="13" xfId="3" applyNumberFormat="1" applyFont="1" applyFill="1" applyBorder="1"/>
    <xf numFmtId="37" fontId="56" fillId="0" borderId="14" xfId="3" applyNumberFormat="1" applyFont="1" applyFill="1" applyBorder="1"/>
    <xf numFmtId="169" fontId="56" fillId="0" borderId="13" xfId="3" applyNumberFormat="1" applyFont="1" applyFill="1" applyBorder="1"/>
    <xf numFmtId="169" fontId="56" fillId="0" borderId="12" xfId="3" applyNumberFormat="1" applyFont="1" applyFill="1" applyBorder="1"/>
    <xf numFmtId="169" fontId="56" fillId="0" borderId="0" xfId="3" applyNumberFormat="1" applyFont="1" applyFill="1" applyBorder="1"/>
    <xf numFmtId="43" fontId="56" fillId="0" borderId="0" xfId="3" applyFont="1" applyFill="1" applyBorder="1"/>
    <xf numFmtId="37" fontId="21" fillId="0" borderId="0" xfId="2" applyNumberFormat="1" applyFont="1" applyBorder="1"/>
    <xf numFmtId="43" fontId="56" fillId="0" borderId="0" xfId="3" applyFont="1" applyBorder="1"/>
    <xf numFmtId="43" fontId="21" fillId="0" borderId="0" xfId="2" applyNumberFormat="1" applyFont="1" applyBorder="1"/>
    <xf numFmtId="37" fontId="25" fillId="0" borderId="12" xfId="3" applyNumberFormat="1" applyFont="1" applyFill="1" applyBorder="1"/>
    <xf numFmtId="37" fontId="56" fillId="0" borderId="12" xfId="3" applyNumberFormat="1" applyFont="1" applyFill="1" applyBorder="1"/>
    <xf numFmtId="169" fontId="21" fillId="0" borderId="5" xfId="3" applyNumberFormat="1" applyFont="1" applyFill="1" applyBorder="1"/>
    <xf numFmtId="169" fontId="21" fillId="0" borderId="3" xfId="3" applyNumberFormat="1" applyFont="1" applyFill="1" applyBorder="1"/>
    <xf numFmtId="169" fontId="21" fillId="0" borderId="17" xfId="3" applyNumberFormat="1" applyFont="1" applyFill="1" applyBorder="1"/>
    <xf numFmtId="168" fontId="24" fillId="0" borderId="25" xfId="4" applyNumberFormat="1" applyFont="1" applyFill="1" applyBorder="1"/>
    <xf numFmtId="37" fontId="21" fillId="0" borderId="3" xfId="2" applyNumberFormat="1" applyFont="1" applyFill="1" applyBorder="1"/>
    <xf numFmtId="0" fontId="19" fillId="0" borderId="5" xfId="2" applyFill="1" applyBorder="1" applyAlignment="1">
      <alignment horizontal="left" indent="1"/>
    </xf>
    <xf numFmtId="169" fontId="56" fillId="0" borderId="5" xfId="3" applyNumberFormat="1" applyFont="1" applyFill="1" applyBorder="1"/>
    <xf numFmtId="169" fontId="56" fillId="0" borderId="3" xfId="3" applyNumberFormat="1" applyFont="1" applyFill="1" applyBorder="1"/>
    <xf numFmtId="37" fontId="21" fillId="0" borderId="0" xfId="2" applyNumberFormat="1" applyFont="1" applyFill="1"/>
    <xf numFmtId="0" fontId="19" fillId="0" borderId="7" xfId="2" applyFill="1" applyBorder="1"/>
    <xf numFmtId="37" fontId="19" fillId="0" borderId="4" xfId="2" applyNumberFormat="1" applyFill="1" applyBorder="1"/>
    <xf numFmtId="37" fontId="25" fillId="0" borderId="10" xfId="2" applyNumberFormat="1" applyFont="1" applyFill="1" applyBorder="1"/>
    <xf numFmtId="37" fontId="25" fillId="0" borderId="5" xfId="2" applyNumberFormat="1" applyFont="1" applyFill="1" applyBorder="1"/>
    <xf numFmtId="37" fontId="57" fillId="0" borderId="0" xfId="2" applyNumberFormat="1" applyFont="1" applyFill="1"/>
    <xf numFmtId="168" fontId="19" fillId="0" borderId="0" xfId="199" applyNumberFormat="1" applyFont="1"/>
    <xf numFmtId="169" fontId="19" fillId="0" borderId="0" xfId="1" applyNumberFormat="1" applyFont="1"/>
    <xf numFmtId="169" fontId="59" fillId="0" borderId="0" xfId="1" applyNumberFormat="1" applyFont="1"/>
    <xf numFmtId="0" fontId="59" fillId="0" borderId="0" xfId="2" applyFont="1"/>
    <xf numFmtId="0" fontId="59" fillId="0" borderId="0" xfId="2" applyFont="1" applyAlignment="1">
      <alignment horizontal="left"/>
    </xf>
    <xf numFmtId="0" fontId="59" fillId="0" borderId="11" xfId="2" applyFont="1" applyBorder="1" applyAlignment="1">
      <alignment horizontal="center"/>
    </xf>
    <xf numFmtId="0" fontId="59" fillId="0" borderId="10" xfId="2" applyFont="1" applyBorder="1" applyAlignment="1">
      <alignment horizontal="center"/>
    </xf>
    <xf numFmtId="0" fontId="59" fillId="0" borderId="12" xfId="2" applyFont="1" applyBorder="1" applyAlignment="1">
      <alignment horizontal="center"/>
    </xf>
    <xf numFmtId="0" fontId="59" fillId="0" borderId="5" xfId="2" applyFont="1" applyBorder="1" applyAlignment="1">
      <alignment horizontal="center"/>
    </xf>
    <xf numFmtId="0" fontId="59" fillId="0" borderId="13" xfId="2" applyFont="1" applyFill="1" applyBorder="1" applyAlignment="1">
      <alignment horizontal="center"/>
    </xf>
    <xf numFmtId="0" fontId="59" fillId="0" borderId="14" xfId="2" applyFont="1" applyBorder="1" applyAlignment="1">
      <alignment horizontal="center"/>
    </xf>
    <xf numFmtId="0" fontId="59" fillId="0" borderId="14" xfId="2" applyFont="1" applyBorder="1"/>
    <xf numFmtId="169" fontId="62" fillId="0" borderId="14" xfId="3" applyNumberFormat="1" applyFont="1" applyFill="1" applyBorder="1"/>
    <xf numFmtId="0" fontId="59" fillId="0" borderId="0" xfId="2" applyFont="1" applyFill="1"/>
    <xf numFmtId="168" fontId="59" fillId="0" borderId="14" xfId="4" applyNumberFormat="1" applyFont="1" applyFill="1" applyBorder="1"/>
    <xf numFmtId="169" fontId="62" fillId="0" borderId="11" xfId="3" applyNumberFormat="1" applyFont="1" applyFill="1" applyBorder="1"/>
    <xf numFmtId="168" fontId="59" fillId="0" borderId="11" xfId="4" applyNumberFormat="1" applyFont="1" applyFill="1" applyBorder="1"/>
    <xf numFmtId="0" fontId="63" fillId="0" borderId="18" xfId="2" applyFont="1" applyBorder="1"/>
    <xf numFmtId="168" fontId="63" fillId="0" borderId="27" xfId="4" applyNumberFormat="1" applyFont="1" applyFill="1" applyBorder="1"/>
    <xf numFmtId="168" fontId="63" fillId="0" borderId="23" xfId="4" applyNumberFormat="1" applyFont="1" applyFill="1" applyBorder="1"/>
    <xf numFmtId="168" fontId="63" fillId="0" borderId="26" xfId="4" applyNumberFormat="1" applyFont="1" applyFill="1" applyBorder="1"/>
    <xf numFmtId="168" fontId="63" fillId="0" borderId="16" xfId="4" applyNumberFormat="1" applyFont="1" applyFill="1" applyBorder="1"/>
    <xf numFmtId="0" fontId="63" fillId="0" borderId="14" xfId="2" applyFont="1" applyBorder="1"/>
    <xf numFmtId="168" fontId="63" fillId="0" borderId="12" xfId="4" applyNumberFormat="1" applyFont="1" applyFill="1" applyBorder="1"/>
    <xf numFmtId="168" fontId="59" fillId="0" borderId="0" xfId="4" applyNumberFormat="1" applyFont="1" applyFill="1"/>
    <xf numFmtId="168" fontId="59" fillId="0" borderId="0" xfId="2" applyNumberFormat="1" applyFont="1"/>
    <xf numFmtId="168" fontId="59" fillId="0" borderId="12" xfId="4" applyNumberFormat="1" applyFont="1" applyFill="1" applyBorder="1"/>
    <xf numFmtId="37" fontId="63" fillId="0" borderId="12" xfId="2" applyNumberFormat="1" applyFont="1" applyFill="1" applyBorder="1"/>
    <xf numFmtId="37" fontId="19" fillId="0" borderId="0" xfId="2" applyNumberFormat="1" applyFont="1" applyFill="1"/>
    <xf numFmtId="0" fontId="61" fillId="0" borderId="0" xfId="2" applyFont="1" applyBorder="1" applyAlignment="1">
      <alignment horizontal="left"/>
    </xf>
    <xf numFmtId="0" fontId="64" fillId="0" borderId="0" xfId="2" applyFont="1" applyAlignment="1">
      <alignment horizontal="left"/>
    </xf>
    <xf numFmtId="0" fontId="64" fillId="0" borderId="0" xfId="2" applyFont="1"/>
    <xf numFmtId="0" fontId="64" fillId="0" borderId="0" xfId="2" applyFont="1" applyFill="1" applyBorder="1"/>
    <xf numFmtId="0" fontId="64" fillId="0" borderId="0" xfId="2" applyFont="1" applyBorder="1"/>
    <xf numFmtId="37" fontId="64" fillId="0" borderId="0" xfId="2" applyNumberFormat="1" applyFont="1" applyBorder="1"/>
    <xf numFmtId="44" fontId="59" fillId="0" borderId="11" xfId="199" applyFont="1" applyFill="1" applyBorder="1"/>
    <xf numFmtId="44" fontId="59" fillId="0" borderId="0" xfId="199" applyFont="1" applyFill="1"/>
    <xf numFmtId="44" fontId="59" fillId="0" borderId="12" xfId="199" applyFont="1" applyFill="1" applyBorder="1"/>
    <xf numFmtId="0" fontId="66" fillId="0" borderId="0" xfId="204" applyFont="1"/>
    <xf numFmtId="0" fontId="67" fillId="0" borderId="0" xfId="204" applyFont="1"/>
    <xf numFmtId="0" fontId="12" fillId="0" borderId="0" xfId="204"/>
    <xf numFmtId="0" fontId="12" fillId="0" borderId="0" xfId="204" applyAlignment="1">
      <alignment vertical="center"/>
    </xf>
    <xf numFmtId="0" fontId="68" fillId="0" borderId="0" xfId="204" applyFont="1" applyAlignment="1">
      <alignment vertical="center"/>
    </xf>
    <xf numFmtId="0" fontId="68" fillId="0" borderId="0" xfId="204" applyFont="1" applyAlignment="1">
      <alignment horizontal="left" vertical="center"/>
    </xf>
    <xf numFmtId="0" fontId="12" fillId="0" borderId="0" xfId="204" applyAlignment="1">
      <alignment horizontal="center" vertical="center" wrapText="1"/>
    </xf>
    <xf numFmtId="168" fontId="0" fillId="0" borderId="0" xfId="206" applyNumberFormat="1" applyFont="1" applyAlignment="1">
      <alignment vertical="center"/>
    </xf>
    <xf numFmtId="0" fontId="74" fillId="0" borderId="0" xfId="204" applyFont="1" applyAlignment="1">
      <alignment horizontal="center"/>
    </xf>
    <xf numFmtId="0" fontId="75" fillId="0" borderId="0" xfId="204" applyFont="1" applyAlignment="1">
      <alignment horizontal="center"/>
    </xf>
    <xf numFmtId="0" fontId="76" fillId="0" borderId="0" xfId="204" applyFont="1" applyAlignment="1">
      <alignment horizontal="left" indent="1"/>
    </xf>
    <xf numFmtId="0" fontId="12" fillId="0" borderId="0" xfId="204" applyAlignment="1"/>
    <xf numFmtId="0" fontId="76" fillId="0" borderId="0" xfId="204" applyFont="1" applyAlignment="1">
      <alignment horizontal="left" indent="2"/>
    </xf>
    <xf numFmtId="0" fontId="65" fillId="0" borderId="0" xfId="204" applyFont="1"/>
    <xf numFmtId="0" fontId="12" fillId="0" borderId="0" xfId="204" applyAlignment="1">
      <alignment horizontal="left" indent="1"/>
    </xf>
    <xf numFmtId="0" fontId="12" fillId="0" borderId="0" xfId="204" applyFont="1" applyAlignment="1">
      <alignment horizontal="left" indent="2"/>
    </xf>
    <xf numFmtId="0" fontId="12" fillId="0" borderId="0" xfId="204" applyFont="1" applyAlignment="1">
      <alignment horizontal="left" indent="1"/>
    </xf>
    <xf numFmtId="0" fontId="77" fillId="0" borderId="0" xfId="204" applyFont="1"/>
    <xf numFmtId="0" fontId="77" fillId="0" borderId="0" xfId="204" applyFont="1" applyAlignment="1">
      <alignment horizontal="left" indent="1"/>
    </xf>
    <xf numFmtId="0" fontId="12" fillId="0" borderId="0" xfId="204" applyFont="1"/>
    <xf numFmtId="0" fontId="65" fillId="0" borderId="0" xfId="204" applyFont="1" applyAlignment="1">
      <alignment horizontal="center"/>
    </xf>
    <xf numFmtId="0" fontId="12" fillId="0" borderId="0" xfId="204" applyAlignment="1">
      <alignment horizontal="center"/>
    </xf>
    <xf numFmtId="0" fontId="66" fillId="0" borderId="0" xfId="204" applyFont="1" applyAlignment="1"/>
    <xf numFmtId="172" fontId="78" fillId="0" borderId="0" xfId="208" applyFont="1" applyAlignment="1"/>
    <xf numFmtId="0" fontId="15" fillId="0" borderId="0" xfId="204" applyNumberFormat="1" applyFont="1" applyAlignment="1" applyProtection="1">
      <alignment horizontal="center"/>
      <protection locked="0"/>
    </xf>
    <xf numFmtId="0" fontId="15" fillId="0" borderId="0" xfId="204" applyNumberFormat="1" applyFont="1" applyAlignment="1" applyProtection="1">
      <protection locked="0"/>
    </xf>
    <xf numFmtId="0" fontId="15" fillId="0" borderId="0" xfId="204" applyNumberFormat="1" applyFont="1" applyBorder="1" applyAlignment="1" applyProtection="1">
      <protection locked="0"/>
    </xf>
    <xf numFmtId="0" fontId="15" fillId="0" borderId="0" xfId="204" applyNumberFormat="1" applyFont="1" applyFill="1" applyAlignment="1" applyProtection="1">
      <alignment horizontal="center"/>
      <protection locked="0"/>
    </xf>
    <xf numFmtId="0" fontId="15" fillId="0" borderId="0" xfId="204" applyNumberFormat="1" applyFont="1" applyFill="1" applyBorder="1" applyAlignment="1" applyProtection="1">
      <protection locked="0"/>
    </xf>
    <xf numFmtId="0" fontId="77" fillId="0" borderId="0" xfId="204" applyFont="1" applyAlignment="1">
      <alignment horizontal="left" indent="2"/>
    </xf>
    <xf numFmtId="0" fontId="11" fillId="0" borderId="0" xfId="211"/>
    <xf numFmtId="43" fontId="80" fillId="0" borderId="0" xfId="208" applyNumberFormat="1" applyFont="1" applyFill="1" applyBorder="1"/>
    <xf numFmtId="0" fontId="81" fillId="0" borderId="0" xfId="211" applyFont="1"/>
    <xf numFmtId="169" fontId="11" fillId="0" borderId="0" xfId="211" applyNumberFormat="1"/>
    <xf numFmtId="0" fontId="19" fillId="0" borderId="0" xfId="2" applyAlignment="1">
      <alignment horizontal="left"/>
    </xf>
    <xf numFmtId="0" fontId="81" fillId="0" borderId="0" xfId="204" applyFont="1" applyAlignment="1">
      <alignment horizontal="center" vertical="center" wrapText="1"/>
    </xf>
    <xf numFmtId="173" fontId="81" fillId="0" borderId="0" xfId="204" applyNumberFormat="1" applyFont="1" applyAlignment="1">
      <alignment vertical="center"/>
    </xf>
    <xf numFmtId="167" fontId="19" fillId="0" borderId="0" xfId="0" applyFont="1" applyBorder="1"/>
    <xf numFmtId="167" fontId="0" fillId="0" borderId="0" xfId="0"/>
    <xf numFmtId="169" fontId="0" fillId="0" borderId="11" xfId="3" applyNumberFormat="1" applyFont="1" applyBorder="1"/>
    <xf numFmtId="167" fontId="0" fillId="0" borderId="12" xfId="0" applyBorder="1"/>
    <xf numFmtId="167" fontId="0" fillId="0" borderId="5" xfId="0" applyBorder="1"/>
    <xf numFmtId="167" fontId="0" fillId="0" borderId="0" xfId="0" applyBorder="1"/>
    <xf numFmtId="167" fontId="0" fillId="0" borderId="0" xfId="0" applyBorder="1" applyAlignment="1">
      <alignment horizontal="left" indent="1"/>
    </xf>
    <xf numFmtId="168" fontId="0" fillId="0" borderId="0" xfId="0" applyNumberFormat="1"/>
    <xf numFmtId="43" fontId="83" fillId="0" borderId="0" xfId="3" applyFont="1" applyFill="1"/>
    <xf numFmtId="0" fontId="100" fillId="0" borderId="0" xfId="204" applyFont="1" applyAlignment="1"/>
    <xf numFmtId="0" fontId="101" fillId="0" borderId="0" xfId="211" applyFont="1" applyAlignment="1">
      <alignment horizontal="left" indent="2"/>
    </xf>
    <xf numFmtId="0" fontId="102" fillId="0" borderId="0" xfId="211" applyFont="1"/>
    <xf numFmtId="0" fontId="72" fillId="0" borderId="0" xfId="204" applyFont="1" applyFill="1" applyAlignment="1">
      <alignment horizontal="center" vertical="center"/>
    </xf>
    <xf numFmtId="0" fontId="11" fillId="0" borderId="0" xfId="204" applyFont="1" applyAlignment="1">
      <alignment vertical="center"/>
    </xf>
    <xf numFmtId="168" fontId="0" fillId="0" borderId="0" xfId="206" applyNumberFormat="1" applyFont="1" applyFill="1" applyAlignment="1">
      <alignment vertical="center"/>
    </xf>
    <xf numFmtId="168" fontId="64" fillId="0" borderId="0" xfId="199" applyNumberFormat="1" applyFont="1"/>
    <xf numFmtId="167" fontId="0" fillId="0" borderId="0" xfId="0" applyFont="1" applyFill="1" applyBorder="1" applyAlignment="1"/>
    <xf numFmtId="0" fontId="106" fillId="0" borderId="0" xfId="0" applyNumberFormat="1" applyFont="1" applyAlignment="1">
      <alignment horizontal="right"/>
    </xf>
    <xf numFmtId="167" fontId="106" fillId="0" borderId="0" xfId="0" applyFont="1" applyAlignment="1"/>
    <xf numFmtId="0" fontId="107" fillId="0" borderId="0" xfId="204" applyFont="1" applyAlignment="1">
      <alignment horizontal="center" vertical="center"/>
    </xf>
    <xf numFmtId="167" fontId="0" fillId="0" borderId="0" xfId="0" applyFill="1" applyAlignment="1"/>
    <xf numFmtId="167" fontId="15" fillId="0" borderId="0" xfId="0" quotePrefix="1" applyFont="1" applyAlignment="1"/>
    <xf numFmtId="167" fontId="106" fillId="0" borderId="0" xfId="0" applyFont="1" applyAlignment="1">
      <alignment horizontal="right"/>
    </xf>
    <xf numFmtId="167" fontId="15" fillId="0" borderId="0" xfId="0" applyFont="1" applyFill="1" applyBorder="1" applyAlignment="1"/>
    <xf numFmtId="167" fontId="106" fillId="0" borderId="0" xfId="0" applyFont="1" applyFill="1" applyAlignment="1"/>
    <xf numFmtId="167" fontId="0" fillId="0" borderId="0" xfId="0" applyFont="1" applyAlignment="1"/>
    <xf numFmtId="0" fontId="108" fillId="0" borderId="0" xfId="0" applyNumberFormat="1" applyFont="1" applyFill="1"/>
    <xf numFmtId="167" fontId="0" fillId="0" borderId="0" xfId="0" applyFill="1" applyBorder="1" applyAlignment="1" applyProtection="1">
      <protection hidden="1"/>
    </xf>
    <xf numFmtId="167" fontId="0" fillId="0" borderId="0" xfId="0" applyFill="1" applyBorder="1" applyAlignment="1"/>
    <xf numFmtId="1" fontId="0" fillId="0" borderId="0" xfId="0" applyNumberFormat="1" applyFill="1" applyBorder="1" applyAlignment="1">
      <alignment horizontal="center"/>
    </xf>
    <xf numFmtId="1" fontId="66" fillId="0" borderId="0" xfId="204" applyNumberFormat="1" applyFont="1" applyFill="1" applyAlignment="1">
      <alignment horizontal="left"/>
    </xf>
    <xf numFmtId="174" fontId="15" fillId="0" borderId="0" xfId="0" applyNumberFormat="1" applyFont="1" applyBorder="1" applyAlignment="1"/>
    <xf numFmtId="167" fontId="15" fillId="0" borderId="4" xfId="0" applyFont="1" applyFill="1" applyBorder="1" applyAlignment="1">
      <alignment horizontal="center" wrapText="1"/>
    </xf>
    <xf numFmtId="167" fontId="0" fillId="0" borderId="0" xfId="0" applyFont="1" applyFill="1" applyAlignment="1"/>
    <xf numFmtId="0" fontId="0" fillId="0" borderId="0" xfId="0" applyNumberFormat="1" applyFont="1" applyFill="1"/>
    <xf numFmtId="0" fontId="0" fillId="0" borderId="9" xfId="0" applyNumberFormat="1" applyFont="1" applyFill="1" applyBorder="1"/>
    <xf numFmtId="167" fontId="0" fillId="0" borderId="9" xfId="0" applyFont="1" applyFill="1" applyBorder="1" applyAlignment="1"/>
    <xf numFmtId="0" fontId="0" fillId="0" borderId="0" xfId="0" applyNumberFormat="1" applyFont="1" applyFill="1" applyBorder="1"/>
    <xf numFmtId="167" fontId="105" fillId="0" borderId="4" xfId="0" applyFont="1" applyBorder="1" applyAlignment="1">
      <alignment horizontal="center" wrapText="1"/>
    </xf>
    <xf numFmtId="169" fontId="15" fillId="0" borderId="0" xfId="1" applyNumberFormat="1" applyFont="1" applyFill="1" applyBorder="1" applyAlignment="1"/>
    <xf numFmtId="174" fontId="15" fillId="6" borderId="0" xfId="0" applyNumberFormat="1" applyFont="1" applyFill="1" applyAlignment="1">
      <alignment vertical="center"/>
    </xf>
    <xf numFmtId="0" fontId="65" fillId="0" borderId="4" xfId="262" applyFont="1" applyFill="1" applyBorder="1" applyAlignment="1">
      <alignment horizontal="center" vertical="center" wrapText="1"/>
    </xf>
    <xf numFmtId="169" fontId="0" fillId="0" borderId="0" xfId="1" applyNumberFormat="1" applyFont="1" applyFill="1" applyAlignment="1">
      <alignment vertical="center"/>
    </xf>
    <xf numFmtId="0" fontId="7" fillId="0" borderId="0" xfId="204" applyFont="1" applyFill="1" applyAlignment="1">
      <alignment vertical="center"/>
    </xf>
    <xf numFmtId="168" fontId="71" fillId="0" borderId="0" xfId="206" applyNumberFormat="1" applyFont="1" applyFill="1" applyAlignment="1">
      <alignment vertical="center"/>
    </xf>
    <xf numFmtId="0" fontId="65" fillId="0" borderId="4" xfId="204" applyFont="1" applyFill="1" applyBorder="1" applyAlignment="1">
      <alignment horizontal="center" vertical="center" wrapText="1"/>
    </xf>
    <xf numFmtId="43" fontId="0" fillId="0" borderId="0" xfId="1" applyFont="1" applyFill="1" applyAlignment="1">
      <alignment vertical="center"/>
    </xf>
    <xf numFmtId="167" fontId="109" fillId="0" borderId="0" xfId="0" applyFont="1" applyAlignment="1">
      <alignment horizontal="center"/>
    </xf>
    <xf numFmtId="168" fontId="62" fillId="0" borderId="14" xfId="4" applyNumberFormat="1" applyFont="1" applyFill="1" applyBorder="1"/>
    <xf numFmtId="168" fontId="58" fillId="0" borderId="14" xfId="4" applyNumberFormat="1" applyFont="1" applyFill="1" applyBorder="1"/>
    <xf numFmtId="0" fontId="110" fillId="0" borderId="0" xfId="204" applyFont="1"/>
    <xf numFmtId="168" fontId="15" fillId="0" borderId="4" xfId="199" applyNumberFormat="1" applyFont="1" applyBorder="1"/>
    <xf numFmtId="168" fontId="15" fillId="0" borderId="0" xfId="199" applyNumberFormat="1" applyFont="1"/>
    <xf numFmtId="3" fontId="59" fillId="0" borderId="0" xfId="2" applyNumberFormat="1" applyFont="1" applyFill="1"/>
    <xf numFmtId="168" fontId="15" fillId="0" borderId="0" xfId="212" applyNumberFormat="1" applyFont="1"/>
    <xf numFmtId="0" fontId="76" fillId="0" borderId="0" xfId="211" applyFont="1"/>
    <xf numFmtId="0" fontId="76" fillId="0" borderId="0" xfId="211" applyFont="1" applyAlignment="1">
      <alignment horizontal="left" indent="1"/>
    </xf>
    <xf numFmtId="0" fontId="17" fillId="0" borderId="0" xfId="211" applyFont="1"/>
    <xf numFmtId="0" fontId="76" fillId="0" borderId="0" xfId="211" applyFont="1" applyFill="1"/>
    <xf numFmtId="0" fontId="76" fillId="0" borderId="0" xfId="211" applyFont="1" applyAlignment="1">
      <alignment horizontal="left" indent="2"/>
    </xf>
    <xf numFmtId="169" fontId="76" fillId="0" borderId="0" xfId="211" applyNumberFormat="1" applyFont="1"/>
    <xf numFmtId="0" fontId="15" fillId="0" borderId="0" xfId="211" applyFont="1"/>
    <xf numFmtId="0" fontId="16" fillId="0" borderId="0" xfId="211" applyFont="1" applyAlignment="1">
      <alignment horizontal="center"/>
    </xf>
    <xf numFmtId="169" fontId="15" fillId="0" borderId="0" xfId="213" applyNumberFormat="1" applyFont="1" applyFill="1" applyBorder="1"/>
    <xf numFmtId="169" fontId="15" fillId="0" borderId="9" xfId="211" applyNumberFormat="1" applyFont="1" applyBorder="1"/>
    <xf numFmtId="0" fontId="15" fillId="0" borderId="0" xfId="211" applyFont="1" applyFill="1"/>
    <xf numFmtId="168" fontId="15" fillId="0" borderId="0" xfId="212" applyNumberFormat="1" applyFont="1" applyFill="1" applyBorder="1"/>
    <xf numFmtId="169" fontId="15" fillId="0" borderId="4" xfId="213" applyNumberFormat="1" applyFont="1" applyFill="1" applyBorder="1"/>
    <xf numFmtId="1" fontId="15" fillId="0" borderId="0" xfId="0" applyNumberFormat="1" applyFont="1" applyAlignment="1">
      <alignment horizontal="center"/>
    </xf>
    <xf numFmtId="167" fontId="15" fillId="0" borderId="4" xfId="0" applyFont="1" applyBorder="1" applyAlignment="1">
      <alignment horizontal="center" wrapText="1"/>
    </xf>
    <xf numFmtId="0" fontId="112" fillId="0" borderId="0" xfId="204" applyFont="1" applyAlignment="1">
      <alignment horizontal="center"/>
    </xf>
    <xf numFmtId="168" fontId="15" fillId="0" borderId="0" xfId="206" applyNumberFormat="1" applyFont="1"/>
    <xf numFmtId="168" fontId="15" fillId="0" borderId="14" xfId="206" applyNumberFormat="1" applyFont="1" applyFill="1" applyBorder="1"/>
    <xf numFmtId="168" fontId="110" fillId="0" borderId="14" xfId="204" applyNumberFormat="1" applyFont="1" applyFill="1" applyBorder="1"/>
    <xf numFmtId="0" fontId="77" fillId="0" borderId="0" xfId="204" applyFont="1" applyAlignment="1">
      <alignment vertical="center"/>
    </xf>
    <xf numFmtId="0" fontId="77" fillId="0" borderId="0" xfId="204" applyFont="1" applyAlignment="1">
      <alignment horizontal="left" vertical="center"/>
    </xf>
    <xf numFmtId="0" fontId="110" fillId="0" borderId="0" xfId="204" applyFont="1" applyAlignment="1">
      <alignment vertical="center"/>
    </xf>
    <xf numFmtId="0" fontId="113" fillId="0" borderId="4" xfId="204" applyFont="1" applyBorder="1" applyAlignment="1">
      <alignment horizontal="center" vertical="center" wrapText="1"/>
    </xf>
    <xf numFmtId="0" fontId="110" fillId="0" borderId="0" xfId="204" applyFont="1" applyBorder="1" applyAlignment="1">
      <alignment horizontal="center" vertical="center" wrapText="1"/>
    </xf>
    <xf numFmtId="0" fontId="110" fillId="0" borderId="0" xfId="204" applyFont="1" applyAlignment="1">
      <alignment horizontal="center" vertical="center"/>
    </xf>
    <xf numFmtId="0" fontId="76" fillId="0" borderId="0" xfId="204" applyFont="1" applyAlignment="1">
      <alignment horizontal="center" vertical="center"/>
    </xf>
    <xf numFmtId="0" fontId="77" fillId="0" borderId="0" xfId="204" applyFont="1" applyAlignment="1">
      <alignment horizontal="center" vertical="center"/>
    </xf>
    <xf numFmtId="0" fontId="113" fillId="0" borderId="0" xfId="204" applyFont="1" applyAlignment="1">
      <alignment vertical="center"/>
    </xf>
    <xf numFmtId="168" fontId="114" fillId="0" borderId="0" xfId="206" applyNumberFormat="1" applyFont="1" applyAlignment="1">
      <alignment vertical="center"/>
    </xf>
    <xf numFmtId="168" fontId="110" fillId="0" borderId="0" xfId="204" applyNumberFormat="1" applyFont="1" applyAlignment="1">
      <alignment vertical="center"/>
    </xf>
    <xf numFmtId="1" fontId="110" fillId="0" borderId="0" xfId="204" applyNumberFormat="1" applyFont="1" applyBorder="1" applyAlignment="1">
      <alignment horizontal="center" vertical="center" wrapText="1"/>
    </xf>
    <xf numFmtId="1" fontId="110" fillId="0" borderId="0" xfId="204" applyNumberFormat="1" applyFont="1" applyAlignment="1">
      <alignment horizontal="center" vertical="center"/>
    </xf>
    <xf numFmtId="1" fontId="76" fillId="0" borderId="0" xfId="204" applyNumberFormat="1" applyFont="1" applyBorder="1" applyAlignment="1">
      <alignment horizontal="center" vertical="center" wrapText="1"/>
    </xf>
    <xf numFmtId="1" fontId="76" fillId="0" borderId="0" xfId="204" applyNumberFormat="1" applyFont="1" applyAlignment="1">
      <alignment horizontal="center" vertical="center"/>
    </xf>
    <xf numFmtId="0" fontId="76" fillId="0" borderId="0" xfId="204" applyFont="1" applyAlignment="1">
      <alignment horizontal="center" vertical="center" wrapText="1"/>
    </xf>
    <xf numFmtId="0" fontId="76" fillId="0" borderId="0" xfId="204" applyFont="1" applyBorder="1" applyAlignment="1">
      <alignment horizontal="center" vertical="center" wrapText="1"/>
    </xf>
    <xf numFmtId="168" fontId="76" fillId="0" borderId="0" xfId="206" applyNumberFormat="1" applyFont="1" applyBorder="1" applyAlignment="1">
      <alignment horizontal="center" vertical="center" wrapText="1"/>
    </xf>
    <xf numFmtId="0" fontId="76" fillId="0" borderId="0" xfId="204" applyFont="1" applyAlignment="1">
      <alignment vertical="center"/>
    </xf>
    <xf numFmtId="168" fontId="76" fillId="0" borderId="4" xfId="206" applyNumberFormat="1" applyFont="1" applyBorder="1" applyAlignment="1">
      <alignment horizontal="center" vertical="center" wrapText="1"/>
    </xf>
    <xf numFmtId="168" fontId="77" fillId="0" borderId="0" xfId="206" applyNumberFormat="1" applyFont="1" applyAlignment="1">
      <alignment vertical="center"/>
    </xf>
    <xf numFmtId="168" fontId="15" fillId="0" borderId="0" xfId="206" applyNumberFormat="1" applyFont="1" applyAlignment="1">
      <alignment vertical="center"/>
    </xf>
    <xf numFmtId="168" fontId="15" fillId="0" borderId="4" xfId="206" applyNumberFormat="1" applyFont="1" applyBorder="1" applyAlignment="1">
      <alignment vertical="center"/>
    </xf>
    <xf numFmtId="0" fontId="77" fillId="0" borderId="0" xfId="204" applyFont="1" applyBorder="1" applyAlignment="1">
      <alignment horizontal="left" vertical="center" wrapText="1"/>
    </xf>
    <xf numFmtId="0" fontId="76" fillId="0" borderId="0" xfId="204" applyFont="1" applyAlignment="1">
      <alignment horizontal="left" vertical="center"/>
    </xf>
    <xf numFmtId="0" fontId="76" fillId="0" borderId="9" xfId="204" applyFont="1" applyBorder="1" applyAlignment="1">
      <alignment vertical="center"/>
    </xf>
    <xf numFmtId="169" fontId="115" fillId="0" borderId="0" xfId="204" applyNumberFormat="1" applyFont="1" applyAlignment="1">
      <alignment vertical="center"/>
    </xf>
    <xf numFmtId="0" fontId="15" fillId="0" borderId="0" xfId="204" applyNumberFormat="1" applyFont="1"/>
    <xf numFmtId="0" fontId="15" fillId="0" borderId="0" xfId="2" applyFont="1" applyAlignment="1">
      <alignment horizontal="center"/>
    </xf>
    <xf numFmtId="0" fontId="15" fillId="0" borderId="0" xfId="2" applyFont="1"/>
    <xf numFmtId="0" fontId="15" fillId="0" borderId="4" xfId="2" applyFont="1" applyBorder="1" applyAlignment="1">
      <alignment horizontal="center"/>
    </xf>
    <xf numFmtId="0" fontId="77" fillId="0" borderId="4" xfId="204" applyFont="1" applyBorder="1" applyAlignment="1">
      <alignment horizontal="center" wrapText="1"/>
    </xf>
    <xf numFmtId="0" fontId="15" fillId="0" borderId="0" xfId="0" applyNumberFormat="1" applyFont="1" applyFill="1" applyBorder="1" applyAlignment="1" applyProtection="1">
      <alignment horizontal="right"/>
      <protection locked="0"/>
    </xf>
    <xf numFmtId="167" fontId="0" fillId="0" borderId="0" xfId="0" applyFont="1" applyAlignment="1">
      <alignment horizontal="center"/>
    </xf>
    <xf numFmtId="167" fontId="15" fillId="0" borderId="0" xfId="0" applyFont="1" applyFill="1" applyAlignment="1">
      <alignment horizontal="center"/>
    </xf>
    <xf numFmtId="164" fontId="15" fillId="0" borderId="0" xfId="0" applyNumberFormat="1" applyFont="1" applyFill="1" applyBorder="1" applyAlignment="1">
      <alignment horizontal="center" wrapText="1"/>
    </xf>
    <xf numFmtId="164" fontId="15" fillId="0" borderId="0" xfId="0" applyNumberFormat="1" applyFont="1" applyAlignment="1"/>
    <xf numFmtId="0" fontId="118" fillId="0" borderId="0" xfId="264" applyNumberFormat="1" applyFont="1" applyFill="1" applyBorder="1" applyAlignment="1" applyProtection="1">
      <alignment horizontal="left"/>
      <protection locked="0"/>
    </xf>
    <xf numFmtId="14" fontId="0" fillId="0" borderId="0" xfId="0" applyNumberFormat="1" applyFont="1" applyAlignment="1"/>
    <xf numFmtId="0" fontId="0" fillId="0" borderId="0" xfId="0" applyNumberFormat="1" applyFont="1" applyAlignment="1"/>
    <xf numFmtId="0" fontId="76" fillId="0" borderId="0" xfId="204" applyFont="1"/>
    <xf numFmtId="168" fontId="76" fillId="0" borderId="0" xfId="204" applyNumberFormat="1" applyFont="1" applyFill="1" applyBorder="1"/>
    <xf numFmtId="0" fontId="110" fillId="0" borderId="0" xfId="204" applyFont="1" applyAlignment="1"/>
    <xf numFmtId="172" fontId="16" fillId="0" borderId="0" xfId="208" applyFont="1" applyAlignment="1"/>
    <xf numFmtId="0" fontId="110" fillId="0" borderId="0" xfId="204" applyFont="1" applyAlignment="1">
      <alignment horizontal="center"/>
    </xf>
    <xf numFmtId="0" fontId="113" fillId="0" borderId="0" xfId="204" applyFont="1"/>
    <xf numFmtId="0" fontId="112" fillId="0" borderId="0" xfId="204" applyFont="1" applyAlignment="1">
      <alignment horizontal="left"/>
    </xf>
    <xf numFmtId="0" fontId="110" fillId="0" borderId="0" xfId="211" applyFont="1" applyFill="1"/>
    <xf numFmtId="0" fontId="110" fillId="0" borderId="0" xfId="211" applyFont="1"/>
    <xf numFmtId="0" fontId="77" fillId="0" borderId="0" xfId="204" applyFont="1" applyAlignment="1">
      <alignment horizontal="center"/>
    </xf>
    <xf numFmtId="0" fontId="79" fillId="0" borderId="0" xfId="204" applyFont="1" applyAlignment="1">
      <alignment horizontal="center"/>
    </xf>
    <xf numFmtId="0" fontId="76" fillId="0" borderId="0" xfId="204" applyFont="1" applyAlignment="1">
      <alignment horizontal="center"/>
    </xf>
    <xf numFmtId="0" fontId="76" fillId="0" borderId="4" xfId="204" applyFont="1" applyBorder="1" applyAlignment="1">
      <alignment horizontal="center"/>
    </xf>
    <xf numFmtId="0" fontId="76" fillId="0" borderId="0" xfId="204" applyFont="1" applyAlignment="1"/>
    <xf numFmtId="0" fontId="16" fillId="0" borderId="0" xfId="204" quotePrefix="1" applyFont="1" applyAlignment="1">
      <alignment horizontal="center"/>
    </xf>
    <xf numFmtId="0" fontId="16" fillId="0" borderId="4" xfId="204" quotePrefix="1" applyFont="1" applyBorder="1" applyAlignment="1">
      <alignment horizontal="center"/>
    </xf>
    <xf numFmtId="44" fontId="15" fillId="0" borderId="28" xfId="206" applyFont="1" applyBorder="1" applyAlignment="1"/>
    <xf numFmtId="44" fontId="15" fillId="0" borderId="0" xfId="206" applyFont="1" applyBorder="1" applyAlignment="1"/>
    <xf numFmtId="44" fontId="15" fillId="0" borderId="0" xfId="206" applyFont="1" applyAlignment="1"/>
    <xf numFmtId="44" fontId="15" fillId="0" borderId="9" xfId="206" applyFont="1" applyBorder="1" applyAlignment="1"/>
    <xf numFmtId="0" fontId="119" fillId="0" borderId="0" xfId="204" applyFont="1" applyAlignment="1"/>
    <xf numFmtId="3" fontId="76" fillId="0" borderId="0" xfId="204" applyNumberFormat="1" applyFont="1" applyAlignment="1"/>
    <xf numFmtId="0" fontId="113" fillId="0" borderId="0" xfId="204" applyFont="1" applyAlignment="1">
      <alignment horizontal="center"/>
    </xf>
    <xf numFmtId="0" fontId="77" fillId="0" borderId="0" xfId="204" applyFont="1" applyAlignment="1">
      <alignment horizontal="center" vertical="center"/>
    </xf>
    <xf numFmtId="169" fontId="76" fillId="0" borderId="0" xfId="204" applyNumberFormat="1" applyFont="1" applyAlignment="1">
      <alignment vertical="center"/>
    </xf>
    <xf numFmtId="3" fontId="76" fillId="0" borderId="0" xfId="204" applyNumberFormat="1" applyFont="1" applyAlignment="1">
      <alignment horizontal="center" vertical="center"/>
    </xf>
    <xf numFmtId="0" fontId="76" fillId="0" borderId="0" xfId="204" applyFont="1" applyBorder="1" applyAlignment="1">
      <alignment horizontal="center" vertical="center"/>
    </xf>
    <xf numFmtId="0" fontId="77" fillId="0" borderId="0" xfId="204" applyFont="1" applyBorder="1" applyAlignment="1">
      <alignment horizontal="center" wrapText="1"/>
    </xf>
    <xf numFmtId="0" fontId="76" fillId="0" borderId="0" xfId="204" applyFont="1" applyBorder="1" applyAlignment="1">
      <alignment vertical="center"/>
    </xf>
    <xf numFmtId="0" fontId="77" fillId="0" borderId="0" xfId="204" quotePrefix="1" applyFont="1" applyBorder="1" applyAlignment="1">
      <alignment horizontal="center" wrapText="1"/>
    </xf>
    <xf numFmtId="0" fontId="69" fillId="0" borderId="0" xfId="204" applyFont="1" applyAlignment="1">
      <alignment vertical="center"/>
    </xf>
    <xf numFmtId="3" fontId="115" fillId="0" borderId="0" xfId="204" applyNumberFormat="1" applyFont="1" applyAlignment="1">
      <alignment horizontal="center" vertical="center"/>
    </xf>
    <xf numFmtId="37" fontId="77" fillId="0" borderId="2" xfId="204" applyNumberFormat="1" applyFont="1" applyBorder="1" applyAlignment="1">
      <alignment horizontal="center" vertical="center"/>
    </xf>
    <xf numFmtId="164" fontId="116" fillId="6" borderId="0" xfId="0" applyNumberFormat="1" applyFont="1" applyFill="1" applyAlignment="1">
      <alignment horizontal="center" wrapText="1"/>
    </xf>
    <xf numFmtId="0" fontId="0" fillId="6" borderId="0" xfId="0" applyNumberFormat="1" applyFont="1" applyFill="1" applyBorder="1" applyAlignment="1" applyProtection="1"/>
    <xf numFmtId="167" fontId="0" fillId="6" borderId="0" xfId="0" applyFont="1" applyFill="1" applyAlignment="1"/>
    <xf numFmtId="0" fontId="0" fillId="6" borderId="0" xfId="0" applyNumberFormat="1" applyFont="1" applyFill="1" applyBorder="1" applyAlignment="1" applyProtection="1">
      <alignment horizontal="right"/>
    </xf>
    <xf numFmtId="4" fontId="15" fillId="6" borderId="42" xfId="0" applyNumberFormat="1" applyFont="1" applyFill="1" applyBorder="1" applyAlignment="1"/>
    <xf numFmtId="3" fontId="15" fillId="6" borderId="42" xfId="0" applyNumberFormat="1" applyFont="1" applyFill="1" applyBorder="1" applyAlignment="1"/>
    <xf numFmtId="175" fontId="15" fillId="0" borderId="0" xfId="198" applyNumberFormat="1" applyFont="1" applyAlignment="1"/>
    <xf numFmtId="169" fontId="15" fillId="0" borderId="0" xfId="1" applyNumberFormat="1" applyFont="1" applyAlignment="1"/>
    <xf numFmtId="0" fontId="77" fillId="0" borderId="0" xfId="204" applyFont="1" applyAlignment="1">
      <alignment horizontal="center" vertical="center"/>
    </xf>
    <xf numFmtId="0" fontId="76" fillId="0" borderId="0" xfId="211" applyFont="1" applyAlignment="1">
      <alignment horizontal="center"/>
    </xf>
    <xf numFmtId="0" fontId="76" fillId="0" borderId="0" xfId="204" applyFont="1" applyAlignment="1">
      <alignment horizontal="center"/>
    </xf>
    <xf numFmtId="168" fontId="110" fillId="0" borderId="29" xfId="211" applyNumberFormat="1" applyFont="1" applyBorder="1"/>
    <xf numFmtId="0" fontId="120" fillId="0" borderId="0" xfId="204" applyFont="1"/>
    <xf numFmtId="0" fontId="120" fillId="0" borderId="0" xfId="204" applyFont="1" applyAlignment="1">
      <alignment horizontal="left"/>
    </xf>
    <xf numFmtId="37" fontId="15" fillId="0" borderId="0" xfId="0" applyNumberFormat="1" applyFont="1" applyAlignment="1"/>
    <xf numFmtId="7" fontId="15" fillId="0" borderId="0" xfId="0" applyNumberFormat="1" applyFont="1" applyAlignment="1"/>
    <xf numFmtId="7" fontId="15" fillId="0" borderId="43" xfId="0" applyNumberFormat="1" applyFont="1" applyBorder="1" applyAlignment="1"/>
    <xf numFmtId="7" fontId="15" fillId="0" borderId="0" xfId="0" applyNumberFormat="1" applyFont="1" applyBorder="1" applyAlignment="1"/>
    <xf numFmtId="7" fontId="16" fillId="0" borderId="43" xfId="0" applyNumberFormat="1" applyFont="1" applyBorder="1" applyAlignment="1"/>
    <xf numFmtId="5" fontId="114" fillId="0" borderId="0" xfId="206" applyNumberFormat="1" applyFont="1" applyAlignment="1">
      <alignment horizontal="center" vertical="center"/>
    </xf>
    <xf numFmtId="0" fontId="123" fillId="0" borderId="0" xfId="204" applyFont="1"/>
    <xf numFmtId="0" fontId="120" fillId="0" borderId="0" xfId="211" applyFont="1"/>
    <xf numFmtId="0" fontId="120" fillId="0" borderId="0" xfId="211" applyFont="1" applyAlignment="1">
      <alignment horizontal="left" indent="1"/>
    </xf>
    <xf numFmtId="169" fontId="15" fillId="0" borderId="0" xfId="1" applyNumberFormat="1" applyFont="1"/>
    <xf numFmtId="169" fontId="124" fillId="0" borderId="0" xfId="1" applyNumberFormat="1" applyFont="1"/>
    <xf numFmtId="168" fontId="124" fillId="0" borderId="0" xfId="199" applyNumberFormat="1" applyFont="1"/>
    <xf numFmtId="169" fontId="76" fillId="0" borderId="0" xfId="1" applyNumberFormat="1" applyFont="1"/>
    <xf numFmtId="168" fontId="76" fillId="0" borderId="0" xfId="204" applyNumberFormat="1" applyFont="1"/>
    <xf numFmtId="168" fontId="76" fillId="0" borderId="0" xfId="199" applyNumberFormat="1" applyFont="1"/>
    <xf numFmtId="0" fontId="125" fillId="0" borderId="0" xfId="204" applyFont="1" applyAlignment="1"/>
    <xf numFmtId="0" fontId="110" fillId="0" borderId="0" xfId="204" applyFont="1" applyFill="1"/>
    <xf numFmtId="0" fontId="106" fillId="0" borderId="0" xfId="2" applyFont="1"/>
    <xf numFmtId="169" fontId="15" fillId="0" borderId="4" xfId="205" applyNumberFormat="1" applyFont="1" applyBorder="1"/>
    <xf numFmtId="0" fontId="126" fillId="0" borderId="0" xfId="204" applyFont="1"/>
    <xf numFmtId="3" fontId="120" fillId="0" borderId="0" xfId="204" applyNumberFormat="1" applyFont="1" applyAlignment="1"/>
    <xf numFmtId="0" fontId="110" fillId="0" borderId="4" xfId="204" quotePrefix="1" applyFont="1" applyBorder="1" applyAlignment="1">
      <alignment horizontal="center"/>
    </xf>
    <xf numFmtId="0" fontId="76" fillId="0" borderId="0" xfId="204" quotePrefix="1" applyFont="1"/>
    <xf numFmtId="0" fontId="127" fillId="0" borderId="0" xfId="204" applyFont="1" applyFill="1" applyAlignment="1">
      <alignment horizontal="center" vertical="center"/>
    </xf>
    <xf numFmtId="0" fontId="128" fillId="0" borderId="0" xfId="204" applyFont="1" applyAlignment="1">
      <alignment vertical="center"/>
    </xf>
    <xf numFmtId="37" fontId="15" fillId="0" borderId="0" xfId="2" applyNumberFormat="1" applyFont="1" applyFill="1"/>
    <xf numFmtId="0" fontId="129" fillId="0" borderId="0" xfId="204" applyFont="1" applyAlignment="1">
      <alignment horizontal="center" vertical="center"/>
    </xf>
    <xf numFmtId="0" fontId="129" fillId="0" borderId="0" xfId="204" applyFont="1" applyFill="1" applyAlignment="1">
      <alignment horizontal="center" vertical="center"/>
    </xf>
    <xf numFmtId="167" fontId="130" fillId="0" borderId="0" xfId="0" quotePrefix="1" applyFont="1" applyAlignment="1"/>
    <xf numFmtId="4" fontId="15" fillId="6" borderId="4" xfId="0" applyNumberFormat="1" applyFont="1" applyFill="1" applyBorder="1" applyAlignment="1"/>
    <xf numFmtId="167" fontId="15" fillId="0" borderId="0" xfId="0" applyFont="1" applyAlignment="1"/>
    <xf numFmtId="0" fontId="15" fillId="0" borderId="0" xfId="0" applyNumberFormat="1" applyFont="1" applyFill="1" applyAlignment="1">
      <alignment horizontal="center"/>
    </xf>
    <xf numFmtId="0" fontId="15" fillId="0" borderId="4" xfId="0" applyNumberFormat="1" applyFont="1" applyFill="1" applyBorder="1" applyAlignment="1">
      <alignment horizontal="center" wrapText="1"/>
    </xf>
    <xf numFmtId="168" fontId="15" fillId="0" borderId="0" xfId="0" applyNumberFormat="1" applyFont="1" applyFill="1"/>
    <xf numFmtId="44" fontId="15" fillId="0" borderId="0" xfId="199" applyFont="1" applyFill="1" applyAlignment="1"/>
    <xf numFmtId="10" fontId="15" fillId="0" borderId="0" xfId="198" applyNumberFormat="1" applyFont="1" applyFill="1" applyAlignment="1">
      <alignment horizontal="center"/>
    </xf>
    <xf numFmtId="168" fontId="16" fillId="0" borderId="0" xfId="199" applyNumberFormat="1" applyFont="1" applyFill="1"/>
    <xf numFmtId="169" fontId="15" fillId="0" borderId="4" xfId="1" applyNumberFormat="1" applyFont="1" applyFill="1" applyBorder="1"/>
    <xf numFmtId="10" fontId="15" fillId="0" borderId="4" xfId="198" applyNumberFormat="1" applyFont="1" applyFill="1" applyBorder="1" applyAlignment="1">
      <alignment horizontal="center"/>
    </xf>
    <xf numFmtId="169" fontId="16" fillId="0" borderId="4" xfId="1" applyNumberFormat="1" applyFont="1" applyFill="1" applyBorder="1"/>
    <xf numFmtId="168" fontId="15" fillId="0" borderId="9" xfId="0" applyNumberFormat="1" applyFont="1" applyFill="1" applyBorder="1"/>
    <xf numFmtId="167" fontId="15" fillId="0" borderId="0" xfId="0" quotePrefix="1" applyFont="1" applyFill="1" applyAlignment="1"/>
    <xf numFmtId="0" fontId="131" fillId="0" borderId="0" xfId="0" applyNumberFormat="1" applyFont="1" applyFill="1"/>
    <xf numFmtId="0" fontId="15" fillId="0" borderId="9" xfId="0" applyNumberFormat="1" applyFont="1" applyFill="1" applyBorder="1"/>
    <xf numFmtId="0" fontId="15" fillId="0" borderId="0" xfId="206" applyNumberFormat="1" applyFont="1" applyFill="1" applyAlignment="1">
      <alignment vertical="center"/>
    </xf>
    <xf numFmtId="0" fontId="77" fillId="0" borderId="0" xfId="204" applyFont="1" applyBorder="1" applyAlignment="1">
      <alignment horizontal="center" vertical="center" wrapText="1"/>
    </xf>
    <xf numFmtId="0" fontId="77" fillId="0" borderId="0" xfId="204" applyFont="1" applyFill="1" applyBorder="1" applyAlignment="1">
      <alignment vertical="center" wrapText="1"/>
    </xf>
    <xf numFmtId="0" fontId="77" fillId="0" borderId="4" xfId="204" applyFont="1" applyFill="1" applyBorder="1" applyAlignment="1">
      <alignment horizontal="center" wrapText="1"/>
    </xf>
    <xf numFmtId="1" fontId="76" fillId="0" borderId="0" xfId="204" applyNumberFormat="1" applyFont="1" applyFill="1" applyAlignment="1">
      <alignment horizontal="center" vertical="center"/>
    </xf>
    <xf numFmtId="168" fontId="76" fillId="0" borderId="0" xfId="199" applyNumberFormat="1" applyFont="1" applyFill="1" applyBorder="1" applyAlignment="1">
      <alignment horizontal="center" vertical="center" wrapText="1"/>
    </xf>
    <xf numFmtId="168" fontId="15" fillId="0" borderId="0" xfId="206" applyNumberFormat="1" applyFont="1" applyFill="1" applyAlignment="1">
      <alignment vertical="center"/>
    </xf>
    <xf numFmtId="169" fontId="76" fillId="0" borderId="0" xfId="1" applyNumberFormat="1" applyFont="1" applyFill="1" applyAlignment="1">
      <alignment horizontal="center" vertical="center"/>
    </xf>
    <xf numFmtId="169" fontId="76" fillId="0" borderId="0" xfId="1" applyNumberFormat="1" applyFont="1" applyFill="1" applyBorder="1" applyAlignment="1">
      <alignment horizontal="center" vertical="center"/>
    </xf>
    <xf numFmtId="168" fontId="132" fillId="0" borderId="0" xfId="206" applyNumberFormat="1" applyFont="1" applyFill="1" applyAlignment="1">
      <alignment vertical="center"/>
    </xf>
    <xf numFmtId="168" fontId="132" fillId="0" borderId="0" xfId="206" applyNumberFormat="1" applyFont="1" applyFill="1" applyBorder="1" applyAlignment="1">
      <alignment vertical="center"/>
    </xf>
    <xf numFmtId="168" fontId="16" fillId="0" borderId="0" xfId="0" applyNumberFormat="1" applyFont="1" applyAlignment="1"/>
    <xf numFmtId="168" fontId="16" fillId="0" borderId="2" xfId="0" applyNumberFormat="1" applyFont="1" applyBorder="1" applyAlignment="1"/>
    <xf numFmtId="168" fontId="16" fillId="0" borderId="0" xfId="0" applyNumberFormat="1" applyFont="1" applyFill="1" applyAlignment="1"/>
    <xf numFmtId="0" fontId="76" fillId="0" borderId="0" xfId="0" applyNumberFormat="1" applyFont="1"/>
    <xf numFmtId="0" fontId="76" fillId="0" borderId="0" xfId="0" applyNumberFormat="1" applyFont="1" applyAlignment="1">
      <alignment horizontal="left"/>
    </xf>
    <xf numFmtId="169" fontId="76" fillId="0" borderId="4" xfId="1" applyNumberFormat="1" applyFont="1" applyFill="1" applyBorder="1" applyAlignment="1">
      <alignment horizontal="center" vertical="center"/>
    </xf>
    <xf numFmtId="0" fontId="6" fillId="0" borderId="0" xfId="204" applyFont="1" applyAlignment="1">
      <alignment horizontal="right"/>
    </xf>
    <xf numFmtId="167" fontId="0" fillId="0" borderId="47" xfId="0" applyFill="1" applyBorder="1" applyAlignment="1" applyProtection="1">
      <protection hidden="1"/>
    </xf>
    <xf numFmtId="167" fontId="0" fillId="0" borderId="48" xfId="0" applyFill="1" applyBorder="1" applyAlignment="1" applyProtection="1">
      <protection hidden="1"/>
    </xf>
    <xf numFmtId="167" fontId="0" fillId="0" borderId="48" xfId="0" applyFill="1" applyBorder="1" applyAlignment="1"/>
    <xf numFmtId="167" fontId="0" fillId="0" borderId="49" xfId="0" applyFill="1" applyBorder="1" applyAlignment="1"/>
    <xf numFmtId="167" fontId="0" fillId="0" borderId="50" xfId="0" quotePrefix="1" applyFill="1" applyBorder="1" applyAlignment="1" applyProtection="1">
      <protection hidden="1"/>
    </xf>
    <xf numFmtId="167" fontId="0" fillId="0" borderId="44" xfId="0" applyFill="1" applyBorder="1" applyAlignment="1"/>
    <xf numFmtId="167" fontId="0" fillId="0" borderId="50" xfId="0" applyFill="1" applyBorder="1" applyAlignment="1" applyProtection="1">
      <protection hidden="1"/>
    </xf>
    <xf numFmtId="14" fontId="0" fillId="0" borderId="50" xfId="0" applyNumberFormat="1" applyFill="1" applyBorder="1" applyAlignment="1" applyProtection="1">
      <protection hidden="1"/>
    </xf>
    <xf numFmtId="167" fontId="0" fillId="0" borderId="45" xfId="0" applyFill="1" applyBorder="1" applyAlignment="1"/>
    <xf numFmtId="167" fontId="0" fillId="0" borderId="1" xfId="0" applyFill="1" applyBorder="1" applyAlignment="1"/>
    <xf numFmtId="167" fontId="0" fillId="0" borderId="46" xfId="0" applyFill="1" applyBorder="1" applyAlignment="1"/>
    <xf numFmtId="167" fontId="0" fillId="0" borderId="50" xfId="0" applyFill="1" applyBorder="1" applyAlignment="1"/>
    <xf numFmtId="14" fontId="0" fillId="0" borderId="48" xfId="0" applyNumberFormat="1" applyFill="1" applyBorder="1" applyAlignment="1"/>
    <xf numFmtId="0" fontId="76" fillId="0" borderId="0" xfId="204" applyFont="1" applyAlignment="1">
      <alignment horizontal="center"/>
    </xf>
    <xf numFmtId="0" fontId="5" fillId="0" borderId="0" xfId="204" applyFont="1"/>
    <xf numFmtId="43" fontId="57" fillId="0" borderId="0" xfId="1" applyFont="1"/>
    <xf numFmtId="166" fontId="15" fillId="0" borderId="42" xfId="0" applyNumberFormat="1" applyFont="1" applyFill="1" applyBorder="1" applyAlignment="1"/>
    <xf numFmtId="3" fontId="15" fillId="0" borderId="0" xfId="0" applyNumberFormat="1" applyFont="1" applyFill="1" applyAlignment="1"/>
    <xf numFmtId="167" fontId="15" fillId="0" borderId="0" xfId="0" applyFont="1" applyFill="1" applyAlignment="1"/>
    <xf numFmtId="175" fontId="16" fillId="0" borderId="29" xfId="198" applyNumberFormat="1" applyFont="1" applyBorder="1" applyAlignment="1"/>
    <xf numFmtId="175" fontId="0" fillId="0" borderId="0" xfId="198" applyNumberFormat="1" applyFont="1" applyAlignment="1"/>
    <xf numFmtId="0" fontId="17" fillId="0" borderId="0" xfId="204" applyFont="1" applyAlignment="1"/>
    <xf numFmtId="0" fontId="15" fillId="0" borderId="0" xfId="204" applyNumberFormat="1" applyFont="1" applyFill="1" applyBorder="1" applyAlignment="1" applyProtection="1">
      <alignment wrapText="1"/>
      <protection locked="0"/>
    </xf>
    <xf numFmtId="44" fontId="15" fillId="0" borderId="0" xfId="206" applyFont="1" applyAlignment="1">
      <alignment vertical="center"/>
    </xf>
    <xf numFmtId="3" fontId="120" fillId="0" borderId="0" xfId="204" applyNumberFormat="1" applyFont="1" applyAlignment="1">
      <alignment vertical="center"/>
    </xf>
    <xf numFmtId="168" fontId="15" fillId="0" borderId="4" xfId="199" applyNumberFormat="1" applyFont="1" applyBorder="1" applyAlignment="1">
      <alignment vertical="center"/>
    </xf>
    <xf numFmtId="0" fontId="15" fillId="0" borderId="0" xfId="204" applyFont="1" applyAlignment="1">
      <alignment horizontal="left" wrapText="1" indent="1"/>
    </xf>
    <xf numFmtId="0" fontId="76" fillId="0" borderId="0" xfId="204" applyFont="1" applyFill="1" applyAlignment="1">
      <alignment horizontal="left" indent="1"/>
    </xf>
    <xf numFmtId="14" fontId="0" fillId="6" borderId="0" xfId="0" applyNumberFormat="1" applyFill="1" applyBorder="1" applyAlignment="1" applyProtection="1"/>
    <xf numFmtId="0" fontId="108" fillId="0" borderId="0" xfId="204" applyFont="1" applyAlignment="1"/>
    <xf numFmtId="43" fontId="134" fillId="0" borderId="0" xfId="1" applyFont="1" applyAlignment="1"/>
    <xf numFmtId="43" fontId="135" fillId="0" borderId="0" xfId="1" applyFont="1"/>
    <xf numFmtId="43" fontId="57" fillId="0" borderId="0" xfId="1" applyFont="1" applyBorder="1"/>
    <xf numFmtId="43" fontId="134" fillId="0" borderId="0" xfId="3" applyFont="1" applyBorder="1"/>
    <xf numFmtId="177" fontId="12" fillId="0" borderId="0" xfId="204" applyNumberFormat="1"/>
    <xf numFmtId="5" fontId="114" fillId="0" borderId="0" xfId="206" applyNumberFormat="1" applyFont="1" applyFill="1" applyAlignment="1">
      <alignment horizontal="center" vertical="center"/>
    </xf>
    <xf numFmtId="0" fontId="110" fillId="0" borderId="0" xfId="204" applyFont="1" applyFill="1" applyAlignment="1">
      <alignment horizontal="center" vertical="center"/>
    </xf>
    <xf numFmtId="37" fontId="110" fillId="0" borderId="0" xfId="206" applyNumberFormat="1" applyFont="1" applyFill="1" applyBorder="1" applyAlignment="1">
      <alignment horizontal="center" vertical="center" wrapText="1"/>
    </xf>
    <xf numFmtId="167" fontId="59" fillId="0" borderId="0" xfId="0" applyFont="1" applyAlignment="1"/>
    <xf numFmtId="0" fontId="113" fillId="0" borderId="4" xfId="204" applyFont="1" applyFill="1" applyBorder="1" applyAlignment="1">
      <alignment horizontal="center" vertical="center" wrapText="1"/>
    </xf>
    <xf numFmtId="176" fontId="110" fillId="0" borderId="0" xfId="199" applyNumberFormat="1" applyFont="1" applyFill="1" applyBorder="1" applyAlignment="1">
      <alignment horizontal="center" vertical="center" wrapText="1"/>
    </xf>
    <xf numFmtId="0" fontId="59" fillId="0" borderId="0" xfId="2" applyFont="1"/>
    <xf numFmtId="0" fontId="127" fillId="0" borderId="0" xfId="321" applyFont="1" applyAlignment="1">
      <alignment horizontal="center" vertical="center"/>
    </xf>
    <xf numFmtId="43" fontId="135" fillId="0" borderId="0" xfId="1" applyFont="1"/>
    <xf numFmtId="0" fontId="59" fillId="0" borderId="0" xfId="2" applyFont="1" applyAlignment="1">
      <alignment horizontal="right"/>
    </xf>
    <xf numFmtId="169" fontId="62" fillId="0" borderId="0" xfId="3" applyNumberFormat="1" applyFont="1" applyFill="1" applyBorder="1"/>
    <xf numFmtId="168" fontId="59" fillId="0" borderId="9" xfId="2" applyNumberFormat="1" applyFont="1" applyBorder="1"/>
    <xf numFmtId="0" fontId="79" fillId="0" borderId="0" xfId="204" applyFont="1" applyAlignment="1"/>
    <xf numFmtId="10" fontId="101" fillId="0" borderId="0" xfId="198" applyNumberFormat="1" applyFont="1" applyProtection="1">
      <protection locked="0"/>
    </xf>
    <xf numFmtId="0" fontId="129" fillId="0" borderId="0" xfId="204" applyFont="1" applyAlignment="1">
      <alignment horizontal="right" vertical="center"/>
    </xf>
    <xf numFmtId="0" fontId="129" fillId="0" borderId="0" xfId="204" applyFont="1" applyAlignment="1">
      <alignment horizontal="center" vertical="center" wrapText="1"/>
    </xf>
    <xf numFmtId="168" fontId="107" fillId="0" borderId="0" xfId="204" applyNumberFormat="1" applyFont="1" applyAlignment="1">
      <alignment horizontal="right" vertical="center"/>
    </xf>
    <xf numFmtId="168" fontId="107" fillId="0" borderId="0" xfId="204" applyNumberFormat="1" applyFont="1" applyAlignment="1">
      <alignment vertical="center"/>
    </xf>
    <xf numFmtId="0" fontId="107" fillId="0" borderId="0" xfId="204" applyFont="1" applyAlignment="1">
      <alignment horizontal="right" vertical="center"/>
    </xf>
    <xf numFmtId="168" fontId="107" fillId="0" borderId="9" xfId="204" applyNumberFormat="1" applyFont="1" applyBorder="1" applyAlignment="1">
      <alignment vertical="center"/>
    </xf>
    <xf numFmtId="167" fontId="136" fillId="0" borderId="0" xfId="0" applyFont="1" applyAlignment="1">
      <alignment horizontal="right"/>
    </xf>
    <xf numFmtId="0" fontId="107" fillId="0" borderId="0" xfId="204" applyFont="1" applyAlignment="1">
      <alignment vertical="center"/>
    </xf>
    <xf numFmtId="168" fontId="106" fillId="0" borderId="0" xfId="206" applyNumberFormat="1" applyFont="1" applyAlignment="1">
      <alignment vertical="center"/>
    </xf>
    <xf numFmtId="37" fontId="25" fillId="0" borderId="14" xfId="3" applyNumberFormat="1" applyFont="1" applyFill="1" applyBorder="1"/>
    <xf numFmtId="169" fontId="25" fillId="0" borderId="11" xfId="3" applyNumberFormat="1" applyFont="1" applyFill="1" applyBorder="1"/>
    <xf numFmtId="169" fontId="25" fillId="0" borderId="14" xfId="3" applyNumberFormat="1" applyFont="1" applyFill="1" applyBorder="1"/>
    <xf numFmtId="169" fontId="25" fillId="0" borderId="13" xfId="3" applyNumberFormat="1" applyFont="1" applyFill="1" applyBorder="1"/>
    <xf numFmtId="169" fontId="25" fillId="0" borderId="13" xfId="3" quotePrefix="1" applyNumberFormat="1" applyFont="1" applyFill="1" applyBorder="1"/>
    <xf numFmtId="37" fontId="25" fillId="0" borderId="20" xfId="3" applyNumberFormat="1" applyFont="1" applyFill="1" applyBorder="1"/>
    <xf numFmtId="168" fontId="25" fillId="0" borderId="5" xfId="4" applyNumberFormat="1" applyFont="1" applyFill="1" applyBorder="1"/>
    <xf numFmtId="168" fontId="63" fillId="0" borderId="14" xfId="4" applyNumberFormat="1" applyFont="1" applyFill="1" applyBorder="1"/>
    <xf numFmtId="169" fontId="63" fillId="0" borderId="14" xfId="3" applyNumberFormat="1" applyFont="1" applyFill="1" applyBorder="1"/>
    <xf numFmtId="3" fontId="62" fillId="0" borderId="14" xfId="4" applyNumberFormat="1" applyFont="1" applyFill="1" applyBorder="1"/>
    <xf numFmtId="44" fontId="59" fillId="0" borderId="14" xfId="199" applyFont="1" applyFill="1" applyBorder="1"/>
    <xf numFmtId="37" fontId="59" fillId="0" borderId="0" xfId="2" applyNumberFormat="1" applyFont="1" applyFill="1"/>
    <xf numFmtId="0" fontId="19" fillId="0" borderId="4" xfId="2" applyFill="1" applyBorder="1"/>
    <xf numFmtId="169" fontId="25" fillId="0" borderId="17" xfId="3" applyNumberFormat="1" applyFont="1" applyFill="1" applyBorder="1"/>
    <xf numFmtId="169" fontId="25" fillId="0" borderId="20" xfId="3" applyNumberFormat="1" applyFont="1" applyFill="1" applyBorder="1"/>
    <xf numFmtId="167" fontId="0" fillId="0" borderId="0" xfId="0" applyFill="1"/>
    <xf numFmtId="167" fontId="0" fillId="0" borderId="11" xfId="0" applyFill="1" applyBorder="1"/>
    <xf numFmtId="169" fontId="25" fillId="0" borderId="11" xfId="3" applyNumberFormat="1" applyFont="1" applyFill="1" applyBorder="1" applyAlignment="1">
      <alignment horizontal="right"/>
    </xf>
    <xf numFmtId="168" fontId="25" fillId="0" borderId="11" xfId="4" applyNumberFormat="1" applyFont="1" applyFill="1" applyBorder="1"/>
    <xf numFmtId="169" fontId="15" fillId="0" borderId="9" xfId="211" applyNumberFormat="1" applyFont="1" applyFill="1" applyBorder="1"/>
    <xf numFmtId="168" fontId="15" fillId="0" borderId="0" xfId="206" applyNumberFormat="1" applyFont="1" applyFill="1"/>
    <xf numFmtId="169" fontId="15" fillId="0" borderId="0" xfId="205" applyNumberFormat="1" applyFont="1" applyFill="1"/>
    <xf numFmtId="169" fontId="15" fillId="0" borderId="0" xfId="205" applyNumberFormat="1" applyFont="1" applyFill="1" applyBorder="1"/>
    <xf numFmtId="168" fontId="15" fillId="0" borderId="0" xfId="212" applyNumberFormat="1" applyFont="1" applyFill="1"/>
    <xf numFmtId="169" fontId="76" fillId="0" borderId="0" xfId="205" applyNumberFormat="1" applyFont="1" applyFill="1"/>
    <xf numFmtId="168" fontId="76" fillId="0" borderId="14" xfId="204" applyNumberFormat="1" applyFont="1" applyFill="1" applyBorder="1"/>
    <xf numFmtId="168" fontId="110" fillId="0" borderId="0" xfId="4" applyNumberFormat="1" applyFont="1" applyFill="1" applyBorder="1"/>
    <xf numFmtId="7" fontId="15" fillId="0" borderId="0" xfId="206" applyNumberFormat="1" applyFont="1" applyFill="1" applyAlignment="1"/>
    <xf numFmtId="39" fontId="15" fillId="0" borderId="0" xfId="206" applyNumberFormat="1" applyFont="1" applyFill="1" applyAlignment="1"/>
    <xf numFmtId="0" fontId="12" fillId="0" borderId="0" xfId="204" applyFill="1"/>
    <xf numFmtId="0" fontId="112" fillId="0" borderId="0" xfId="204" applyFont="1" applyFill="1" applyAlignment="1">
      <alignment horizontal="center"/>
    </xf>
    <xf numFmtId="37" fontId="15" fillId="0" borderId="0" xfId="205" applyNumberFormat="1" applyFont="1" applyFill="1"/>
    <xf numFmtId="37" fontId="15" fillId="0" borderId="9" xfId="205" applyNumberFormat="1" applyFont="1" applyFill="1" applyBorder="1"/>
    <xf numFmtId="43" fontId="15" fillId="0" borderId="0" xfId="205" applyFont="1" applyFill="1"/>
    <xf numFmtId="43" fontId="69" fillId="0" borderId="0" xfId="204" applyNumberFormat="1" applyFont="1" applyFill="1"/>
    <xf numFmtId="0" fontId="12" fillId="0" borderId="0" xfId="204" applyFont="1" applyFill="1"/>
    <xf numFmtId="0" fontId="75" fillId="0" borderId="0" xfId="204" applyFont="1" applyFill="1" applyAlignment="1">
      <alignment horizontal="center"/>
    </xf>
    <xf numFmtId="37" fontId="15" fillId="0" borderId="1" xfId="205" applyNumberFormat="1" applyFont="1" applyFill="1" applyBorder="1"/>
    <xf numFmtId="37" fontId="110" fillId="0" borderId="0" xfId="205" applyNumberFormat="1" applyFont="1" applyFill="1"/>
    <xf numFmtId="37" fontId="110" fillId="0" borderId="28" xfId="205" applyNumberFormat="1" applyFont="1" applyFill="1" applyBorder="1"/>
    <xf numFmtId="37" fontId="111" fillId="0" borderId="0" xfId="205" applyNumberFormat="1" applyFont="1" applyFill="1"/>
    <xf numFmtId="0" fontId="81" fillId="0" borderId="0" xfId="211" applyFont="1" applyFill="1"/>
    <xf numFmtId="165" fontId="81" fillId="0" borderId="0" xfId="211" applyNumberFormat="1" applyFont="1" applyFill="1"/>
    <xf numFmtId="165" fontId="81" fillId="0" borderId="9" xfId="211" applyNumberFormat="1" applyFont="1" applyFill="1" applyBorder="1"/>
    <xf numFmtId="168" fontId="110" fillId="0" borderId="0" xfId="206" applyNumberFormat="1" applyFont="1" applyFill="1" applyBorder="1" applyAlignment="1">
      <alignment horizontal="center" vertical="center" wrapText="1"/>
    </xf>
    <xf numFmtId="168" fontId="110" fillId="0" borderId="9" xfId="206" applyNumberFormat="1" applyFont="1" applyFill="1" applyBorder="1" applyAlignment="1">
      <alignment horizontal="center" vertical="center" wrapText="1"/>
    </xf>
    <xf numFmtId="37" fontId="110" fillId="0" borderId="0" xfId="206" applyNumberFormat="1" applyFont="1" applyFill="1" applyBorder="1" applyAlignment="1">
      <alignment horizontal="right" vertical="center" wrapText="1"/>
    </xf>
    <xf numFmtId="169" fontId="110" fillId="0" borderId="0" xfId="1" applyNumberFormat="1" applyFont="1" applyFill="1" applyBorder="1" applyAlignment="1">
      <alignment horizontal="center" vertical="center" wrapText="1"/>
    </xf>
    <xf numFmtId="37" fontId="110" fillId="0" borderId="4" xfId="206" applyNumberFormat="1" applyFont="1" applyFill="1" applyBorder="1" applyAlignment="1">
      <alignment horizontal="right" vertical="center" wrapText="1"/>
    </xf>
    <xf numFmtId="169" fontId="110" fillId="0" borderId="4" xfId="1" applyNumberFormat="1" applyFont="1" applyFill="1" applyBorder="1" applyAlignment="1">
      <alignment horizontal="center" vertical="center" wrapText="1"/>
    </xf>
    <xf numFmtId="0" fontId="12" fillId="0" borderId="0" xfId="204" applyFill="1" applyAlignment="1">
      <alignment horizontal="center" vertical="center" wrapText="1"/>
    </xf>
    <xf numFmtId="0" fontId="12" fillId="0" borderId="0" xfId="204" applyFill="1" applyAlignment="1">
      <alignment vertical="center"/>
    </xf>
    <xf numFmtId="168" fontId="0" fillId="0" borderId="0" xfId="263" applyNumberFormat="1" applyFont="1" applyFill="1" applyAlignment="1">
      <alignment vertical="center"/>
    </xf>
    <xf numFmtId="0" fontId="7" fillId="0" borderId="0" xfId="204" applyFont="1" applyFill="1" applyAlignment="1">
      <alignment horizontal="center" vertical="center"/>
    </xf>
    <xf numFmtId="0" fontId="7" fillId="0" borderId="0" xfId="204" applyFont="1" applyFill="1" applyBorder="1" applyAlignment="1">
      <alignment horizontal="center" vertical="center" wrapText="1"/>
    </xf>
    <xf numFmtId="1" fontId="7" fillId="0" borderId="0" xfId="204" applyNumberFormat="1" applyFont="1" applyFill="1" applyBorder="1" applyAlignment="1">
      <alignment horizontal="center" vertical="center" wrapText="1"/>
    </xf>
    <xf numFmtId="168" fontId="104" fillId="0" borderId="0" xfId="204" applyNumberFormat="1" applyFont="1" applyFill="1" applyBorder="1" applyAlignment="1">
      <alignment horizontal="center" vertical="center" wrapText="1"/>
    </xf>
    <xf numFmtId="43" fontId="134" fillId="0" borderId="0" xfId="1" applyFont="1" applyFill="1" applyAlignment="1"/>
    <xf numFmtId="1" fontId="7" fillId="0" borderId="0" xfId="204" applyNumberFormat="1" applyFont="1" applyFill="1" applyAlignment="1">
      <alignment horizontal="center" vertical="center"/>
    </xf>
    <xf numFmtId="0" fontId="70" fillId="0" borderId="0" xfId="204" applyFont="1" applyFill="1" applyAlignment="1">
      <alignment horizontal="center" vertical="center"/>
    </xf>
    <xf numFmtId="0" fontId="68" fillId="0" borderId="0" xfId="204" applyFont="1" applyFill="1" applyAlignment="1">
      <alignment horizontal="center" vertical="center"/>
    </xf>
    <xf numFmtId="0" fontId="65" fillId="0" borderId="0" xfId="204" applyFont="1" applyFill="1" applyAlignment="1">
      <alignment vertical="center"/>
    </xf>
    <xf numFmtId="168" fontId="0" fillId="0" borderId="4" xfId="206" applyNumberFormat="1" applyFont="1" applyFill="1" applyBorder="1" applyAlignment="1">
      <alignment vertical="center"/>
    </xf>
    <xf numFmtId="0" fontId="7" fillId="0" borderId="40" xfId="204" applyFont="1" applyFill="1" applyBorder="1" applyAlignment="1">
      <alignment vertical="center"/>
    </xf>
    <xf numFmtId="0" fontId="7" fillId="0" borderId="41" xfId="204" applyFont="1" applyFill="1" applyBorder="1" applyAlignment="1">
      <alignment vertical="center"/>
    </xf>
    <xf numFmtId="168" fontId="7" fillId="0" borderId="25" xfId="262" applyNumberFormat="1" applyFont="1" applyFill="1" applyBorder="1" applyAlignment="1">
      <alignment vertical="center"/>
    </xf>
    <xf numFmtId="168" fontId="7" fillId="0" borderId="0" xfId="262" applyNumberFormat="1" applyFont="1" applyFill="1" applyBorder="1" applyAlignment="1">
      <alignment vertical="center"/>
    </xf>
    <xf numFmtId="0" fontId="64" fillId="0" borderId="0" xfId="262" applyFont="1" applyFill="1" applyAlignment="1">
      <alignment vertical="center"/>
    </xf>
    <xf numFmtId="0" fontId="64" fillId="0" borderId="0" xfId="262" applyFont="1" applyFill="1" applyAlignment="1">
      <alignment horizontal="right" vertical="center"/>
    </xf>
    <xf numFmtId="168" fontId="64" fillId="0" borderId="0" xfId="263" applyNumberFormat="1" applyFont="1" applyFill="1" applyAlignment="1">
      <alignment vertical="center"/>
    </xf>
    <xf numFmtId="37" fontId="64" fillId="0" borderId="0" xfId="263" applyNumberFormat="1" applyFont="1" applyFill="1" applyAlignment="1">
      <alignment vertical="center"/>
    </xf>
    <xf numFmtId="168" fontId="64" fillId="0" borderId="9" xfId="262" applyNumberFormat="1" applyFont="1" applyFill="1" applyBorder="1" applyAlignment="1">
      <alignment vertical="center"/>
    </xf>
    <xf numFmtId="0" fontId="5" fillId="0" borderId="0" xfId="204" quotePrefix="1" applyFont="1" applyFill="1" applyAlignment="1">
      <alignment vertical="center"/>
    </xf>
    <xf numFmtId="0" fontId="12" fillId="0" borderId="0" xfId="204" applyFill="1" applyAlignment="1">
      <alignment horizontal="center" vertical="center"/>
    </xf>
    <xf numFmtId="0" fontId="5" fillId="0" borderId="0" xfId="321" applyFont="1" applyFill="1" applyAlignment="1">
      <alignment horizontal="right" vertical="center"/>
    </xf>
    <xf numFmtId="0" fontId="127" fillId="0" borderId="0" xfId="321" applyFont="1" applyFill="1" applyAlignment="1">
      <alignment horizontal="left" vertical="center"/>
    </xf>
    <xf numFmtId="0" fontId="64" fillId="0" borderId="0" xfId="321" applyFont="1" applyFill="1" applyAlignment="1">
      <alignment horizontal="right" vertical="center"/>
    </xf>
    <xf numFmtId="3" fontId="76" fillId="0" borderId="0" xfId="204" applyNumberFormat="1" applyFont="1" applyFill="1" applyAlignment="1">
      <alignment horizontal="center" vertical="center"/>
    </xf>
    <xf numFmtId="167" fontId="15" fillId="0" borderId="0" xfId="0" applyFont="1" applyAlignment="1"/>
    <xf numFmtId="167" fontId="15" fillId="0" borderId="0" xfId="0" applyFont="1" applyAlignment="1">
      <alignment horizontal="center"/>
    </xf>
    <xf numFmtId="167" fontId="15" fillId="0" borderId="0" xfId="0" quotePrefix="1" applyFont="1" applyAlignment="1">
      <alignment wrapText="1"/>
    </xf>
    <xf numFmtId="167" fontId="16" fillId="0" borderId="4" xfId="0" applyFont="1" applyBorder="1" applyAlignment="1">
      <alignment horizontal="center"/>
    </xf>
    <xf numFmtId="0" fontId="15" fillId="0" borderId="0" xfId="0" applyNumberFormat="1" applyFont="1" applyAlignment="1">
      <alignment horizontal="center"/>
    </xf>
    <xf numFmtId="168" fontId="16" fillId="0" borderId="0" xfId="199" applyNumberFormat="1" applyFont="1" applyFill="1" applyAlignment="1">
      <alignment horizontal="left"/>
    </xf>
    <xf numFmtId="169" fontId="15" fillId="0" borderId="4" xfId="1" applyNumberFormat="1" applyFont="1" applyFill="1" applyBorder="1" applyAlignment="1"/>
    <xf numFmtId="167" fontId="64" fillId="0" borderId="0" xfId="0" applyFont="1"/>
    <xf numFmtId="167" fontId="5" fillId="0" borderId="0" xfId="0" applyFont="1"/>
    <xf numFmtId="167" fontId="137" fillId="0" borderId="0" xfId="0" applyFont="1"/>
    <xf numFmtId="0" fontId="61" fillId="6" borderId="0" xfId="1489" applyFont="1" applyFill="1" applyAlignment="1">
      <alignment horizontal="center" vertical="center"/>
    </xf>
    <xf numFmtId="167" fontId="64" fillId="0" borderId="0" xfId="0" applyFont="1" applyAlignment="1">
      <alignment horizontal="center"/>
    </xf>
    <xf numFmtId="167" fontId="61" fillId="6" borderId="0" xfId="0" applyFont="1" applyFill="1" applyAlignment="1">
      <alignment horizontal="center"/>
    </xf>
    <xf numFmtId="167" fontId="61" fillId="0" borderId="0" xfId="0" applyFont="1" applyAlignment="1">
      <alignment horizontal="center"/>
    </xf>
    <xf numFmtId="167" fontId="61" fillId="0" borderId="0" xfId="0" applyFont="1" applyBorder="1" applyAlignment="1">
      <alignment horizontal="center"/>
    </xf>
    <xf numFmtId="167" fontId="64" fillId="0" borderId="0" xfId="0" applyFont="1" applyBorder="1" applyAlignment="1">
      <alignment horizontal="center"/>
    </xf>
    <xf numFmtId="167" fontId="64" fillId="0" borderId="0" xfId="0" applyFont="1" applyBorder="1"/>
    <xf numFmtId="167" fontId="64" fillId="6" borderId="0" xfId="0" applyFont="1" applyFill="1"/>
    <xf numFmtId="167" fontId="64" fillId="0" borderId="0" xfId="0" applyFont="1" applyFill="1"/>
    <xf numFmtId="41" fontId="64" fillId="6" borderId="0" xfId="0" applyNumberFormat="1" applyFont="1" applyFill="1"/>
    <xf numFmtId="167" fontId="139" fillId="6" borderId="0" xfId="0" applyFont="1" applyFill="1"/>
    <xf numFmtId="41" fontId="64" fillId="0" borderId="0" xfId="0" applyNumberFormat="1" applyFont="1" applyFill="1"/>
    <xf numFmtId="167" fontId="61" fillId="0" borderId="0" xfId="0" applyFont="1"/>
    <xf numFmtId="41" fontId="64" fillId="0" borderId="0" xfId="0" applyNumberFormat="1" applyFont="1"/>
    <xf numFmtId="0" fontId="64" fillId="0" borderId="0" xfId="0" applyNumberFormat="1" applyFont="1"/>
    <xf numFmtId="0" fontId="61" fillId="6" borderId="0" xfId="0" applyNumberFormat="1" applyFont="1" applyFill="1" applyAlignment="1">
      <alignment horizontal="center"/>
    </xf>
    <xf numFmtId="167" fontId="65" fillId="0" borderId="0" xfId="0" applyFont="1" applyBorder="1" applyAlignment="1">
      <alignment horizontal="left"/>
    </xf>
    <xf numFmtId="167" fontId="64" fillId="0" borderId="0" xfId="0" quotePrefix="1" applyFont="1" applyAlignment="1">
      <alignment horizontal="left" indent="1"/>
    </xf>
    <xf numFmtId="167" fontId="65" fillId="0" borderId="0" xfId="0" applyFont="1" applyAlignment="1">
      <alignment horizontal="left"/>
    </xf>
    <xf numFmtId="167" fontId="61" fillId="0" borderId="0" xfId="0" applyFont="1" applyAlignment="1">
      <alignment horizontal="left" indent="1"/>
    </xf>
    <xf numFmtId="167" fontId="61" fillId="0" borderId="0" xfId="0" applyFont="1" applyAlignment="1">
      <alignment horizontal="left" wrapText="1" indent="1"/>
    </xf>
    <xf numFmtId="167" fontId="64" fillId="0" borderId="0" xfId="0" applyFont="1" applyAlignment="1">
      <alignment horizontal="left" indent="1"/>
    </xf>
    <xf numFmtId="169" fontId="0" fillId="0" borderId="0" xfId="384" applyNumberFormat="1" applyFont="1"/>
    <xf numFmtId="167" fontId="0" fillId="0" borderId="0" xfId="0" applyAlignment="1">
      <alignment horizontal="left" vertical="top" wrapText="1" indent="1"/>
    </xf>
    <xf numFmtId="167" fontId="0" fillId="0" borderId="0" xfId="0" applyAlignment="1">
      <alignment horizontal="center"/>
    </xf>
    <xf numFmtId="167" fontId="61" fillId="0" borderId="0" xfId="0" applyFont="1" applyAlignment="1">
      <alignment horizontal="center" wrapText="1"/>
    </xf>
    <xf numFmtId="167" fontId="65" fillId="0" borderId="0" xfId="0" applyFont="1" applyAlignment="1">
      <alignment horizontal="center" wrapText="1"/>
    </xf>
    <xf numFmtId="167" fontId="65" fillId="0" borderId="0" xfId="0" quotePrefix="1" applyFont="1" applyAlignment="1">
      <alignment horizontal="center" wrapText="1"/>
    </xf>
    <xf numFmtId="167" fontId="61" fillId="0" borderId="0" xfId="0" quotePrefix="1" applyFont="1" applyAlignment="1">
      <alignment horizontal="center" wrapText="1"/>
    </xf>
    <xf numFmtId="169" fontId="0" fillId="0" borderId="0" xfId="0" applyNumberFormat="1"/>
    <xf numFmtId="169" fontId="0" fillId="0" borderId="0" xfId="0" applyNumberFormat="1" applyFill="1"/>
    <xf numFmtId="169" fontId="0" fillId="0" borderId="0" xfId="384" applyNumberFormat="1" applyFont="1" applyBorder="1"/>
    <xf numFmtId="169" fontId="0" fillId="0" borderId="4" xfId="384" applyNumberFormat="1" applyFont="1" applyBorder="1"/>
    <xf numFmtId="169" fontId="0" fillId="0" borderId="0" xfId="384" applyNumberFormat="1" applyFont="1" applyFill="1"/>
    <xf numFmtId="167" fontId="139" fillId="0" borderId="0" xfId="0" applyFont="1"/>
    <xf numFmtId="167" fontId="0" fillId="6" borderId="0" xfId="0" applyFill="1" applyAlignment="1">
      <alignment horizontal="center"/>
    </xf>
    <xf numFmtId="169" fontId="0" fillId="6" borderId="0" xfId="384" applyNumberFormat="1" applyFont="1" applyFill="1"/>
    <xf numFmtId="169" fontId="0" fillId="6" borderId="4" xfId="384" applyNumberFormat="1" applyFont="1" applyFill="1" applyBorder="1"/>
    <xf numFmtId="0" fontId="128" fillId="0" borderId="4" xfId="204" applyFont="1" applyBorder="1" applyAlignment="1">
      <alignment horizontal="center"/>
    </xf>
    <xf numFmtId="167" fontId="15" fillId="0" borderId="0" xfId="0" applyFont="1" applyAlignment="1">
      <alignment wrapText="1"/>
    </xf>
    <xf numFmtId="167" fontId="122" fillId="0" borderId="0" xfId="264" quotePrefix="1" applyNumberFormat="1" applyFont="1" applyAlignment="1" applyProtection="1"/>
    <xf numFmtId="167" fontId="15" fillId="0" borderId="0" xfId="0" applyFont="1" applyAlignment="1"/>
    <xf numFmtId="167" fontId="15" fillId="0" borderId="0" xfId="0" applyFont="1" applyFill="1" applyAlignment="1">
      <alignment wrapText="1"/>
    </xf>
    <xf numFmtId="167" fontId="15" fillId="0" borderId="42" xfId="0" applyFont="1" applyBorder="1" applyAlignment="1">
      <alignment horizontal="center"/>
    </xf>
    <xf numFmtId="167" fontId="15" fillId="0" borderId="0" xfId="0" applyFont="1" applyFill="1" applyAlignment="1">
      <alignment horizontal="left" wrapText="1"/>
    </xf>
    <xf numFmtId="0" fontId="15" fillId="0" borderId="0" xfId="139" applyNumberFormat="1" applyFont="1" applyFill="1" applyAlignment="1"/>
    <xf numFmtId="167" fontId="15" fillId="0" borderId="0" xfId="0" applyFont="1" applyAlignment="1">
      <alignment horizontal="center"/>
    </xf>
    <xf numFmtId="0" fontId="76" fillId="0" borderId="0" xfId="147" applyFont="1" applyAlignment="1">
      <alignment horizontal="center"/>
    </xf>
    <xf numFmtId="0" fontId="15" fillId="0" borderId="9" xfId="139" applyNumberFormat="1" applyFont="1" applyFill="1" applyBorder="1" applyAlignment="1"/>
    <xf numFmtId="167" fontId="16" fillId="0" borderId="4" xfId="0" applyFont="1" applyBorder="1" applyAlignment="1">
      <alignment horizontal="center"/>
    </xf>
    <xf numFmtId="167" fontId="15" fillId="0" borderId="0" xfId="0" quotePrefix="1" applyFont="1" applyAlignment="1">
      <alignment wrapText="1"/>
    </xf>
    <xf numFmtId="167" fontId="64" fillId="0" borderId="0" xfId="0" applyFont="1" applyAlignment="1">
      <alignment horizontal="left" vertical="top" wrapText="1" indent="1"/>
    </xf>
    <xf numFmtId="167" fontId="141" fillId="0" borderId="0" xfId="0" applyFont="1" applyAlignment="1">
      <alignment horizontal="center"/>
    </xf>
    <xf numFmtId="167" fontId="64" fillId="0" borderId="0" xfId="0" quotePrefix="1" applyFont="1" applyAlignment="1">
      <alignment horizontal="left" wrapText="1" indent="1"/>
    </xf>
    <xf numFmtId="167" fontId="61" fillId="0" borderId="0" xfId="0" applyFont="1" applyAlignment="1">
      <alignment horizontal="left" wrapText="1" indent="1"/>
    </xf>
    <xf numFmtId="167" fontId="65" fillId="0" borderId="4" xfId="0" applyFont="1" applyBorder="1" applyAlignment="1">
      <alignment horizontal="center"/>
    </xf>
    <xf numFmtId="167" fontId="15" fillId="0" borderId="0" xfId="0" applyFont="1" applyBorder="1" applyAlignment="1">
      <alignment horizontal="center"/>
    </xf>
    <xf numFmtId="0" fontId="15" fillId="0" borderId="0" xfId="0" applyNumberFormat="1" applyFont="1" applyAlignment="1">
      <alignment horizontal="center"/>
    </xf>
    <xf numFmtId="0" fontId="77" fillId="0" borderId="4" xfId="204" applyFont="1" applyBorder="1" applyAlignment="1">
      <alignment horizontal="center" vertical="center" wrapText="1"/>
    </xf>
    <xf numFmtId="0" fontId="20" fillId="0" borderId="0" xfId="2" applyFont="1" applyAlignment="1">
      <alignment horizontal="center"/>
    </xf>
    <xf numFmtId="0" fontId="22" fillId="0" borderId="0" xfId="2" applyFont="1" applyAlignment="1">
      <alignment horizontal="center"/>
    </xf>
    <xf numFmtId="14" fontId="20" fillId="0" borderId="0" xfId="2" applyNumberFormat="1" applyFont="1" applyAlignment="1">
      <alignment horizontal="center"/>
    </xf>
    <xf numFmtId="0" fontId="23" fillId="0" borderId="4" xfId="2" applyFont="1" applyBorder="1" applyAlignment="1">
      <alignment horizontal="center"/>
    </xf>
    <xf numFmtId="0" fontId="23" fillId="0" borderId="4" xfId="2" applyFont="1" applyFill="1" applyBorder="1" applyAlignment="1">
      <alignment horizontal="center"/>
    </xf>
    <xf numFmtId="0" fontId="61" fillId="0" borderId="4" xfId="2" applyFont="1" applyBorder="1" applyAlignment="1">
      <alignment horizontal="center"/>
    </xf>
    <xf numFmtId="0" fontId="60" fillId="0" borderId="0" xfId="2" applyFont="1" applyAlignment="1">
      <alignment horizontal="center"/>
    </xf>
    <xf numFmtId="0" fontId="58" fillId="0" borderId="0" xfId="2" applyFont="1" applyAlignment="1">
      <alignment horizontal="center"/>
    </xf>
    <xf numFmtId="14" fontId="60" fillId="0" borderId="0" xfId="2" applyNumberFormat="1" applyFont="1" applyAlignment="1">
      <alignment horizontal="center"/>
    </xf>
    <xf numFmtId="0" fontId="82" fillId="0" borderId="0" xfId="2" applyFont="1" applyAlignment="1">
      <alignment horizontal="center"/>
    </xf>
    <xf numFmtId="14" fontId="82" fillId="0" borderId="0" xfId="2" applyNumberFormat="1" applyFont="1" applyAlignment="1">
      <alignment horizontal="center"/>
    </xf>
    <xf numFmtId="0" fontId="19" fillId="0" borderId="8" xfId="2" applyFill="1" applyBorder="1" applyAlignment="1">
      <alignment horizontal="left"/>
    </xf>
    <xf numFmtId="0" fontId="19" fillId="0" borderId="9" xfId="2" applyFill="1" applyBorder="1" applyAlignment="1">
      <alignment horizontal="left"/>
    </xf>
    <xf numFmtId="0" fontId="24" fillId="0" borderId="4" xfId="2" applyFont="1" applyBorder="1" applyAlignment="1">
      <alignment horizontal="center"/>
    </xf>
    <xf numFmtId="0" fontId="76" fillId="0" borderId="0" xfId="204" quotePrefix="1" applyFont="1" applyAlignment="1">
      <alignment vertical="center" wrapText="1"/>
    </xf>
    <xf numFmtId="0" fontId="76" fillId="0" borderId="4" xfId="204" applyFont="1" applyBorder="1" applyAlignment="1">
      <alignment horizontal="center" vertical="center"/>
    </xf>
    <xf numFmtId="0" fontId="77" fillId="0" borderId="0" xfId="204" applyFont="1" applyAlignment="1">
      <alignment horizontal="center" vertical="center"/>
    </xf>
    <xf numFmtId="0" fontId="77" fillId="0" borderId="4" xfId="204" applyFont="1" applyBorder="1" applyAlignment="1">
      <alignment horizontal="center" vertical="center"/>
    </xf>
    <xf numFmtId="0" fontId="68" fillId="0" borderId="0" xfId="204" applyFont="1" applyFill="1" applyAlignment="1">
      <alignment horizontal="center" vertical="center"/>
    </xf>
    <xf numFmtId="0" fontId="79" fillId="0" borderId="0" xfId="204" applyFont="1" applyAlignment="1">
      <alignment horizontal="center"/>
    </xf>
    <xf numFmtId="0" fontId="76" fillId="0" borderId="0" xfId="211" applyFont="1" applyAlignment="1">
      <alignment horizontal="center"/>
    </xf>
    <xf numFmtId="0" fontId="77" fillId="0" borderId="0" xfId="211" applyFont="1" applyAlignment="1">
      <alignment horizontal="center"/>
    </xf>
    <xf numFmtId="14" fontId="77" fillId="0" borderId="0" xfId="211" applyNumberFormat="1" applyFont="1" applyAlignment="1">
      <alignment horizontal="center"/>
    </xf>
    <xf numFmtId="0" fontId="76" fillId="0" borderId="0" xfId="204" applyFont="1" applyAlignment="1">
      <alignment horizontal="center"/>
    </xf>
    <xf numFmtId="0" fontId="77" fillId="0" borderId="0" xfId="204" applyFont="1" applyAlignment="1">
      <alignment horizontal="center"/>
    </xf>
    <xf numFmtId="0" fontId="76" fillId="0" borderId="4" xfId="204" applyFont="1" applyBorder="1" applyAlignment="1">
      <alignment horizontal="center"/>
    </xf>
  </cellXfs>
  <cellStyles count="1490">
    <cellStyle name="20% - Accent1" xfId="232" builtinId="30" customBuiltin="1"/>
    <cellStyle name="20% - Accent1 2" xfId="333"/>
    <cellStyle name="20% - Accent1 2 2" xfId="405"/>
    <cellStyle name="20% - Accent1 2 2 2" xfId="467"/>
    <cellStyle name="20% - Accent1 2 2 2 2" xfId="605"/>
    <cellStyle name="20% - Accent1 2 2 2 2 2" xfId="1157"/>
    <cellStyle name="20% - Accent1 2 2 2 2 3" xfId="881"/>
    <cellStyle name="20% - Accent1 2 2 2 2 4" xfId="1477"/>
    <cellStyle name="20% - Accent1 2 2 2 3" xfId="1019"/>
    <cellStyle name="20% - Accent1 2 2 2 4" xfId="743"/>
    <cellStyle name="20% - Accent1 2 2 2 5" xfId="1295"/>
    <cellStyle name="20% - Accent1 2 2 3" xfId="543"/>
    <cellStyle name="20% - Accent1 2 2 3 2" xfId="1095"/>
    <cellStyle name="20% - Accent1 2 2 3 3" xfId="819"/>
    <cellStyle name="20% - Accent1 2 2 3 4" xfId="1415"/>
    <cellStyle name="20% - Accent1 2 2 4" xfId="957"/>
    <cellStyle name="20% - Accent1 2 2 5" xfId="681"/>
    <cellStyle name="20% - Accent1 2 2 6" xfId="1233"/>
    <cellStyle name="20% - Accent1 2 3" xfId="436"/>
    <cellStyle name="20% - Accent1 2 3 2" xfId="574"/>
    <cellStyle name="20% - Accent1 2 3 2 2" xfId="1126"/>
    <cellStyle name="20% - Accent1 2 3 2 3" xfId="850"/>
    <cellStyle name="20% - Accent1 2 3 2 4" xfId="1446"/>
    <cellStyle name="20% - Accent1 2 3 3" xfId="988"/>
    <cellStyle name="20% - Accent1 2 3 4" xfId="712"/>
    <cellStyle name="20% - Accent1 2 3 5" xfId="1264"/>
    <cellStyle name="20% - Accent1 2 4" xfId="512"/>
    <cellStyle name="20% - Accent1 2 4 2" xfId="1064"/>
    <cellStyle name="20% - Accent1 2 4 3" xfId="788"/>
    <cellStyle name="20% - Accent1 2 4 4" xfId="1374"/>
    <cellStyle name="20% - Accent1 2 5" xfId="926"/>
    <cellStyle name="20% - Accent1 2 6" xfId="650"/>
    <cellStyle name="20% - Accent1 2 7" xfId="1202"/>
    <cellStyle name="20% - Accent1 3" xfId="386"/>
    <cellStyle name="20% - Accent1 3 2" xfId="449"/>
    <cellStyle name="20% - Accent1 3 2 2" xfId="587"/>
    <cellStyle name="20% - Accent1 3 2 2 2" xfId="1139"/>
    <cellStyle name="20% - Accent1 3 2 2 3" xfId="863"/>
    <cellStyle name="20% - Accent1 3 2 2 4" xfId="1459"/>
    <cellStyle name="20% - Accent1 3 2 3" xfId="1001"/>
    <cellStyle name="20% - Accent1 3 2 4" xfId="725"/>
    <cellStyle name="20% - Accent1 3 2 5" xfId="1277"/>
    <cellStyle name="20% - Accent1 3 3" xfId="525"/>
    <cellStyle name="20% - Accent1 3 3 2" xfId="1077"/>
    <cellStyle name="20% - Accent1 3 3 3" xfId="801"/>
    <cellStyle name="20% - Accent1 3 3 4" xfId="1397"/>
    <cellStyle name="20% - Accent1 3 4" xfId="939"/>
    <cellStyle name="20% - Accent1 3 5" xfId="663"/>
    <cellStyle name="20% - Accent1 3 6" xfId="1215"/>
    <cellStyle name="20% - Accent1 4" xfId="418"/>
    <cellStyle name="20% - Accent1 4 2" xfId="556"/>
    <cellStyle name="20% - Accent1 4 2 2" xfId="1108"/>
    <cellStyle name="20% - Accent1 4 2 3" xfId="832"/>
    <cellStyle name="20% - Accent1 4 2 4" xfId="1428"/>
    <cellStyle name="20% - Accent1 4 3" xfId="970"/>
    <cellStyle name="20% - Accent1 4 4" xfId="694"/>
    <cellStyle name="20% - Accent1 4 5" xfId="1246"/>
    <cellStyle name="20% - Accent1 5" xfId="307"/>
    <cellStyle name="20% - Accent1 5 2" xfId="494"/>
    <cellStyle name="20% - Accent1 5 2 2" xfId="1046"/>
    <cellStyle name="20% - Accent1 5 2 3" xfId="770"/>
    <cellStyle name="20% - Accent1 5 2 4" xfId="1352"/>
    <cellStyle name="20% - Accent1 5 3" xfId="908"/>
    <cellStyle name="20% - Accent1 5 4" xfId="632"/>
    <cellStyle name="20% - Accent1 5 5" xfId="1184"/>
    <cellStyle name="20% - Accent1 6" xfId="480"/>
    <cellStyle name="20% - Accent1 6 2" xfId="1032"/>
    <cellStyle name="20% - Accent1 6 3" xfId="756"/>
    <cellStyle name="20% - Accent1 6 4" xfId="1325"/>
    <cellStyle name="20% - Accent1 7" xfId="894"/>
    <cellStyle name="20% - Accent1 8" xfId="618"/>
    <cellStyle name="20% - Accent1 9" xfId="1170"/>
    <cellStyle name="20% - Accent2" xfId="236" builtinId="34" customBuiltin="1"/>
    <cellStyle name="20% - Accent2 2" xfId="335"/>
    <cellStyle name="20% - Accent2 2 2" xfId="407"/>
    <cellStyle name="20% - Accent2 2 2 2" xfId="469"/>
    <cellStyle name="20% - Accent2 2 2 2 2" xfId="607"/>
    <cellStyle name="20% - Accent2 2 2 2 2 2" xfId="1159"/>
    <cellStyle name="20% - Accent2 2 2 2 2 3" xfId="883"/>
    <cellStyle name="20% - Accent2 2 2 2 2 4" xfId="1479"/>
    <cellStyle name="20% - Accent2 2 2 2 3" xfId="1021"/>
    <cellStyle name="20% - Accent2 2 2 2 4" xfId="745"/>
    <cellStyle name="20% - Accent2 2 2 2 5" xfId="1297"/>
    <cellStyle name="20% - Accent2 2 2 3" xfId="545"/>
    <cellStyle name="20% - Accent2 2 2 3 2" xfId="1097"/>
    <cellStyle name="20% - Accent2 2 2 3 3" xfId="821"/>
    <cellStyle name="20% - Accent2 2 2 3 4" xfId="1417"/>
    <cellStyle name="20% - Accent2 2 2 4" xfId="959"/>
    <cellStyle name="20% - Accent2 2 2 5" xfId="683"/>
    <cellStyle name="20% - Accent2 2 2 6" xfId="1235"/>
    <cellStyle name="20% - Accent2 2 3" xfId="438"/>
    <cellStyle name="20% - Accent2 2 3 2" xfId="576"/>
    <cellStyle name="20% - Accent2 2 3 2 2" xfId="1128"/>
    <cellStyle name="20% - Accent2 2 3 2 3" xfId="852"/>
    <cellStyle name="20% - Accent2 2 3 2 4" xfId="1448"/>
    <cellStyle name="20% - Accent2 2 3 3" xfId="990"/>
    <cellStyle name="20% - Accent2 2 3 4" xfId="714"/>
    <cellStyle name="20% - Accent2 2 3 5" xfId="1266"/>
    <cellStyle name="20% - Accent2 2 4" xfId="514"/>
    <cellStyle name="20% - Accent2 2 4 2" xfId="1066"/>
    <cellStyle name="20% - Accent2 2 4 3" xfId="790"/>
    <cellStyle name="20% - Accent2 2 4 4" xfId="1376"/>
    <cellStyle name="20% - Accent2 2 5" xfId="928"/>
    <cellStyle name="20% - Accent2 2 6" xfId="652"/>
    <cellStyle name="20% - Accent2 2 7" xfId="1204"/>
    <cellStyle name="20% - Accent2 3" xfId="388"/>
    <cellStyle name="20% - Accent2 3 2" xfId="451"/>
    <cellStyle name="20% - Accent2 3 2 2" xfId="589"/>
    <cellStyle name="20% - Accent2 3 2 2 2" xfId="1141"/>
    <cellStyle name="20% - Accent2 3 2 2 3" xfId="865"/>
    <cellStyle name="20% - Accent2 3 2 2 4" xfId="1461"/>
    <cellStyle name="20% - Accent2 3 2 3" xfId="1003"/>
    <cellStyle name="20% - Accent2 3 2 4" xfId="727"/>
    <cellStyle name="20% - Accent2 3 2 5" xfId="1279"/>
    <cellStyle name="20% - Accent2 3 3" xfId="527"/>
    <cellStyle name="20% - Accent2 3 3 2" xfId="1079"/>
    <cellStyle name="20% - Accent2 3 3 3" xfId="803"/>
    <cellStyle name="20% - Accent2 3 3 4" xfId="1399"/>
    <cellStyle name="20% - Accent2 3 4" xfId="941"/>
    <cellStyle name="20% - Accent2 3 5" xfId="665"/>
    <cellStyle name="20% - Accent2 3 6" xfId="1217"/>
    <cellStyle name="20% - Accent2 4" xfId="420"/>
    <cellStyle name="20% - Accent2 4 2" xfId="558"/>
    <cellStyle name="20% - Accent2 4 2 2" xfId="1110"/>
    <cellStyle name="20% - Accent2 4 2 3" xfId="834"/>
    <cellStyle name="20% - Accent2 4 2 4" xfId="1430"/>
    <cellStyle name="20% - Accent2 4 3" xfId="972"/>
    <cellStyle name="20% - Accent2 4 4" xfId="696"/>
    <cellStyle name="20% - Accent2 4 5" xfId="1248"/>
    <cellStyle name="20% - Accent2 5" xfId="309"/>
    <cellStyle name="20% - Accent2 5 2" xfId="496"/>
    <cellStyle name="20% - Accent2 5 2 2" xfId="1048"/>
    <cellStyle name="20% - Accent2 5 2 3" xfId="772"/>
    <cellStyle name="20% - Accent2 5 2 4" xfId="1354"/>
    <cellStyle name="20% - Accent2 5 3" xfId="910"/>
    <cellStyle name="20% - Accent2 5 4" xfId="634"/>
    <cellStyle name="20% - Accent2 5 5" xfId="1186"/>
    <cellStyle name="20% - Accent2 6" xfId="482"/>
    <cellStyle name="20% - Accent2 6 2" xfId="1034"/>
    <cellStyle name="20% - Accent2 6 3" xfId="758"/>
    <cellStyle name="20% - Accent2 6 4" xfId="1327"/>
    <cellStyle name="20% - Accent2 7" xfId="896"/>
    <cellStyle name="20% - Accent2 8" xfId="620"/>
    <cellStyle name="20% - Accent2 9" xfId="1172"/>
    <cellStyle name="20% - Accent3" xfId="240" builtinId="38" customBuiltin="1"/>
    <cellStyle name="20% - Accent3 2" xfId="337"/>
    <cellStyle name="20% - Accent3 2 2" xfId="409"/>
    <cellStyle name="20% - Accent3 2 2 2" xfId="471"/>
    <cellStyle name="20% - Accent3 2 2 2 2" xfId="609"/>
    <cellStyle name="20% - Accent3 2 2 2 2 2" xfId="1161"/>
    <cellStyle name="20% - Accent3 2 2 2 2 3" xfId="885"/>
    <cellStyle name="20% - Accent3 2 2 2 2 4" xfId="1481"/>
    <cellStyle name="20% - Accent3 2 2 2 3" xfId="1023"/>
    <cellStyle name="20% - Accent3 2 2 2 4" xfId="747"/>
    <cellStyle name="20% - Accent3 2 2 2 5" xfId="1299"/>
    <cellStyle name="20% - Accent3 2 2 3" xfId="547"/>
    <cellStyle name="20% - Accent3 2 2 3 2" xfId="1099"/>
    <cellStyle name="20% - Accent3 2 2 3 3" xfId="823"/>
    <cellStyle name="20% - Accent3 2 2 3 4" xfId="1419"/>
    <cellStyle name="20% - Accent3 2 2 4" xfId="961"/>
    <cellStyle name="20% - Accent3 2 2 5" xfId="685"/>
    <cellStyle name="20% - Accent3 2 2 6" xfId="1237"/>
    <cellStyle name="20% - Accent3 2 3" xfId="440"/>
    <cellStyle name="20% - Accent3 2 3 2" xfId="578"/>
    <cellStyle name="20% - Accent3 2 3 2 2" xfId="1130"/>
    <cellStyle name="20% - Accent3 2 3 2 3" xfId="854"/>
    <cellStyle name="20% - Accent3 2 3 2 4" xfId="1450"/>
    <cellStyle name="20% - Accent3 2 3 3" xfId="992"/>
    <cellStyle name="20% - Accent3 2 3 4" xfId="716"/>
    <cellStyle name="20% - Accent3 2 3 5" xfId="1268"/>
    <cellStyle name="20% - Accent3 2 4" xfId="516"/>
    <cellStyle name="20% - Accent3 2 4 2" xfId="1068"/>
    <cellStyle name="20% - Accent3 2 4 3" xfId="792"/>
    <cellStyle name="20% - Accent3 2 4 4" xfId="1378"/>
    <cellStyle name="20% - Accent3 2 5" xfId="930"/>
    <cellStyle name="20% - Accent3 2 6" xfId="654"/>
    <cellStyle name="20% - Accent3 2 7" xfId="1206"/>
    <cellStyle name="20% - Accent3 3" xfId="390"/>
    <cellStyle name="20% - Accent3 3 2" xfId="453"/>
    <cellStyle name="20% - Accent3 3 2 2" xfId="591"/>
    <cellStyle name="20% - Accent3 3 2 2 2" xfId="1143"/>
    <cellStyle name="20% - Accent3 3 2 2 3" xfId="867"/>
    <cellStyle name="20% - Accent3 3 2 2 4" xfId="1463"/>
    <cellStyle name="20% - Accent3 3 2 3" xfId="1005"/>
    <cellStyle name="20% - Accent3 3 2 4" xfId="729"/>
    <cellStyle name="20% - Accent3 3 2 5" xfId="1281"/>
    <cellStyle name="20% - Accent3 3 3" xfId="529"/>
    <cellStyle name="20% - Accent3 3 3 2" xfId="1081"/>
    <cellStyle name="20% - Accent3 3 3 3" xfId="805"/>
    <cellStyle name="20% - Accent3 3 3 4" xfId="1401"/>
    <cellStyle name="20% - Accent3 3 4" xfId="943"/>
    <cellStyle name="20% - Accent3 3 5" xfId="667"/>
    <cellStyle name="20% - Accent3 3 6" xfId="1219"/>
    <cellStyle name="20% - Accent3 4" xfId="422"/>
    <cellStyle name="20% - Accent3 4 2" xfId="560"/>
    <cellStyle name="20% - Accent3 4 2 2" xfId="1112"/>
    <cellStyle name="20% - Accent3 4 2 3" xfId="836"/>
    <cellStyle name="20% - Accent3 4 2 4" xfId="1432"/>
    <cellStyle name="20% - Accent3 4 3" xfId="974"/>
    <cellStyle name="20% - Accent3 4 4" xfId="698"/>
    <cellStyle name="20% - Accent3 4 5" xfId="1250"/>
    <cellStyle name="20% - Accent3 5" xfId="311"/>
    <cellStyle name="20% - Accent3 5 2" xfId="498"/>
    <cellStyle name="20% - Accent3 5 2 2" xfId="1050"/>
    <cellStyle name="20% - Accent3 5 2 3" xfId="774"/>
    <cellStyle name="20% - Accent3 5 2 4" xfId="1356"/>
    <cellStyle name="20% - Accent3 5 3" xfId="912"/>
    <cellStyle name="20% - Accent3 5 4" xfId="636"/>
    <cellStyle name="20% - Accent3 5 5" xfId="1188"/>
    <cellStyle name="20% - Accent3 6" xfId="484"/>
    <cellStyle name="20% - Accent3 6 2" xfId="1036"/>
    <cellStyle name="20% - Accent3 6 3" xfId="760"/>
    <cellStyle name="20% - Accent3 6 4" xfId="1329"/>
    <cellStyle name="20% - Accent3 7" xfId="898"/>
    <cellStyle name="20% - Accent3 8" xfId="622"/>
    <cellStyle name="20% - Accent3 9" xfId="1174"/>
    <cellStyle name="20% - Accent4" xfId="244" builtinId="42" customBuiltin="1"/>
    <cellStyle name="20% - Accent4 2" xfId="339"/>
    <cellStyle name="20% - Accent4 2 2" xfId="411"/>
    <cellStyle name="20% - Accent4 2 2 2" xfId="473"/>
    <cellStyle name="20% - Accent4 2 2 2 2" xfId="611"/>
    <cellStyle name="20% - Accent4 2 2 2 2 2" xfId="1163"/>
    <cellStyle name="20% - Accent4 2 2 2 2 3" xfId="887"/>
    <cellStyle name="20% - Accent4 2 2 2 2 4" xfId="1483"/>
    <cellStyle name="20% - Accent4 2 2 2 3" xfId="1025"/>
    <cellStyle name="20% - Accent4 2 2 2 4" xfId="749"/>
    <cellStyle name="20% - Accent4 2 2 2 5" xfId="1301"/>
    <cellStyle name="20% - Accent4 2 2 3" xfId="549"/>
    <cellStyle name="20% - Accent4 2 2 3 2" xfId="1101"/>
    <cellStyle name="20% - Accent4 2 2 3 3" xfId="825"/>
    <cellStyle name="20% - Accent4 2 2 3 4" xfId="1421"/>
    <cellStyle name="20% - Accent4 2 2 4" xfId="963"/>
    <cellStyle name="20% - Accent4 2 2 5" xfId="687"/>
    <cellStyle name="20% - Accent4 2 2 6" xfId="1239"/>
    <cellStyle name="20% - Accent4 2 3" xfId="442"/>
    <cellStyle name="20% - Accent4 2 3 2" xfId="580"/>
    <cellStyle name="20% - Accent4 2 3 2 2" xfId="1132"/>
    <cellStyle name="20% - Accent4 2 3 2 3" xfId="856"/>
    <cellStyle name="20% - Accent4 2 3 2 4" xfId="1452"/>
    <cellStyle name="20% - Accent4 2 3 3" xfId="994"/>
    <cellStyle name="20% - Accent4 2 3 4" xfId="718"/>
    <cellStyle name="20% - Accent4 2 3 5" xfId="1270"/>
    <cellStyle name="20% - Accent4 2 4" xfId="518"/>
    <cellStyle name="20% - Accent4 2 4 2" xfId="1070"/>
    <cellStyle name="20% - Accent4 2 4 3" xfId="794"/>
    <cellStyle name="20% - Accent4 2 4 4" xfId="1380"/>
    <cellStyle name="20% - Accent4 2 5" xfId="932"/>
    <cellStyle name="20% - Accent4 2 6" xfId="656"/>
    <cellStyle name="20% - Accent4 2 7" xfId="1208"/>
    <cellStyle name="20% - Accent4 3" xfId="392"/>
    <cellStyle name="20% - Accent4 3 2" xfId="455"/>
    <cellStyle name="20% - Accent4 3 2 2" xfId="593"/>
    <cellStyle name="20% - Accent4 3 2 2 2" xfId="1145"/>
    <cellStyle name="20% - Accent4 3 2 2 3" xfId="869"/>
    <cellStyle name="20% - Accent4 3 2 2 4" xfId="1465"/>
    <cellStyle name="20% - Accent4 3 2 3" xfId="1007"/>
    <cellStyle name="20% - Accent4 3 2 4" xfId="731"/>
    <cellStyle name="20% - Accent4 3 2 5" xfId="1283"/>
    <cellStyle name="20% - Accent4 3 3" xfId="531"/>
    <cellStyle name="20% - Accent4 3 3 2" xfId="1083"/>
    <cellStyle name="20% - Accent4 3 3 3" xfId="807"/>
    <cellStyle name="20% - Accent4 3 3 4" xfId="1403"/>
    <cellStyle name="20% - Accent4 3 4" xfId="945"/>
    <cellStyle name="20% - Accent4 3 5" xfId="669"/>
    <cellStyle name="20% - Accent4 3 6" xfId="1221"/>
    <cellStyle name="20% - Accent4 4" xfId="424"/>
    <cellStyle name="20% - Accent4 4 2" xfId="562"/>
    <cellStyle name="20% - Accent4 4 2 2" xfId="1114"/>
    <cellStyle name="20% - Accent4 4 2 3" xfId="838"/>
    <cellStyle name="20% - Accent4 4 2 4" xfId="1434"/>
    <cellStyle name="20% - Accent4 4 3" xfId="976"/>
    <cellStyle name="20% - Accent4 4 4" xfId="700"/>
    <cellStyle name="20% - Accent4 4 5" xfId="1252"/>
    <cellStyle name="20% - Accent4 5" xfId="313"/>
    <cellStyle name="20% - Accent4 5 2" xfId="500"/>
    <cellStyle name="20% - Accent4 5 2 2" xfId="1052"/>
    <cellStyle name="20% - Accent4 5 2 3" xfId="776"/>
    <cellStyle name="20% - Accent4 5 2 4" xfId="1358"/>
    <cellStyle name="20% - Accent4 5 3" xfId="914"/>
    <cellStyle name="20% - Accent4 5 4" xfId="638"/>
    <cellStyle name="20% - Accent4 5 5" xfId="1190"/>
    <cellStyle name="20% - Accent4 6" xfId="486"/>
    <cellStyle name="20% - Accent4 6 2" xfId="1038"/>
    <cellStyle name="20% - Accent4 6 3" xfId="762"/>
    <cellStyle name="20% - Accent4 6 4" xfId="1331"/>
    <cellStyle name="20% - Accent4 7" xfId="900"/>
    <cellStyle name="20% - Accent4 8" xfId="624"/>
    <cellStyle name="20% - Accent4 9" xfId="1176"/>
    <cellStyle name="20% - Accent5" xfId="248" builtinId="46" customBuiltin="1"/>
    <cellStyle name="20% - Accent5 2" xfId="341"/>
    <cellStyle name="20% - Accent5 2 2" xfId="413"/>
    <cellStyle name="20% - Accent5 2 2 2" xfId="475"/>
    <cellStyle name="20% - Accent5 2 2 2 2" xfId="613"/>
    <cellStyle name="20% - Accent5 2 2 2 2 2" xfId="1165"/>
    <cellStyle name="20% - Accent5 2 2 2 2 3" xfId="889"/>
    <cellStyle name="20% - Accent5 2 2 2 2 4" xfId="1485"/>
    <cellStyle name="20% - Accent5 2 2 2 3" xfId="1027"/>
    <cellStyle name="20% - Accent5 2 2 2 4" xfId="751"/>
    <cellStyle name="20% - Accent5 2 2 2 5" xfId="1303"/>
    <cellStyle name="20% - Accent5 2 2 3" xfId="551"/>
    <cellStyle name="20% - Accent5 2 2 3 2" xfId="1103"/>
    <cellStyle name="20% - Accent5 2 2 3 3" xfId="827"/>
    <cellStyle name="20% - Accent5 2 2 3 4" xfId="1423"/>
    <cellStyle name="20% - Accent5 2 2 4" xfId="965"/>
    <cellStyle name="20% - Accent5 2 2 5" xfId="689"/>
    <cellStyle name="20% - Accent5 2 2 6" xfId="1241"/>
    <cellStyle name="20% - Accent5 2 3" xfId="444"/>
    <cellStyle name="20% - Accent5 2 3 2" xfId="582"/>
    <cellStyle name="20% - Accent5 2 3 2 2" xfId="1134"/>
    <cellStyle name="20% - Accent5 2 3 2 3" xfId="858"/>
    <cellStyle name="20% - Accent5 2 3 2 4" xfId="1454"/>
    <cellStyle name="20% - Accent5 2 3 3" xfId="996"/>
    <cellStyle name="20% - Accent5 2 3 4" xfId="720"/>
    <cellStyle name="20% - Accent5 2 3 5" xfId="1272"/>
    <cellStyle name="20% - Accent5 2 4" xfId="520"/>
    <cellStyle name="20% - Accent5 2 4 2" xfId="1072"/>
    <cellStyle name="20% - Accent5 2 4 3" xfId="796"/>
    <cellStyle name="20% - Accent5 2 4 4" xfId="1382"/>
    <cellStyle name="20% - Accent5 2 5" xfId="934"/>
    <cellStyle name="20% - Accent5 2 6" xfId="658"/>
    <cellStyle name="20% - Accent5 2 7" xfId="1210"/>
    <cellStyle name="20% - Accent5 3" xfId="394"/>
    <cellStyle name="20% - Accent5 3 2" xfId="457"/>
    <cellStyle name="20% - Accent5 3 2 2" xfId="595"/>
    <cellStyle name="20% - Accent5 3 2 2 2" xfId="1147"/>
    <cellStyle name="20% - Accent5 3 2 2 3" xfId="871"/>
    <cellStyle name="20% - Accent5 3 2 2 4" xfId="1467"/>
    <cellStyle name="20% - Accent5 3 2 3" xfId="1009"/>
    <cellStyle name="20% - Accent5 3 2 4" xfId="733"/>
    <cellStyle name="20% - Accent5 3 2 5" xfId="1285"/>
    <cellStyle name="20% - Accent5 3 3" xfId="533"/>
    <cellStyle name="20% - Accent5 3 3 2" xfId="1085"/>
    <cellStyle name="20% - Accent5 3 3 3" xfId="809"/>
    <cellStyle name="20% - Accent5 3 3 4" xfId="1405"/>
    <cellStyle name="20% - Accent5 3 4" xfId="947"/>
    <cellStyle name="20% - Accent5 3 5" xfId="671"/>
    <cellStyle name="20% - Accent5 3 6" xfId="1223"/>
    <cellStyle name="20% - Accent5 4" xfId="426"/>
    <cellStyle name="20% - Accent5 4 2" xfId="564"/>
    <cellStyle name="20% - Accent5 4 2 2" xfId="1116"/>
    <cellStyle name="20% - Accent5 4 2 3" xfId="840"/>
    <cellStyle name="20% - Accent5 4 2 4" xfId="1436"/>
    <cellStyle name="20% - Accent5 4 3" xfId="978"/>
    <cellStyle name="20% - Accent5 4 4" xfId="702"/>
    <cellStyle name="20% - Accent5 4 5" xfId="1254"/>
    <cellStyle name="20% - Accent5 5" xfId="315"/>
    <cellStyle name="20% - Accent5 5 2" xfId="502"/>
    <cellStyle name="20% - Accent5 5 2 2" xfId="1054"/>
    <cellStyle name="20% - Accent5 5 2 3" xfId="778"/>
    <cellStyle name="20% - Accent5 5 2 4" xfId="1360"/>
    <cellStyle name="20% - Accent5 5 3" xfId="916"/>
    <cellStyle name="20% - Accent5 5 4" xfId="640"/>
    <cellStyle name="20% - Accent5 5 5" xfId="1192"/>
    <cellStyle name="20% - Accent5 6" xfId="488"/>
    <cellStyle name="20% - Accent5 6 2" xfId="1040"/>
    <cellStyle name="20% - Accent5 6 3" xfId="764"/>
    <cellStyle name="20% - Accent5 6 4" xfId="1333"/>
    <cellStyle name="20% - Accent5 7" xfId="902"/>
    <cellStyle name="20% - Accent5 8" xfId="626"/>
    <cellStyle name="20% - Accent5 9" xfId="1178"/>
    <cellStyle name="20% - Accent6" xfId="252" builtinId="50" customBuiltin="1"/>
    <cellStyle name="20% - Accent6 2" xfId="343"/>
    <cellStyle name="20% - Accent6 2 2" xfId="415"/>
    <cellStyle name="20% - Accent6 2 2 2" xfId="477"/>
    <cellStyle name="20% - Accent6 2 2 2 2" xfId="615"/>
    <cellStyle name="20% - Accent6 2 2 2 2 2" xfId="1167"/>
    <cellStyle name="20% - Accent6 2 2 2 2 3" xfId="891"/>
    <cellStyle name="20% - Accent6 2 2 2 2 4" xfId="1487"/>
    <cellStyle name="20% - Accent6 2 2 2 3" xfId="1029"/>
    <cellStyle name="20% - Accent6 2 2 2 4" xfId="753"/>
    <cellStyle name="20% - Accent6 2 2 2 5" xfId="1305"/>
    <cellStyle name="20% - Accent6 2 2 3" xfId="553"/>
    <cellStyle name="20% - Accent6 2 2 3 2" xfId="1105"/>
    <cellStyle name="20% - Accent6 2 2 3 3" xfId="829"/>
    <cellStyle name="20% - Accent6 2 2 3 4" xfId="1425"/>
    <cellStyle name="20% - Accent6 2 2 4" xfId="967"/>
    <cellStyle name="20% - Accent6 2 2 5" xfId="691"/>
    <cellStyle name="20% - Accent6 2 2 6" xfId="1243"/>
    <cellStyle name="20% - Accent6 2 3" xfId="446"/>
    <cellStyle name="20% - Accent6 2 3 2" xfId="584"/>
    <cellStyle name="20% - Accent6 2 3 2 2" xfId="1136"/>
    <cellStyle name="20% - Accent6 2 3 2 3" xfId="860"/>
    <cellStyle name="20% - Accent6 2 3 2 4" xfId="1456"/>
    <cellStyle name="20% - Accent6 2 3 3" xfId="998"/>
    <cellStyle name="20% - Accent6 2 3 4" xfId="722"/>
    <cellStyle name="20% - Accent6 2 3 5" xfId="1274"/>
    <cellStyle name="20% - Accent6 2 4" xfId="522"/>
    <cellStyle name="20% - Accent6 2 4 2" xfId="1074"/>
    <cellStyle name="20% - Accent6 2 4 3" xfId="798"/>
    <cellStyle name="20% - Accent6 2 4 4" xfId="1384"/>
    <cellStyle name="20% - Accent6 2 5" xfId="936"/>
    <cellStyle name="20% - Accent6 2 6" xfId="660"/>
    <cellStyle name="20% - Accent6 2 7" xfId="1212"/>
    <cellStyle name="20% - Accent6 3" xfId="396"/>
    <cellStyle name="20% - Accent6 3 2" xfId="459"/>
    <cellStyle name="20% - Accent6 3 2 2" xfId="597"/>
    <cellStyle name="20% - Accent6 3 2 2 2" xfId="1149"/>
    <cellStyle name="20% - Accent6 3 2 2 3" xfId="873"/>
    <cellStyle name="20% - Accent6 3 2 2 4" xfId="1469"/>
    <cellStyle name="20% - Accent6 3 2 3" xfId="1011"/>
    <cellStyle name="20% - Accent6 3 2 4" xfId="735"/>
    <cellStyle name="20% - Accent6 3 2 5" xfId="1287"/>
    <cellStyle name="20% - Accent6 3 3" xfId="535"/>
    <cellStyle name="20% - Accent6 3 3 2" xfId="1087"/>
    <cellStyle name="20% - Accent6 3 3 3" xfId="811"/>
    <cellStyle name="20% - Accent6 3 3 4" xfId="1407"/>
    <cellStyle name="20% - Accent6 3 4" xfId="949"/>
    <cellStyle name="20% - Accent6 3 5" xfId="673"/>
    <cellStyle name="20% - Accent6 3 6" xfId="1225"/>
    <cellStyle name="20% - Accent6 4" xfId="428"/>
    <cellStyle name="20% - Accent6 4 2" xfId="566"/>
    <cellStyle name="20% - Accent6 4 2 2" xfId="1118"/>
    <cellStyle name="20% - Accent6 4 2 3" xfId="842"/>
    <cellStyle name="20% - Accent6 4 2 4" xfId="1438"/>
    <cellStyle name="20% - Accent6 4 3" xfId="980"/>
    <cellStyle name="20% - Accent6 4 4" xfId="704"/>
    <cellStyle name="20% - Accent6 4 5" xfId="1256"/>
    <cellStyle name="20% - Accent6 5" xfId="317"/>
    <cellStyle name="20% - Accent6 5 2" xfId="504"/>
    <cellStyle name="20% - Accent6 5 2 2" xfId="1056"/>
    <cellStyle name="20% - Accent6 5 2 3" xfId="780"/>
    <cellStyle name="20% - Accent6 5 2 4" xfId="1362"/>
    <cellStyle name="20% - Accent6 5 3" xfId="918"/>
    <cellStyle name="20% - Accent6 5 4" xfId="642"/>
    <cellStyle name="20% - Accent6 5 5" xfId="1194"/>
    <cellStyle name="20% - Accent6 6" xfId="490"/>
    <cellStyle name="20% - Accent6 6 2" xfId="1042"/>
    <cellStyle name="20% - Accent6 6 3" xfId="766"/>
    <cellStyle name="20% - Accent6 6 4" xfId="1335"/>
    <cellStyle name="20% - Accent6 7" xfId="904"/>
    <cellStyle name="20% - Accent6 8" xfId="628"/>
    <cellStyle name="20% - Accent6 9" xfId="1180"/>
    <cellStyle name="40% - Accent1" xfId="233" builtinId="31" customBuiltin="1"/>
    <cellStyle name="40% - Accent1 2" xfId="334"/>
    <cellStyle name="40% - Accent1 2 2" xfId="406"/>
    <cellStyle name="40% - Accent1 2 2 2" xfId="468"/>
    <cellStyle name="40% - Accent1 2 2 2 2" xfId="606"/>
    <cellStyle name="40% - Accent1 2 2 2 2 2" xfId="1158"/>
    <cellStyle name="40% - Accent1 2 2 2 2 3" xfId="882"/>
    <cellStyle name="40% - Accent1 2 2 2 2 4" xfId="1478"/>
    <cellStyle name="40% - Accent1 2 2 2 3" xfId="1020"/>
    <cellStyle name="40% - Accent1 2 2 2 4" xfId="744"/>
    <cellStyle name="40% - Accent1 2 2 2 5" xfId="1296"/>
    <cellStyle name="40% - Accent1 2 2 3" xfId="544"/>
    <cellStyle name="40% - Accent1 2 2 3 2" xfId="1096"/>
    <cellStyle name="40% - Accent1 2 2 3 3" xfId="820"/>
    <cellStyle name="40% - Accent1 2 2 3 4" xfId="1416"/>
    <cellStyle name="40% - Accent1 2 2 4" xfId="958"/>
    <cellStyle name="40% - Accent1 2 2 5" xfId="682"/>
    <cellStyle name="40% - Accent1 2 2 6" xfId="1234"/>
    <cellStyle name="40% - Accent1 2 3" xfId="437"/>
    <cellStyle name="40% - Accent1 2 3 2" xfId="575"/>
    <cellStyle name="40% - Accent1 2 3 2 2" xfId="1127"/>
    <cellStyle name="40% - Accent1 2 3 2 3" xfId="851"/>
    <cellStyle name="40% - Accent1 2 3 2 4" xfId="1447"/>
    <cellStyle name="40% - Accent1 2 3 3" xfId="989"/>
    <cellStyle name="40% - Accent1 2 3 4" xfId="713"/>
    <cellStyle name="40% - Accent1 2 3 5" xfId="1265"/>
    <cellStyle name="40% - Accent1 2 4" xfId="513"/>
    <cellStyle name="40% - Accent1 2 4 2" xfId="1065"/>
    <cellStyle name="40% - Accent1 2 4 3" xfId="789"/>
    <cellStyle name="40% - Accent1 2 4 4" xfId="1375"/>
    <cellStyle name="40% - Accent1 2 5" xfId="927"/>
    <cellStyle name="40% - Accent1 2 6" xfId="651"/>
    <cellStyle name="40% - Accent1 2 7" xfId="1203"/>
    <cellStyle name="40% - Accent1 3" xfId="387"/>
    <cellStyle name="40% - Accent1 3 2" xfId="450"/>
    <cellStyle name="40% - Accent1 3 2 2" xfId="588"/>
    <cellStyle name="40% - Accent1 3 2 2 2" xfId="1140"/>
    <cellStyle name="40% - Accent1 3 2 2 3" xfId="864"/>
    <cellStyle name="40% - Accent1 3 2 2 4" xfId="1460"/>
    <cellStyle name="40% - Accent1 3 2 3" xfId="1002"/>
    <cellStyle name="40% - Accent1 3 2 4" xfId="726"/>
    <cellStyle name="40% - Accent1 3 2 5" xfId="1278"/>
    <cellStyle name="40% - Accent1 3 3" xfId="526"/>
    <cellStyle name="40% - Accent1 3 3 2" xfId="1078"/>
    <cellStyle name="40% - Accent1 3 3 3" xfId="802"/>
    <cellStyle name="40% - Accent1 3 3 4" xfId="1398"/>
    <cellStyle name="40% - Accent1 3 4" xfId="940"/>
    <cellStyle name="40% - Accent1 3 5" xfId="664"/>
    <cellStyle name="40% - Accent1 3 6" xfId="1216"/>
    <cellStyle name="40% - Accent1 4" xfId="419"/>
    <cellStyle name="40% - Accent1 4 2" xfId="557"/>
    <cellStyle name="40% - Accent1 4 2 2" xfId="1109"/>
    <cellStyle name="40% - Accent1 4 2 3" xfId="833"/>
    <cellStyle name="40% - Accent1 4 2 4" xfId="1429"/>
    <cellStyle name="40% - Accent1 4 3" xfId="971"/>
    <cellStyle name="40% - Accent1 4 4" xfId="695"/>
    <cellStyle name="40% - Accent1 4 5" xfId="1247"/>
    <cellStyle name="40% - Accent1 5" xfId="308"/>
    <cellStyle name="40% - Accent1 5 2" xfId="495"/>
    <cellStyle name="40% - Accent1 5 2 2" xfId="1047"/>
    <cellStyle name="40% - Accent1 5 2 3" xfId="771"/>
    <cellStyle name="40% - Accent1 5 2 4" xfId="1353"/>
    <cellStyle name="40% - Accent1 5 3" xfId="909"/>
    <cellStyle name="40% - Accent1 5 4" xfId="633"/>
    <cellStyle name="40% - Accent1 5 5" xfId="1185"/>
    <cellStyle name="40% - Accent1 6" xfId="481"/>
    <cellStyle name="40% - Accent1 6 2" xfId="1033"/>
    <cellStyle name="40% - Accent1 6 3" xfId="757"/>
    <cellStyle name="40% - Accent1 6 4" xfId="1326"/>
    <cellStyle name="40% - Accent1 7" xfId="895"/>
    <cellStyle name="40% - Accent1 8" xfId="619"/>
    <cellStyle name="40% - Accent1 9" xfId="1171"/>
    <cellStyle name="40% - Accent2" xfId="237" builtinId="35" customBuiltin="1"/>
    <cellStyle name="40% - Accent2 2" xfId="336"/>
    <cellStyle name="40% - Accent2 2 2" xfId="408"/>
    <cellStyle name="40% - Accent2 2 2 2" xfId="470"/>
    <cellStyle name="40% - Accent2 2 2 2 2" xfId="608"/>
    <cellStyle name="40% - Accent2 2 2 2 2 2" xfId="1160"/>
    <cellStyle name="40% - Accent2 2 2 2 2 3" xfId="884"/>
    <cellStyle name="40% - Accent2 2 2 2 2 4" xfId="1480"/>
    <cellStyle name="40% - Accent2 2 2 2 3" xfId="1022"/>
    <cellStyle name="40% - Accent2 2 2 2 4" xfId="746"/>
    <cellStyle name="40% - Accent2 2 2 2 5" xfId="1298"/>
    <cellStyle name="40% - Accent2 2 2 3" xfId="546"/>
    <cellStyle name="40% - Accent2 2 2 3 2" xfId="1098"/>
    <cellStyle name="40% - Accent2 2 2 3 3" xfId="822"/>
    <cellStyle name="40% - Accent2 2 2 3 4" xfId="1418"/>
    <cellStyle name="40% - Accent2 2 2 4" xfId="960"/>
    <cellStyle name="40% - Accent2 2 2 5" xfId="684"/>
    <cellStyle name="40% - Accent2 2 2 6" xfId="1236"/>
    <cellStyle name="40% - Accent2 2 3" xfId="439"/>
    <cellStyle name="40% - Accent2 2 3 2" xfId="577"/>
    <cellStyle name="40% - Accent2 2 3 2 2" xfId="1129"/>
    <cellStyle name="40% - Accent2 2 3 2 3" xfId="853"/>
    <cellStyle name="40% - Accent2 2 3 2 4" xfId="1449"/>
    <cellStyle name="40% - Accent2 2 3 3" xfId="991"/>
    <cellStyle name="40% - Accent2 2 3 4" xfId="715"/>
    <cellStyle name="40% - Accent2 2 3 5" xfId="1267"/>
    <cellStyle name="40% - Accent2 2 4" xfId="515"/>
    <cellStyle name="40% - Accent2 2 4 2" xfId="1067"/>
    <cellStyle name="40% - Accent2 2 4 3" xfId="791"/>
    <cellStyle name="40% - Accent2 2 4 4" xfId="1377"/>
    <cellStyle name="40% - Accent2 2 5" xfId="929"/>
    <cellStyle name="40% - Accent2 2 6" xfId="653"/>
    <cellStyle name="40% - Accent2 2 7" xfId="1205"/>
    <cellStyle name="40% - Accent2 3" xfId="389"/>
    <cellStyle name="40% - Accent2 3 2" xfId="452"/>
    <cellStyle name="40% - Accent2 3 2 2" xfId="590"/>
    <cellStyle name="40% - Accent2 3 2 2 2" xfId="1142"/>
    <cellStyle name="40% - Accent2 3 2 2 3" xfId="866"/>
    <cellStyle name="40% - Accent2 3 2 2 4" xfId="1462"/>
    <cellStyle name="40% - Accent2 3 2 3" xfId="1004"/>
    <cellStyle name="40% - Accent2 3 2 4" xfId="728"/>
    <cellStyle name="40% - Accent2 3 2 5" xfId="1280"/>
    <cellStyle name="40% - Accent2 3 3" xfId="528"/>
    <cellStyle name="40% - Accent2 3 3 2" xfId="1080"/>
    <cellStyle name="40% - Accent2 3 3 3" xfId="804"/>
    <cellStyle name="40% - Accent2 3 3 4" xfId="1400"/>
    <cellStyle name="40% - Accent2 3 4" xfId="942"/>
    <cellStyle name="40% - Accent2 3 5" xfId="666"/>
    <cellStyle name="40% - Accent2 3 6" xfId="1218"/>
    <cellStyle name="40% - Accent2 4" xfId="421"/>
    <cellStyle name="40% - Accent2 4 2" xfId="559"/>
    <cellStyle name="40% - Accent2 4 2 2" xfId="1111"/>
    <cellStyle name="40% - Accent2 4 2 3" xfId="835"/>
    <cellStyle name="40% - Accent2 4 2 4" xfId="1431"/>
    <cellStyle name="40% - Accent2 4 3" xfId="973"/>
    <cellStyle name="40% - Accent2 4 4" xfId="697"/>
    <cellStyle name="40% - Accent2 4 5" xfId="1249"/>
    <cellStyle name="40% - Accent2 5" xfId="310"/>
    <cellStyle name="40% - Accent2 5 2" xfId="497"/>
    <cellStyle name="40% - Accent2 5 2 2" xfId="1049"/>
    <cellStyle name="40% - Accent2 5 2 3" xfId="773"/>
    <cellStyle name="40% - Accent2 5 2 4" xfId="1355"/>
    <cellStyle name="40% - Accent2 5 3" xfId="911"/>
    <cellStyle name="40% - Accent2 5 4" xfId="635"/>
    <cellStyle name="40% - Accent2 5 5" xfId="1187"/>
    <cellStyle name="40% - Accent2 6" xfId="483"/>
    <cellStyle name="40% - Accent2 6 2" xfId="1035"/>
    <cellStyle name="40% - Accent2 6 3" xfId="759"/>
    <cellStyle name="40% - Accent2 6 4" xfId="1328"/>
    <cellStyle name="40% - Accent2 7" xfId="897"/>
    <cellStyle name="40% - Accent2 8" xfId="621"/>
    <cellStyle name="40% - Accent2 9" xfId="1173"/>
    <cellStyle name="40% - Accent3" xfId="241" builtinId="39" customBuiltin="1"/>
    <cellStyle name="40% - Accent3 2" xfId="338"/>
    <cellStyle name="40% - Accent3 2 2" xfId="410"/>
    <cellStyle name="40% - Accent3 2 2 2" xfId="472"/>
    <cellStyle name="40% - Accent3 2 2 2 2" xfId="610"/>
    <cellStyle name="40% - Accent3 2 2 2 2 2" xfId="1162"/>
    <cellStyle name="40% - Accent3 2 2 2 2 3" xfId="886"/>
    <cellStyle name="40% - Accent3 2 2 2 2 4" xfId="1482"/>
    <cellStyle name="40% - Accent3 2 2 2 3" xfId="1024"/>
    <cellStyle name="40% - Accent3 2 2 2 4" xfId="748"/>
    <cellStyle name="40% - Accent3 2 2 2 5" xfId="1300"/>
    <cellStyle name="40% - Accent3 2 2 3" xfId="548"/>
    <cellStyle name="40% - Accent3 2 2 3 2" xfId="1100"/>
    <cellStyle name="40% - Accent3 2 2 3 3" xfId="824"/>
    <cellStyle name="40% - Accent3 2 2 3 4" xfId="1420"/>
    <cellStyle name="40% - Accent3 2 2 4" xfId="962"/>
    <cellStyle name="40% - Accent3 2 2 5" xfId="686"/>
    <cellStyle name="40% - Accent3 2 2 6" xfId="1238"/>
    <cellStyle name="40% - Accent3 2 3" xfId="441"/>
    <cellStyle name="40% - Accent3 2 3 2" xfId="579"/>
    <cellStyle name="40% - Accent3 2 3 2 2" xfId="1131"/>
    <cellStyle name="40% - Accent3 2 3 2 3" xfId="855"/>
    <cellStyle name="40% - Accent3 2 3 2 4" xfId="1451"/>
    <cellStyle name="40% - Accent3 2 3 3" xfId="993"/>
    <cellStyle name="40% - Accent3 2 3 4" xfId="717"/>
    <cellStyle name="40% - Accent3 2 3 5" xfId="1269"/>
    <cellStyle name="40% - Accent3 2 4" xfId="517"/>
    <cellStyle name="40% - Accent3 2 4 2" xfId="1069"/>
    <cellStyle name="40% - Accent3 2 4 3" xfId="793"/>
    <cellStyle name="40% - Accent3 2 4 4" xfId="1379"/>
    <cellStyle name="40% - Accent3 2 5" xfId="931"/>
    <cellStyle name="40% - Accent3 2 6" xfId="655"/>
    <cellStyle name="40% - Accent3 2 7" xfId="1207"/>
    <cellStyle name="40% - Accent3 3" xfId="391"/>
    <cellStyle name="40% - Accent3 3 2" xfId="454"/>
    <cellStyle name="40% - Accent3 3 2 2" xfId="592"/>
    <cellStyle name="40% - Accent3 3 2 2 2" xfId="1144"/>
    <cellStyle name="40% - Accent3 3 2 2 3" xfId="868"/>
    <cellStyle name="40% - Accent3 3 2 2 4" xfId="1464"/>
    <cellStyle name="40% - Accent3 3 2 3" xfId="1006"/>
    <cellStyle name="40% - Accent3 3 2 4" xfId="730"/>
    <cellStyle name="40% - Accent3 3 2 5" xfId="1282"/>
    <cellStyle name="40% - Accent3 3 3" xfId="530"/>
    <cellStyle name="40% - Accent3 3 3 2" xfId="1082"/>
    <cellStyle name="40% - Accent3 3 3 3" xfId="806"/>
    <cellStyle name="40% - Accent3 3 3 4" xfId="1402"/>
    <cellStyle name="40% - Accent3 3 4" xfId="944"/>
    <cellStyle name="40% - Accent3 3 5" xfId="668"/>
    <cellStyle name="40% - Accent3 3 6" xfId="1220"/>
    <cellStyle name="40% - Accent3 4" xfId="423"/>
    <cellStyle name="40% - Accent3 4 2" xfId="561"/>
    <cellStyle name="40% - Accent3 4 2 2" xfId="1113"/>
    <cellStyle name="40% - Accent3 4 2 3" xfId="837"/>
    <cellStyle name="40% - Accent3 4 2 4" xfId="1433"/>
    <cellStyle name="40% - Accent3 4 3" xfId="975"/>
    <cellStyle name="40% - Accent3 4 4" xfId="699"/>
    <cellStyle name="40% - Accent3 4 5" xfId="1251"/>
    <cellStyle name="40% - Accent3 5" xfId="312"/>
    <cellStyle name="40% - Accent3 5 2" xfId="499"/>
    <cellStyle name="40% - Accent3 5 2 2" xfId="1051"/>
    <cellStyle name="40% - Accent3 5 2 3" xfId="775"/>
    <cellStyle name="40% - Accent3 5 2 4" xfId="1357"/>
    <cellStyle name="40% - Accent3 5 3" xfId="913"/>
    <cellStyle name="40% - Accent3 5 4" xfId="637"/>
    <cellStyle name="40% - Accent3 5 5" xfId="1189"/>
    <cellStyle name="40% - Accent3 6" xfId="485"/>
    <cellStyle name="40% - Accent3 6 2" xfId="1037"/>
    <cellStyle name="40% - Accent3 6 3" xfId="761"/>
    <cellStyle name="40% - Accent3 6 4" xfId="1330"/>
    <cellStyle name="40% - Accent3 7" xfId="899"/>
    <cellStyle name="40% - Accent3 8" xfId="623"/>
    <cellStyle name="40% - Accent3 9" xfId="1175"/>
    <cellStyle name="40% - Accent4" xfId="245" builtinId="43" customBuiltin="1"/>
    <cellStyle name="40% - Accent4 2" xfId="340"/>
    <cellStyle name="40% - Accent4 2 2" xfId="412"/>
    <cellStyle name="40% - Accent4 2 2 2" xfId="474"/>
    <cellStyle name="40% - Accent4 2 2 2 2" xfId="612"/>
    <cellStyle name="40% - Accent4 2 2 2 2 2" xfId="1164"/>
    <cellStyle name="40% - Accent4 2 2 2 2 3" xfId="888"/>
    <cellStyle name="40% - Accent4 2 2 2 2 4" xfId="1484"/>
    <cellStyle name="40% - Accent4 2 2 2 3" xfId="1026"/>
    <cellStyle name="40% - Accent4 2 2 2 4" xfId="750"/>
    <cellStyle name="40% - Accent4 2 2 2 5" xfId="1302"/>
    <cellStyle name="40% - Accent4 2 2 3" xfId="550"/>
    <cellStyle name="40% - Accent4 2 2 3 2" xfId="1102"/>
    <cellStyle name="40% - Accent4 2 2 3 3" xfId="826"/>
    <cellStyle name="40% - Accent4 2 2 3 4" xfId="1422"/>
    <cellStyle name="40% - Accent4 2 2 4" xfId="964"/>
    <cellStyle name="40% - Accent4 2 2 5" xfId="688"/>
    <cellStyle name="40% - Accent4 2 2 6" xfId="1240"/>
    <cellStyle name="40% - Accent4 2 3" xfId="443"/>
    <cellStyle name="40% - Accent4 2 3 2" xfId="581"/>
    <cellStyle name="40% - Accent4 2 3 2 2" xfId="1133"/>
    <cellStyle name="40% - Accent4 2 3 2 3" xfId="857"/>
    <cellStyle name="40% - Accent4 2 3 2 4" xfId="1453"/>
    <cellStyle name="40% - Accent4 2 3 3" xfId="995"/>
    <cellStyle name="40% - Accent4 2 3 4" xfId="719"/>
    <cellStyle name="40% - Accent4 2 3 5" xfId="1271"/>
    <cellStyle name="40% - Accent4 2 4" xfId="519"/>
    <cellStyle name="40% - Accent4 2 4 2" xfId="1071"/>
    <cellStyle name="40% - Accent4 2 4 3" xfId="795"/>
    <cellStyle name="40% - Accent4 2 4 4" xfId="1381"/>
    <cellStyle name="40% - Accent4 2 5" xfId="933"/>
    <cellStyle name="40% - Accent4 2 6" xfId="657"/>
    <cellStyle name="40% - Accent4 2 7" xfId="1209"/>
    <cellStyle name="40% - Accent4 3" xfId="393"/>
    <cellStyle name="40% - Accent4 3 2" xfId="456"/>
    <cellStyle name="40% - Accent4 3 2 2" xfId="594"/>
    <cellStyle name="40% - Accent4 3 2 2 2" xfId="1146"/>
    <cellStyle name="40% - Accent4 3 2 2 3" xfId="870"/>
    <cellStyle name="40% - Accent4 3 2 2 4" xfId="1466"/>
    <cellStyle name="40% - Accent4 3 2 3" xfId="1008"/>
    <cellStyle name="40% - Accent4 3 2 4" xfId="732"/>
    <cellStyle name="40% - Accent4 3 2 5" xfId="1284"/>
    <cellStyle name="40% - Accent4 3 3" xfId="532"/>
    <cellStyle name="40% - Accent4 3 3 2" xfId="1084"/>
    <cellStyle name="40% - Accent4 3 3 3" xfId="808"/>
    <cellStyle name="40% - Accent4 3 3 4" xfId="1404"/>
    <cellStyle name="40% - Accent4 3 4" xfId="946"/>
    <cellStyle name="40% - Accent4 3 5" xfId="670"/>
    <cellStyle name="40% - Accent4 3 6" xfId="1222"/>
    <cellStyle name="40% - Accent4 4" xfId="425"/>
    <cellStyle name="40% - Accent4 4 2" xfId="563"/>
    <cellStyle name="40% - Accent4 4 2 2" xfId="1115"/>
    <cellStyle name="40% - Accent4 4 2 3" xfId="839"/>
    <cellStyle name="40% - Accent4 4 2 4" xfId="1435"/>
    <cellStyle name="40% - Accent4 4 3" xfId="977"/>
    <cellStyle name="40% - Accent4 4 4" xfId="701"/>
    <cellStyle name="40% - Accent4 4 5" xfId="1253"/>
    <cellStyle name="40% - Accent4 5" xfId="314"/>
    <cellStyle name="40% - Accent4 5 2" xfId="501"/>
    <cellStyle name="40% - Accent4 5 2 2" xfId="1053"/>
    <cellStyle name="40% - Accent4 5 2 3" xfId="777"/>
    <cellStyle name="40% - Accent4 5 2 4" xfId="1359"/>
    <cellStyle name="40% - Accent4 5 3" xfId="915"/>
    <cellStyle name="40% - Accent4 5 4" xfId="639"/>
    <cellStyle name="40% - Accent4 5 5" xfId="1191"/>
    <cellStyle name="40% - Accent4 6" xfId="487"/>
    <cellStyle name="40% - Accent4 6 2" xfId="1039"/>
    <cellStyle name="40% - Accent4 6 3" xfId="763"/>
    <cellStyle name="40% - Accent4 6 4" xfId="1332"/>
    <cellStyle name="40% - Accent4 7" xfId="901"/>
    <cellStyle name="40% - Accent4 8" xfId="625"/>
    <cellStyle name="40% - Accent4 9" xfId="1177"/>
    <cellStyle name="40% - Accent5" xfId="249" builtinId="47" customBuiltin="1"/>
    <cellStyle name="40% - Accent5 2" xfId="342"/>
    <cellStyle name="40% - Accent5 2 2" xfId="414"/>
    <cellStyle name="40% - Accent5 2 2 2" xfId="476"/>
    <cellStyle name="40% - Accent5 2 2 2 2" xfId="614"/>
    <cellStyle name="40% - Accent5 2 2 2 2 2" xfId="1166"/>
    <cellStyle name="40% - Accent5 2 2 2 2 3" xfId="890"/>
    <cellStyle name="40% - Accent5 2 2 2 2 4" xfId="1486"/>
    <cellStyle name="40% - Accent5 2 2 2 3" xfId="1028"/>
    <cellStyle name="40% - Accent5 2 2 2 4" xfId="752"/>
    <cellStyle name="40% - Accent5 2 2 2 5" xfId="1304"/>
    <cellStyle name="40% - Accent5 2 2 3" xfId="552"/>
    <cellStyle name="40% - Accent5 2 2 3 2" xfId="1104"/>
    <cellStyle name="40% - Accent5 2 2 3 3" xfId="828"/>
    <cellStyle name="40% - Accent5 2 2 3 4" xfId="1424"/>
    <cellStyle name="40% - Accent5 2 2 4" xfId="966"/>
    <cellStyle name="40% - Accent5 2 2 5" xfId="690"/>
    <cellStyle name="40% - Accent5 2 2 6" xfId="1242"/>
    <cellStyle name="40% - Accent5 2 3" xfId="445"/>
    <cellStyle name="40% - Accent5 2 3 2" xfId="583"/>
    <cellStyle name="40% - Accent5 2 3 2 2" xfId="1135"/>
    <cellStyle name="40% - Accent5 2 3 2 3" xfId="859"/>
    <cellStyle name="40% - Accent5 2 3 2 4" xfId="1455"/>
    <cellStyle name="40% - Accent5 2 3 3" xfId="997"/>
    <cellStyle name="40% - Accent5 2 3 4" xfId="721"/>
    <cellStyle name="40% - Accent5 2 3 5" xfId="1273"/>
    <cellStyle name="40% - Accent5 2 4" xfId="521"/>
    <cellStyle name="40% - Accent5 2 4 2" xfId="1073"/>
    <cellStyle name="40% - Accent5 2 4 3" xfId="797"/>
    <cellStyle name="40% - Accent5 2 4 4" xfId="1383"/>
    <cellStyle name="40% - Accent5 2 5" xfId="935"/>
    <cellStyle name="40% - Accent5 2 6" xfId="659"/>
    <cellStyle name="40% - Accent5 2 7" xfId="1211"/>
    <cellStyle name="40% - Accent5 3" xfId="395"/>
    <cellStyle name="40% - Accent5 3 2" xfId="458"/>
    <cellStyle name="40% - Accent5 3 2 2" xfId="596"/>
    <cellStyle name="40% - Accent5 3 2 2 2" xfId="1148"/>
    <cellStyle name="40% - Accent5 3 2 2 3" xfId="872"/>
    <cellStyle name="40% - Accent5 3 2 2 4" xfId="1468"/>
    <cellStyle name="40% - Accent5 3 2 3" xfId="1010"/>
    <cellStyle name="40% - Accent5 3 2 4" xfId="734"/>
    <cellStyle name="40% - Accent5 3 2 5" xfId="1286"/>
    <cellStyle name="40% - Accent5 3 3" xfId="534"/>
    <cellStyle name="40% - Accent5 3 3 2" xfId="1086"/>
    <cellStyle name="40% - Accent5 3 3 3" xfId="810"/>
    <cellStyle name="40% - Accent5 3 3 4" xfId="1406"/>
    <cellStyle name="40% - Accent5 3 4" xfId="948"/>
    <cellStyle name="40% - Accent5 3 5" xfId="672"/>
    <cellStyle name="40% - Accent5 3 6" xfId="1224"/>
    <cellStyle name="40% - Accent5 4" xfId="427"/>
    <cellStyle name="40% - Accent5 4 2" xfId="565"/>
    <cellStyle name="40% - Accent5 4 2 2" xfId="1117"/>
    <cellStyle name="40% - Accent5 4 2 3" xfId="841"/>
    <cellStyle name="40% - Accent5 4 2 4" xfId="1437"/>
    <cellStyle name="40% - Accent5 4 3" xfId="979"/>
    <cellStyle name="40% - Accent5 4 4" xfId="703"/>
    <cellStyle name="40% - Accent5 4 5" xfId="1255"/>
    <cellStyle name="40% - Accent5 5" xfId="316"/>
    <cellStyle name="40% - Accent5 5 2" xfId="503"/>
    <cellStyle name="40% - Accent5 5 2 2" xfId="1055"/>
    <cellStyle name="40% - Accent5 5 2 3" xfId="779"/>
    <cellStyle name="40% - Accent5 5 2 4" xfId="1361"/>
    <cellStyle name="40% - Accent5 5 3" xfId="917"/>
    <cellStyle name="40% - Accent5 5 4" xfId="641"/>
    <cellStyle name="40% - Accent5 5 5" xfId="1193"/>
    <cellStyle name="40% - Accent5 6" xfId="489"/>
    <cellStyle name="40% - Accent5 6 2" xfId="1041"/>
    <cellStyle name="40% - Accent5 6 3" xfId="765"/>
    <cellStyle name="40% - Accent5 6 4" xfId="1334"/>
    <cellStyle name="40% - Accent5 7" xfId="903"/>
    <cellStyle name="40% - Accent5 8" xfId="627"/>
    <cellStyle name="40% - Accent5 9" xfId="1179"/>
    <cellStyle name="40% - Accent6" xfId="253" builtinId="51" customBuiltin="1"/>
    <cellStyle name="40% - Accent6 2" xfId="344"/>
    <cellStyle name="40% - Accent6 2 2" xfId="416"/>
    <cellStyle name="40% - Accent6 2 2 2" xfId="478"/>
    <cellStyle name="40% - Accent6 2 2 2 2" xfId="616"/>
    <cellStyle name="40% - Accent6 2 2 2 2 2" xfId="1168"/>
    <cellStyle name="40% - Accent6 2 2 2 2 3" xfId="892"/>
    <cellStyle name="40% - Accent6 2 2 2 2 4" xfId="1488"/>
    <cellStyle name="40% - Accent6 2 2 2 3" xfId="1030"/>
    <cellStyle name="40% - Accent6 2 2 2 4" xfId="754"/>
    <cellStyle name="40% - Accent6 2 2 2 5" xfId="1306"/>
    <cellStyle name="40% - Accent6 2 2 3" xfId="554"/>
    <cellStyle name="40% - Accent6 2 2 3 2" xfId="1106"/>
    <cellStyle name="40% - Accent6 2 2 3 3" xfId="830"/>
    <cellStyle name="40% - Accent6 2 2 3 4" xfId="1426"/>
    <cellStyle name="40% - Accent6 2 2 4" xfId="968"/>
    <cellStyle name="40% - Accent6 2 2 5" xfId="692"/>
    <cellStyle name="40% - Accent6 2 2 6" xfId="1244"/>
    <cellStyle name="40% - Accent6 2 3" xfId="447"/>
    <cellStyle name="40% - Accent6 2 3 2" xfId="585"/>
    <cellStyle name="40% - Accent6 2 3 2 2" xfId="1137"/>
    <cellStyle name="40% - Accent6 2 3 2 3" xfId="861"/>
    <cellStyle name="40% - Accent6 2 3 2 4" xfId="1457"/>
    <cellStyle name="40% - Accent6 2 3 3" xfId="999"/>
    <cellStyle name="40% - Accent6 2 3 4" xfId="723"/>
    <cellStyle name="40% - Accent6 2 3 5" xfId="1275"/>
    <cellStyle name="40% - Accent6 2 4" xfId="523"/>
    <cellStyle name="40% - Accent6 2 4 2" xfId="1075"/>
    <cellStyle name="40% - Accent6 2 4 3" xfId="799"/>
    <cellStyle name="40% - Accent6 2 4 4" xfId="1385"/>
    <cellStyle name="40% - Accent6 2 5" xfId="937"/>
    <cellStyle name="40% - Accent6 2 6" xfId="661"/>
    <cellStyle name="40% - Accent6 2 7" xfId="1213"/>
    <cellStyle name="40% - Accent6 3" xfId="397"/>
    <cellStyle name="40% - Accent6 3 2" xfId="460"/>
    <cellStyle name="40% - Accent6 3 2 2" xfId="598"/>
    <cellStyle name="40% - Accent6 3 2 2 2" xfId="1150"/>
    <cellStyle name="40% - Accent6 3 2 2 3" xfId="874"/>
    <cellStyle name="40% - Accent6 3 2 2 4" xfId="1470"/>
    <cellStyle name="40% - Accent6 3 2 3" xfId="1012"/>
    <cellStyle name="40% - Accent6 3 2 4" xfId="736"/>
    <cellStyle name="40% - Accent6 3 2 5" xfId="1288"/>
    <cellStyle name="40% - Accent6 3 3" xfId="536"/>
    <cellStyle name="40% - Accent6 3 3 2" xfId="1088"/>
    <cellStyle name="40% - Accent6 3 3 3" xfId="812"/>
    <cellStyle name="40% - Accent6 3 3 4" xfId="1408"/>
    <cellStyle name="40% - Accent6 3 4" xfId="950"/>
    <cellStyle name="40% - Accent6 3 5" xfId="674"/>
    <cellStyle name="40% - Accent6 3 6" xfId="1226"/>
    <cellStyle name="40% - Accent6 4" xfId="429"/>
    <cellStyle name="40% - Accent6 4 2" xfId="567"/>
    <cellStyle name="40% - Accent6 4 2 2" xfId="1119"/>
    <cellStyle name="40% - Accent6 4 2 3" xfId="843"/>
    <cellStyle name="40% - Accent6 4 2 4" xfId="1439"/>
    <cellStyle name="40% - Accent6 4 3" xfId="981"/>
    <cellStyle name="40% - Accent6 4 4" xfId="705"/>
    <cellStyle name="40% - Accent6 4 5" xfId="1257"/>
    <cellStyle name="40% - Accent6 5" xfId="318"/>
    <cellStyle name="40% - Accent6 5 2" xfId="505"/>
    <cellStyle name="40% - Accent6 5 2 2" xfId="1057"/>
    <cellStyle name="40% - Accent6 5 2 3" xfId="781"/>
    <cellStyle name="40% - Accent6 5 2 4" xfId="1363"/>
    <cellStyle name="40% - Accent6 5 3" xfId="919"/>
    <cellStyle name="40% - Accent6 5 4" xfId="643"/>
    <cellStyle name="40% - Accent6 5 5" xfId="1195"/>
    <cellStyle name="40% - Accent6 6" xfId="491"/>
    <cellStyle name="40% - Accent6 6 2" xfId="1043"/>
    <cellStyle name="40% - Accent6 6 3" xfId="767"/>
    <cellStyle name="40% - Accent6 6 4" xfId="1336"/>
    <cellStyle name="40% - Accent6 7" xfId="905"/>
    <cellStyle name="40% - Accent6 8" xfId="629"/>
    <cellStyle name="40% - Accent6 9" xfId="1181"/>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346"/>
    <cellStyle name="C01B 3" xfId="266"/>
    <cellStyle name="C01H" xfId="12"/>
    <cellStyle name="C01L" xfId="13"/>
    <cellStyle name="C02A" xfId="14"/>
    <cellStyle name="C02B" xfId="15"/>
    <cellStyle name="C02B 2" xfId="347"/>
    <cellStyle name="C02B 3" xfId="267"/>
    <cellStyle name="C02H" xfId="16"/>
    <cellStyle name="C02L" xfId="17"/>
    <cellStyle name="C03A" xfId="18"/>
    <cellStyle name="C03B" xfId="19"/>
    <cellStyle name="C03H" xfId="20"/>
    <cellStyle name="C03L" xfId="21"/>
    <cellStyle name="C04A" xfId="22"/>
    <cellStyle name="C04A 2" xfId="348"/>
    <cellStyle name="C04A 3" xfId="268"/>
    <cellStyle name="C04B" xfId="23"/>
    <cellStyle name="C04H" xfId="24"/>
    <cellStyle name="C04L" xfId="25"/>
    <cellStyle name="C05A" xfId="26"/>
    <cellStyle name="C05B" xfId="27"/>
    <cellStyle name="C05H" xfId="28"/>
    <cellStyle name="C05L" xfId="29"/>
    <cellStyle name="C05L 2" xfId="349"/>
    <cellStyle name="C05L 3" xfId="269"/>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350"/>
    <cellStyle name="Comma [2] 3" xfId="270"/>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351"/>
    <cellStyle name="Comma 2 2 3" xfId="271"/>
    <cellStyle name="Comma 2 3" xfId="213"/>
    <cellStyle name="Comma 2 3 2" xfId="384"/>
    <cellStyle name="Comma 2 3 2 2" xfId="1395"/>
    <cellStyle name="Comma 2 3 3" xfId="305"/>
    <cellStyle name="Comma 2 3 3 2" xfId="1350"/>
    <cellStyle name="Comma 2 3 4" xfId="1323"/>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352"/>
    <cellStyle name="Comma 4 3" xfId="272"/>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354"/>
    <cellStyle name="Comma 6 2 3" xfId="274"/>
    <cellStyle name="Comma 6 3" xfId="353"/>
    <cellStyle name="Comma 6 4" xfId="273"/>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379"/>
    <cellStyle name="Comma 87 2 2" xfId="1390"/>
    <cellStyle name="Comma 87 3" xfId="300"/>
    <cellStyle name="Comma 87 3 2" xfId="1345"/>
    <cellStyle name="Comma 87 4" xfId="1318"/>
    <cellStyle name="Comma 88" xfId="259"/>
    <cellStyle name="Comma 89" xfId="323"/>
    <cellStyle name="Comma 9" xfId="123"/>
    <cellStyle name="Comma 90" xfId="329"/>
    <cellStyle name="Comma 90 2" xfId="401"/>
    <cellStyle name="Comma 90 2 2" xfId="463"/>
    <cellStyle name="Comma 90 2 2 2" xfId="601"/>
    <cellStyle name="Comma 90 2 2 2 2" xfId="1153"/>
    <cellStyle name="Comma 90 2 2 2 3" xfId="877"/>
    <cellStyle name="Comma 90 2 2 2 4" xfId="1473"/>
    <cellStyle name="Comma 90 2 2 3" xfId="1015"/>
    <cellStyle name="Comma 90 2 2 4" xfId="739"/>
    <cellStyle name="Comma 90 2 2 5" xfId="1291"/>
    <cellStyle name="Comma 90 2 3" xfId="539"/>
    <cellStyle name="Comma 90 2 3 2" xfId="1091"/>
    <cellStyle name="Comma 90 2 3 3" xfId="815"/>
    <cellStyle name="Comma 90 2 3 4" xfId="1411"/>
    <cellStyle name="Comma 90 2 4" xfId="953"/>
    <cellStyle name="Comma 90 2 5" xfId="677"/>
    <cellStyle name="Comma 90 2 6" xfId="1229"/>
    <cellStyle name="Comma 90 3" xfId="432"/>
    <cellStyle name="Comma 90 3 2" xfId="570"/>
    <cellStyle name="Comma 90 3 2 2" xfId="1122"/>
    <cellStyle name="Comma 90 3 2 3" xfId="846"/>
    <cellStyle name="Comma 90 3 2 4" xfId="1442"/>
    <cellStyle name="Comma 90 3 3" xfId="984"/>
    <cellStyle name="Comma 90 3 4" xfId="708"/>
    <cellStyle name="Comma 90 3 5" xfId="1260"/>
    <cellStyle name="Comma 90 4" xfId="508"/>
    <cellStyle name="Comma 90 4 2" xfId="1060"/>
    <cellStyle name="Comma 90 4 3" xfId="784"/>
    <cellStyle name="Comma 90 4 4" xfId="1370"/>
    <cellStyle name="Comma 90 5" xfId="922"/>
    <cellStyle name="Comma 90 6" xfId="646"/>
    <cellStyle name="Comma 90 7" xfId="1198"/>
    <cellStyle name="Comma 91" xfId="332"/>
    <cellStyle name="Comma 91 2" xfId="404"/>
    <cellStyle name="Comma 91 2 2" xfId="466"/>
    <cellStyle name="Comma 91 2 2 2" xfId="604"/>
    <cellStyle name="Comma 91 2 2 2 2" xfId="1156"/>
    <cellStyle name="Comma 91 2 2 2 3" xfId="880"/>
    <cellStyle name="Comma 91 2 2 2 4" xfId="1476"/>
    <cellStyle name="Comma 91 2 2 3" xfId="1018"/>
    <cellStyle name="Comma 91 2 2 4" xfId="742"/>
    <cellStyle name="Comma 91 2 2 5" xfId="1294"/>
    <cellStyle name="Comma 91 2 3" xfId="542"/>
    <cellStyle name="Comma 91 2 3 2" xfId="1094"/>
    <cellStyle name="Comma 91 2 3 3" xfId="818"/>
    <cellStyle name="Comma 91 2 3 4" xfId="1414"/>
    <cellStyle name="Comma 91 2 4" xfId="956"/>
    <cellStyle name="Comma 91 2 5" xfId="680"/>
    <cellStyle name="Comma 91 2 6" xfId="1232"/>
    <cellStyle name="Comma 91 3" xfId="435"/>
    <cellStyle name="Comma 91 3 2" xfId="573"/>
    <cellStyle name="Comma 91 3 2 2" xfId="1125"/>
    <cellStyle name="Comma 91 3 2 3" xfId="849"/>
    <cellStyle name="Comma 91 3 2 4" xfId="1445"/>
    <cellStyle name="Comma 91 3 3" xfId="987"/>
    <cellStyle name="Comma 91 3 4" xfId="711"/>
    <cellStyle name="Comma 91 3 5" xfId="1263"/>
    <cellStyle name="Comma 91 4" xfId="511"/>
    <cellStyle name="Comma 91 4 2" xfId="1063"/>
    <cellStyle name="Comma 91 4 3" xfId="787"/>
    <cellStyle name="Comma 91 4 4" xfId="1373"/>
    <cellStyle name="Comma 91 5" xfId="925"/>
    <cellStyle name="Comma 91 6" xfId="649"/>
    <cellStyle name="Comma 91 7" xfId="1201"/>
    <cellStyle name="Comma0" xfId="124"/>
    <cellStyle name="Comma0 2" xfId="355"/>
    <cellStyle name="Comma0 3" xfId="275"/>
    <cellStyle name="Currency" xfId="199" builtinId="4"/>
    <cellStyle name="Currency [2]" xfId="125"/>
    <cellStyle name="Currency [2] 2" xfId="356"/>
    <cellStyle name="Currency [2] 3" xfId="276"/>
    <cellStyle name="Currency 2" xfId="4"/>
    <cellStyle name="Currency 3" xfId="126"/>
    <cellStyle name="Currency 3 2" xfId="127"/>
    <cellStyle name="Currency 3 2 2" xfId="357"/>
    <cellStyle name="Currency 3 2 3" xfId="277"/>
    <cellStyle name="Currency 3 3" xfId="209"/>
    <cellStyle name="Currency 3 4" xfId="212"/>
    <cellStyle name="Currency 3 4 2" xfId="383"/>
    <cellStyle name="Currency 3 4 2 2" xfId="1394"/>
    <cellStyle name="Currency 3 4 3" xfId="304"/>
    <cellStyle name="Currency 3 4 3 2" xfId="1349"/>
    <cellStyle name="Currency 3 4 4" xfId="1322"/>
    <cellStyle name="Currency 4" xfId="128"/>
    <cellStyle name="Currency 5" xfId="129"/>
    <cellStyle name="Currency 6" xfId="202"/>
    <cellStyle name="Currency 7" xfId="206"/>
    <cellStyle name="Currency 7 2" xfId="263"/>
    <cellStyle name="Currency 7 2 2" xfId="380"/>
    <cellStyle name="Currency 7 2 2 2" xfId="1391"/>
    <cellStyle name="Currency 7 2 3" xfId="1339"/>
    <cellStyle name="Currency 7 3" xfId="301"/>
    <cellStyle name="Currency 7 3 2" xfId="1346"/>
    <cellStyle name="Currency 7 4" xfId="1319"/>
    <cellStyle name="Currency 8" xfId="324"/>
    <cellStyle name="Currency0" xfId="130"/>
    <cellStyle name="Currency0 2" xfId="358"/>
    <cellStyle name="Currency0 3" xfId="278"/>
    <cellStyle name="Date" xfId="131"/>
    <cellStyle name="Date 2" xfId="359"/>
    <cellStyle name="Date 3" xfId="279"/>
    <cellStyle name="Explanatory Text" xfId="229" builtinId="53" customBuiltin="1"/>
    <cellStyle name="Fixed" xfId="132"/>
    <cellStyle name="Fixed 2" xfId="360"/>
    <cellStyle name="Fixed 3" xfId="280"/>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Hyperlink" xfId="264" builtinId="8"/>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0 2 2" xfId="321"/>
    <cellStyle name="Normal 10 2 2 2" xfId="1365"/>
    <cellStyle name="Normal 10 2 3" xfId="1338"/>
    <cellStyle name="Normal 10 3" xfId="299"/>
    <cellStyle name="Normal 10 3 2" xfId="1344"/>
    <cellStyle name="Normal 10 4" xfId="1317"/>
    <cellStyle name="Normal 11" xfId="138"/>
    <cellStyle name="Normal 12" xfId="214"/>
    <cellStyle name="Normal 12 2" xfId="385"/>
    <cellStyle name="Normal 12 2 2" xfId="448"/>
    <cellStyle name="Normal 12 2 2 2" xfId="586"/>
    <cellStyle name="Normal 12 2 2 2 2" xfId="1138"/>
    <cellStyle name="Normal 12 2 2 2 3" xfId="862"/>
    <cellStyle name="Normal 12 2 2 2 4" xfId="1458"/>
    <cellStyle name="Normal 12 2 2 3" xfId="1000"/>
    <cellStyle name="Normal 12 2 2 4" xfId="724"/>
    <cellStyle name="Normal 12 2 2 5" xfId="1276"/>
    <cellStyle name="Normal 12 2 3" xfId="524"/>
    <cellStyle name="Normal 12 2 3 2" xfId="1076"/>
    <cellStyle name="Normal 12 2 3 3" xfId="800"/>
    <cellStyle name="Normal 12 2 3 4" xfId="1396"/>
    <cellStyle name="Normal 12 2 4" xfId="938"/>
    <cellStyle name="Normal 12 2 5" xfId="662"/>
    <cellStyle name="Normal 12 2 6" xfId="1214"/>
    <cellStyle name="Normal 12 3" xfId="417"/>
    <cellStyle name="Normal 12 3 2" xfId="555"/>
    <cellStyle name="Normal 12 3 2 2" xfId="1107"/>
    <cellStyle name="Normal 12 3 2 3" xfId="831"/>
    <cellStyle name="Normal 12 3 2 4" xfId="1427"/>
    <cellStyle name="Normal 12 3 3" xfId="969"/>
    <cellStyle name="Normal 12 3 4" xfId="693"/>
    <cellStyle name="Normal 12 3 5" xfId="1245"/>
    <cellStyle name="Normal 12 4" xfId="306"/>
    <cellStyle name="Normal 12 4 2" xfId="493"/>
    <cellStyle name="Normal 12 4 2 2" xfId="1045"/>
    <cellStyle name="Normal 12 4 2 3" xfId="769"/>
    <cellStyle name="Normal 12 4 2 4" xfId="1351"/>
    <cellStyle name="Normal 12 4 3" xfId="907"/>
    <cellStyle name="Normal 12 4 4" xfId="631"/>
    <cellStyle name="Normal 12 4 5" xfId="1183"/>
    <cellStyle name="Normal 12 5" xfId="479"/>
    <cellStyle name="Normal 12 5 2" xfId="1031"/>
    <cellStyle name="Normal 12 5 3" xfId="755"/>
    <cellStyle name="Normal 12 5 4" xfId="1324"/>
    <cellStyle name="Normal 12 6" xfId="893"/>
    <cellStyle name="Normal 12 7" xfId="617"/>
    <cellStyle name="Normal 12 8" xfId="1169"/>
    <cellStyle name="Normal 13" xfId="255"/>
    <cellStyle name="Normal 14" xfId="256"/>
    <cellStyle name="Normal 15" xfId="258"/>
    <cellStyle name="Normal 16" xfId="260"/>
    <cellStyle name="Normal 16 2" xfId="399"/>
    <cellStyle name="Normal 16 3" xfId="320"/>
    <cellStyle name="Normal 17" xfId="322"/>
    <cellStyle name="Normal 18" xfId="328"/>
    <cellStyle name="Normal 18 2" xfId="400"/>
    <cellStyle name="Normal 18 2 2" xfId="462"/>
    <cellStyle name="Normal 18 2 2 2" xfId="600"/>
    <cellStyle name="Normal 18 2 2 2 2" xfId="1152"/>
    <cellStyle name="Normal 18 2 2 2 3" xfId="876"/>
    <cellStyle name="Normal 18 2 2 2 4" xfId="1472"/>
    <cellStyle name="Normal 18 2 2 3" xfId="1014"/>
    <cellStyle name="Normal 18 2 2 4" xfId="738"/>
    <cellStyle name="Normal 18 2 2 5" xfId="1290"/>
    <cellStyle name="Normal 18 2 3" xfId="538"/>
    <cellStyle name="Normal 18 2 3 2" xfId="1090"/>
    <cellStyle name="Normal 18 2 3 3" xfId="814"/>
    <cellStyle name="Normal 18 2 3 4" xfId="1410"/>
    <cellStyle name="Normal 18 2 4" xfId="952"/>
    <cellStyle name="Normal 18 2 5" xfId="676"/>
    <cellStyle name="Normal 18 2 6" xfId="1228"/>
    <cellStyle name="Normal 18 3" xfId="431"/>
    <cellStyle name="Normal 18 3 2" xfId="569"/>
    <cellStyle name="Normal 18 3 2 2" xfId="1121"/>
    <cellStyle name="Normal 18 3 2 3" xfId="845"/>
    <cellStyle name="Normal 18 3 2 4" xfId="1441"/>
    <cellStyle name="Normal 18 3 3" xfId="983"/>
    <cellStyle name="Normal 18 3 4" xfId="707"/>
    <cellStyle name="Normal 18 3 5" xfId="1259"/>
    <cellStyle name="Normal 18 4" xfId="507"/>
    <cellStyle name="Normal 18 4 2" xfId="1059"/>
    <cellStyle name="Normal 18 4 3" xfId="783"/>
    <cellStyle name="Normal 18 4 4" xfId="1369"/>
    <cellStyle name="Normal 18 5" xfId="921"/>
    <cellStyle name="Normal 18 6" xfId="645"/>
    <cellStyle name="Normal 18 7" xfId="1197"/>
    <cellStyle name="Normal 19" xfId="330"/>
    <cellStyle name="Normal 19 2" xfId="402"/>
    <cellStyle name="Normal 19 2 2" xfId="464"/>
    <cellStyle name="Normal 19 2 2 2" xfId="602"/>
    <cellStyle name="Normal 19 2 2 2 2" xfId="1154"/>
    <cellStyle name="Normal 19 2 2 2 3" xfId="878"/>
    <cellStyle name="Normal 19 2 2 2 4" xfId="1474"/>
    <cellStyle name="Normal 19 2 2 3" xfId="1016"/>
    <cellStyle name="Normal 19 2 2 4" xfId="740"/>
    <cellStyle name="Normal 19 2 2 5" xfId="1292"/>
    <cellStyle name="Normal 19 2 3" xfId="540"/>
    <cellStyle name="Normal 19 2 3 2" xfId="1092"/>
    <cellStyle name="Normal 19 2 3 3" xfId="816"/>
    <cellStyle name="Normal 19 2 3 4" xfId="1412"/>
    <cellStyle name="Normal 19 2 4" xfId="954"/>
    <cellStyle name="Normal 19 2 5" xfId="678"/>
    <cellStyle name="Normal 19 2 6" xfId="1230"/>
    <cellStyle name="Normal 19 3" xfId="433"/>
    <cellStyle name="Normal 19 3 2" xfId="571"/>
    <cellStyle name="Normal 19 3 2 2" xfId="1123"/>
    <cellStyle name="Normal 19 3 2 3" xfId="847"/>
    <cellStyle name="Normal 19 3 2 4" xfId="1443"/>
    <cellStyle name="Normal 19 3 3" xfId="985"/>
    <cellStyle name="Normal 19 3 4" xfId="709"/>
    <cellStyle name="Normal 19 3 5" xfId="1261"/>
    <cellStyle name="Normal 19 4" xfId="509"/>
    <cellStyle name="Normal 19 4 2" xfId="1061"/>
    <cellStyle name="Normal 19 4 3" xfId="785"/>
    <cellStyle name="Normal 19 4 4" xfId="1371"/>
    <cellStyle name="Normal 19 5" xfId="923"/>
    <cellStyle name="Normal 19 6" xfId="647"/>
    <cellStyle name="Normal 19 7" xfId="1199"/>
    <cellStyle name="Normal 2" xfId="2"/>
    <cellStyle name="Normal 2 2" xfId="6"/>
    <cellStyle name="Normal 2 2 2" xfId="325"/>
    <cellStyle name="Normal 2 2 2 2" xfId="1366"/>
    <cellStyle name="Normal 20" xfId="1307"/>
    <cellStyle name="Normal 21" xfId="1308"/>
    <cellStyle name="Normal 22" xfId="1309"/>
    <cellStyle name="Normal 23" xfId="1310"/>
    <cellStyle name="Normal 24" xfId="1311"/>
    <cellStyle name="Normal 25" xfId="1312"/>
    <cellStyle name="Normal 3" xfId="139"/>
    <cellStyle name="Normal 3 2" xfId="210"/>
    <cellStyle name="Normal 3 3" xfId="211"/>
    <cellStyle name="Normal 3 3 2" xfId="382"/>
    <cellStyle name="Normal 3 3 2 2" xfId="1393"/>
    <cellStyle name="Normal 3 3 3" xfId="303"/>
    <cellStyle name="Normal 3 3 3 2" xfId="1348"/>
    <cellStyle name="Normal 3 3 4" xfId="1321"/>
    <cellStyle name="Normal 3 4" xfId="326"/>
    <cellStyle name="Normal 3 4 2" xfId="1367"/>
    <cellStyle name="Normal 33" xfId="140"/>
    <cellStyle name="Normal 34" xfId="141"/>
    <cellStyle name="Normal 4" xfId="142"/>
    <cellStyle name="Normal 4 2" xfId="143"/>
    <cellStyle name="Normal 4 2 2" xfId="362"/>
    <cellStyle name="Normal 4 2 3" xfId="282"/>
    <cellStyle name="Normal 4 3" xfId="327"/>
    <cellStyle name="Normal 4 3 2" xfId="1368"/>
    <cellStyle name="Normal 4 4" xfId="361"/>
    <cellStyle name="Normal 4 5" xfId="281"/>
    <cellStyle name="Normal 5" xfId="144"/>
    <cellStyle name="Normal 6" xfId="5"/>
    <cellStyle name="Normal 6 2" xfId="145"/>
    <cellStyle name="Normal 6 2 2" xfId="363"/>
    <cellStyle name="Normal 6 2 2 2" xfId="1387"/>
    <cellStyle name="Normal 6 2 3" xfId="283"/>
    <cellStyle name="Normal 6 2 3 2" xfId="1341"/>
    <cellStyle name="Normal 6 2 4" xfId="1314"/>
    <cellStyle name="Normal 6 3" xfId="200"/>
    <cellStyle name="Normal 6 3 2" xfId="378"/>
    <cellStyle name="Normal 6 3 2 2" xfId="1389"/>
    <cellStyle name="Normal 6 3 3" xfId="298"/>
    <cellStyle name="Normal 6 3 3 2" xfId="1343"/>
    <cellStyle name="Normal 6 3 4" xfId="1316"/>
    <cellStyle name="Normal 6 4" xfId="345"/>
    <cellStyle name="Normal 6 4 2" xfId="1386"/>
    <cellStyle name="Normal 6 5" xfId="265"/>
    <cellStyle name="Normal 6 5 2" xfId="1340"/>
    <cellStyle name="Normal 6 6" xfId="1313"/>
    <cellStyle name="Normal 7" xfId="146"/>
    <cellStyle name="Normal 7 2" xfId="364"/>
    <cellStyle name="Normal 7 2 2" xfId="1388"/>
    <cellStyle name="Normal 7 3" xfId="284"/>
    <cellStyle name="Normal 7 3 2" xfId="1342"/>
    <cellStyle name="Normal 7 4" xfId="1315"/>
    <cellStyle name="Normal 8" xfId="147"/>
    <cellStyle name="Normal 9" xfId="203"/>
    <cellStyle name="Normal_Book2_12-31-2004 SPS BK Revised Revenue Credit" xfId="1489"/>
    <cellStyle name="Normal_Debt Service" xfId="208"/>
    <cellStyle name="Note 2" xfId="257"/>
    <cellStyle name="Note 2 2" xfId="398"/>
    <cellStyle name="Note 2 2 2" xfId="461"/>
    <cellStyle name="Note 2 2 2 2" xfId="599"/>
    <cellStyle name="Note 2 2 2 2 2" xfId="1151"/>
    <cellStyle name="Note 2 2 2 2 3" xfId="875"/>
    <cellStyle name="Note 2 2 2 2 4" xfId="1471"/>
    <cellStyle name="Note 2 2 2 3" xfId="1013"/>
    <cellStyle name="Note 2 2 2 4" xfId="737"/>
    <cellStyle name="Note 2 2 2 5" xfId="1289"/>
    <cellStyle name="Note 2 2 3" xfId="537"/>
    <cellStyle name="Note 2 2 3 2" xfId="1089"/>
    <cellStyle name="Note 2 2 3 3" xfId="813"/>
    <cellStyle name="Note 2 2 3 4" xfId="1409"/>
    <cellStyle name="Note 2 2 4" xfId="951"/>
    <cellStyle name="Note 2 2 5" xfId="675"/>
    <cellStyle name="Note 2 2 6" xfId="1227"/>
    <cellStyle name="Note 2 3" xfId="430"/>
    <cellStyle name="Note 2 3 2" xfId="568"/>
    <cellStyle name="Note 2 3 2 2" xfId="1120"/>
    <cellStyle name="Note 2 3 2 3" xfId="844"/>
    <cellStyle name="Note 2 3 2 4" xfId="1440"/>
    <cellStyle name="Note 2 3 3" xfId="982"/>
    <cellStyle name="Note 2 3 4" xfId="706"/>
    <cellStyle name="Note 2 3 5" xfId="1258"/>
    <cellStyle name="Note 2 4" xfId="319"/>
    <cellStyle name="Note 2 4 2" xfId="506"/>
    <cellStyle name="Note 2 4 2 2" xfId="1058"/>
    <cellStyle name="Note 2 4 2 3" xfId="782"/>
    <cellStyle name="Note 2 4 2 4" xfId="1364"/>
    <cellStyle name="Note 2 4 3" xfId="920"/>
    <cellStyle name="Note 2 4 4" xfId="644"/>
    <cellStyle name="Note 2 4 5" xfId="1196"/>
    <cellStyle name="Note 2 5" xfId="492"/>
    <cellStyle name="Note 2 5 2" xfId="1044"/>
    <cellStyle name="Note 2 5 3" xfId="768"/>
    <cellStyle name="Note 2 5 4" xfId="1337"/>
    <cellStyle name="Note 2 6" xfId="906"/>
    <cellStyle name="Note 2 7" xfId="630"/>
    <cellStyle name="Note 2 8" xfId="1182"/>
    <cellStyle name="Note 3" xfId="331"/>
    <cellStyle name="Note 3 2" xfId="403"/>
    <cellStyle name="Note 3 2 2" xfId="465"/>
    <cellStyle name="Note 3 2 2 2" xfId="603"/>
    <cellStyle name="Note 3 2 2 2 2" xfId="1155"/>
    <cellStyle name="Note 3 2 2 2 3" xfId="879"/>
    <cellStyle name="Note 3 2 2 2 4" xfId="1475"/>
    <cellStyle name="Note 3 2 2 3" xfId="1017"/>
    <cellStyle name="Note 3 2 2 4" xfId="741"/>
    <cellStyle name="Note 3 2 2 5" xfId="1293"/>
    <cellStyle name="Note 3 2 3" xfId="541"/>
    <cellStyle name="Note 3 2 3 2" xfId="1093"/>
    <cellStyle name="Note 3 2 3 3" xfId="817"/>
    <cellStyle name="Note 3 2 3 4" xfId="1413"/>
    <cellStyle name="Note 3 2 4" xfId="955"/>
    <cellStyle name="Note 3 2 5" xfId="679"/>
    <cellStyle name="Note 3 2 6" xfId="1231"/>
    <cellStyle name="Note 3 3" xfId="434"/>
    <cellStyle name="Note 3 3 2" xfId="572"/>
    <cellStyle name="Note 3 3 2 2" xfId="1124"/>
    <cellStyle name="Note 3 3 2 3" xfId="848"/>
    <cellStyle name="Note 3 3 2 4" xfId="1444"/>
    <cellStyle name="Note 3 3 3" xfId="986"/>
    <cellStyle name="Note 3 3 4" xfId="710"/>
    <cellStyle name="Note 3 3 5" xfId="1262"/>
    <cellStyle name="Note 3 4" xfId="510"/>
    <cellStyle name="Note 3 4 2" xfId="1062"/>
    <cellStyle name="Note 3 4 3" xfId="786"/>
    <cellStyle name="Note 3 4 4" xfId="1372"/>
    <cellStyle name="Note 3 5" xfId="924"/>
    <cellStyle name="Note 3 6" xfId="648"/>
    <cellStyle name="Note 3 7" xfId="1200"/>
    <cellStyle name="Output" xfId="224" builtinId="21" customBuiltin="1"/>
    <cellStyle name="Percent" xfId="198" builtinId="5"/>
    <cellStyle name="Percent [2]" xfId="148"/>
    <cellStyle name="Percent [2] 2" xfId="365"/>
    <cellStyle name="Percent [2] 3" xfId="285"/>
    <cellStyle name="Percent 2" xfId="149"/>
    <cellStyle name="Percent 2 2" xfId="366"/>
    <cellStyle name="Percent 2 3" xfId="286"/>
    <cellStyle name="Percent 3" xfId="150"/>
    <cellStyle name="Percent 3 2" xfId="151"/>
    <cellStyle name="Percent 3 2 2" xfId="368"/>
    <cellStyle name="Percent 3 2 3" xfId="288"/>
    <cellStyle name="Percent 3 3" xfId="367"/>
    <cellStyle name="Percent 3 4" xfId="287"/>
    <cellStyle name="Percent 4" xfId="152"/>
    <cellStyle name="Percent 5" xfId="153"/>
    <cellStyle name="Percent 6" xfId="154"/>
    <cellStyle name="Percent 7" xfId="207"/>
    <cellStyle name="Percent 7 2" xfId="381"/>
    <cellStyle name="Percent 7 2 2" xfId="1392"/>
    <cellStyle name="Percent 7 3" xfId="302"/>
    <cellStyle name="Percent 7 3 2" xfId="1347"/>
    <cellStyle name="Percent 7 4" xfId="1320"/>
    <cellStyle name="Percent 8" xfId="261"/>
    <cellStyle name="PSChar" xfId="155"/>
    <cellStyle name="PSDate" xfId="156"/>
    <cellStyle name="PSDec" xfId="157"/>
    <cellStyle name="PSdesc" xfId="158"/>
    <cellStyle name="PSdesc 2" xfId="369"/>
    <cellStyle name="PSdesc 3" xfId="289"/>
    <cellStyle name="PSHeading" xfId="159"/>
    <cellStyle name="PSInt" xfId="160"/>
    <cellStyle name="PSSpacer" xfId="161"/>
    <cellStyle name="PStest" xfId="162"/>
    <cellStyle name="PStest 2" xfId="370"/>
    <cellStyle name="PStest 3" xfId="290"/>
    <cellStyle name="R00A" xfId="163"/>
    <cellStyle name="R00B" xfId="164"/>
    <cellStyle name="R00L" xfId="165"/>
    <cellStyle name="R01A" xfId="166"/>
    <cellStyle name="R01B" xfId="167"/>
    <cellStyle name="R01H" xfId="168"/>
    <cellStyle name="R01L" xfId="169"/>
    <cellStyle name="R02A" xfId="170"/>
    <cellStyle name="R02B" xfId="171"/>
    <cellStyle name="R02B 2" xfId="371"/>
    <cellStyle name="R02B 3" xfId="291"/>
    <cellStyle name="R02H" xfId="172"/>
    <cellStyle name="R02L" xfId="173"/>
    <cellStyle name="R03A" xfId="174"/>
    <cellStyle name="R03B" xfId="175"/>
    <cellStyle name="R03B 2" xfId="372"/>
    <cellStyle name="R03B 3" xfId="292"/>
    <cellStyle name="R03H" xfId="176"/>
    <cellStyle name="R03L" xfId="177"/>
    <cellStyle name="R04A" xfId="178"/>
    <cellStyle name="R04B" xfId="179"/>
    <cellStyle name="R04B 2" xfId="373"/>
    <cellStyle name="R04B 3" xfId="293"/>
    <cellStyle name="R04H" xfId="180"/>
    <cellStyle name="R04L" xfId="181"/>
    <cellStyle name="R05A" xfId="182"/>
    <cellStyle name="R05B" xfId="183"/>
    <cellStyle name="R05B 2" xfId="374"/>
    <cellStyle name="R05B 3" xfId="294"/>
    <cellStyle name="R05H" xfId="184"/>
    <cellStyle name="R05L" xfId="185"/>
    <cellStyle name="R05L 2" xfId="375"/>
    <cellStyle name="R05L 3" xfId="295"/>
    <cellStyle name="R06A" xfId="186"/>
    <cellStyle name="R06B" xfId="187"/>
    <cellStyle name="R06B 2" xfId="376"/>
    <cellStyle name="R06B 3" xfId="296"/>
    <cellStyle name="R06H" xfId="188"/>
    <cellStyle name="R06L" xfId="189"/>
    <cellStyle name="R07A" xfId="190"/>
    <cellStyle name="R07B" xfId="191"/>
    <cellStyle name="R07B 2" xfId="377"/>
    <cellStyle name="R07B 3" xfId="297"/>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1">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80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441960</xdr:colOff>
      <xdr:row>0</xdr:row>
      <xdr:rowOff>22860</xdr:rowOff>
    </xdr:from>
    <xdr:to>
      <xdr:col>3</xdr:col>
      <xdr:colOff>4107180</xdr:colOff>
      <xdr:row>4</xdr:row>
      <xdr:rowOff>30480</xdr:rowOff>
    </xdr:to>
    <xdr:sp macro="" textlink="">
      <xdr:nvSpPr>
        <xdr:cNvPr id="4" name="TextBox 3"/>
        <xdr:cNvSpPr txBox="1"/>
      </xdr:nvSpPr>
      <xdr:spPr>
        <a:xfrm>
          <a:off x="5930741" y="22860"/>
          <a:ext cx="3665220" cy="96012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t>BASIC WORKSHEET</a:t>
          </a:r>
        </a:p>
        <a:p>
          <a:pPr algn="ctr"/>
          <a:r>
            <a:rPr lang="en-US" sz="1200" baseline="0"/>
            <a:t>TU first becomes effective in 2013</a:t>
          </a:r>
        </a:p>
        <a:p>
          <a:pPr algn="ctr"/>
          <a:endParaRPr lang="en-US" sz="1100"/>
        </a:p>
      </xdr:txBody>
    </xdr:sp>
    <xdr:clientData/>
  </xdr:twoCellAnchor>
  <xdr:twoCellAnchor editAs="oneCell">
    <xdr:from>
      <xdr:col>3</xdr:col>
      <xdr:colOff>1280160</xdr:colOff>
      <xdr:row>3</xdr:row>
      <xdr:rowOff>30480</xdr:rowOff>
    </xdr:from>
    <xdr:to>
      <xdr:col>3</xdr:col>
      <xdr:colOff>3276600</xdr:colOff>
      <xdr:row>4</xdr:row>
      <xdr:rowOff>3810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6560" y="744855"/>
          <a:ext cx="199644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esearch.stlouisfed.org/fred2/series/USD1MTD156N" TargetMode="External"/><Relationship Id="rId1" Type="http://schemas.openxmlformats.org/officeDocument/2006/relationships/hyperlink" Target="http://www.ferc.gov/enforcement/acct-matts/interest-rates.as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44"/>
  <sheetViews>
    <sheetView workbookViewId="0"/>
  </sheetViews>
  <sheetFormatPr defaultColWidth="8.88671875" defaultRowHeight="15"/>
  <cols>
    <col min="1" max="1" width="8.88671875" style="181"/>
    <col min="2" max="2" width="40.77734375" style="181" customWidth="1"/>
    <col min="3" max="16384" width="8.88671875" style="181"/>
  </cols>
  <sheetData>
    <row r="3" spans="1:8" ht="18.75">
      <c r="B3" s="179" t="s">
        <v>364</v>
      </c>
      <c r="C3" s="180"/>
    </row>
    <row r="4" spans="1:8" ht="18.75">
      <c r="B4" s="179" t="s">
        <v>197</v>
      </c>
      <c r="C4" s="180"/>
    </row>
    <row r="5" spans="1:8" ht="18.75">
      <c r="B5" s="179" t="s">
        <v>579</v>
      </c>
      <c r="C5" s="246"/>
    </row>
    <row r="9" spans="1:8" ht="15.75" thickBot="1"/>
    <row r="10" spans="1:8" hidden="1">
      <c r="B10" s="623" t="s">
        <v>537</v>
      </c>
      <c r="C10" s="623"/>
      <c r="D10" s="623"/>
      <c r="E10" s="623"/>
    </row>
    <row r="11" spans="1:8" hidden="1">
      <c r="A11" s="438" t="s">
        <v>410</v>
      </c>
      <c r="B11" s="383" t="s">
        <v>557</v>
      </c>
      <c r="C11" s="383"/>
      <c r="D11" s="383"/>
      <c r="E11" s="383"/>
      <c r="H11" s="453"/>
    </row>
    <row r="12" spans="1:8" hidden="1"/>
    <row r="13" spans="1:8" hidden="1">
      <c r="A13" s="438" t="s">
        <v>410</v>
      </c>
      <c r="B13" s="383" t="s">
        <v>558</v>
      </c>
      <c r="C13" s="383"/>
      <c r="D13" s="383"/>
      <c r="E13" s="383"/>
    </row>
    <row r="14" spans="1:8" hidden="1">
      <c r="B14" s="383" t="s">
        <v>538</v>
      </c>
      <c r="C14" s="383"/>
      <c r="D14" s="383"/>
      <c r="E14" s="383"/>
    </row>
    <row r="15" spans="1:8" hidden="1"/>
    <row r="16" spans="1:8" hidden="1">
      <c r="A16" s="438" t="s">
        <v>410</v>
      </c>
      <c r="B16" s="383" t="s">
        <v>560</v>
      </c>
      <c r="C16" s="383"/>
      <c r="D16" s="383"/>
      <c r="E16" s="383"/>
    </row>
    <row r="17" spans="1:7" hidden="1">
      <c r="B17" s="383" t="s">
        <v>559</v>
      </c>
      <c r="C17" s="383"/>
      <c r="D17" s="383"/>
      <c r="E17" s="383"/>
    </row>
    <row r="18" spans="1:7" hidden="1"/>
    <row r="19" spans="1:7" hidden="1">
      <c r="A19" s="438" t="s">
        <v>410</v>
      </c>
      <c r="B19" s="383" t="s">
        <v>562</v>
      </c>
      <c r="C19" s="383"/>
      <c r="D19" s="383"/>
      <c r="E19" s="383"/>
    </row>
    <row r="20" spans="1:7" hidden="1">
      <c r="B20" s="383" t="s">
        <v>561</v>
      </c>
      <c r="C20" s="383"/>
      <c r="D20" s="383"/>
      <c r="E20" s="383"/>
    </row>
    <row r="21" spans="1:7" hidden="1"/>
    <row r="22" spans="1:7" hidden="1"/>
    <row r="23" spans="1:7" hidden="1"/>
    <row r="24" spans="1:7" hidden="1"/>
    <row r="25" spans="1:7" hidden="1"/>
    <row r="26" spans="1:7" hidden="1"/>
    <row r="27" spans="1:7" hidden="1"/>
    <row r="28" spans="1:7" hidden="1"/>
    <row r="29" spans="1:7" hidden="1"/>
    <row r="30" spans="1:7" ht="15.75" hidden="1">
      <c r="A30" s="1"/>
      <c r="B30" s="2"/>
      <c r="C30" s="2"/>
      <c r="D30" s="2"/>
      <c r="E30" s="2"/>
      <c r="F30" s="2"/>
      <c r="G30" s="2"/>
    </row>
    <row r="31" spans="1:7" ht="15.75" hidden="1">
      <c r="A31" s="1"/>
      <c r="B31" s="242" t="s">
        <v>434</v>
      </c>
      <c r="C31" s="10"/>
      <c r="D31" s="10"/>
      <c r="E31" s="10"/>
      <c r="F31" s="10"/>
      <c r="G31" s="10"/>
    </row>
    <row r="32" spans="1:7" ht="16.5" hidden="1" thickBot="1">
      <c r="A32" s="1"/>
      <c r="B32" s="10"/>
      <c r="C32" s="10"/>
      <c r="D32" s="10"/>
      <c r="E32" s="10"/>
      <c r="F32" s="10"/>
      <c r="G32" s="10"/>
    </row>
    <row r="33" spans="1:7" ht="15.75" hidden="1">
      <c r="A33" s="1"/>
      <c r="B33" s="439" t="s">
        <v>475</v>
      </c>
      <c r="C33" s="440"/>
      <c r="D33" s="440"/>
      <c r="E33" s="441"/>
      <c r="F33" s="442"/>
      <c r="G33" s="450"/>
    </row>
    <row r="34" spans="1:7" ht="15.75" hidden="1">
      <c r="A34" s="1"/>
      <c r="B34" s="443" t="s">
        <v>436</v>
      </c>
      <c r="C34" s="243"/>
      <c r="D34" s="243"/>
      <c r="E34" s="244"/>
      <c r="F34" s="444"/>
      <c r="G34" s="244"/>
    </row>
    <row r="35" spans="1:7" ht="15.75" hidden="1">
      <c r="A35" s="1"/>
      <c r="B35" s="445" t="s">
        <v>476</v>
      </c>
      <c r="C35" s="243"/>
      <c r="D35" s="243"/>
      <c r="E35" s="244"/>
      <c r="F35" s="444"/>
      <c r="G35" s="244"/>
    </row>
    <row r="36" spans="1:7" ht="15.75" hidden="1">
      <c r="A36" s="1"/>
      <c r="B36" s="445" t="s">
        <v>447</v>
      </c>
      <c r="C36" s="243"/>
      <c r="D36" s="243"/>
      <c r="E36" s="244"/>
      <c r="F36" s="444"/>
      <c r="G36" s="244"/>
    </row>
    <row r="37" spans="1:7" ht="15.75" hidden="1">
      <c r="A37" s="1"/>
      <c r="B37" s="445"/>
      <c r="C37" s="243"/>
      <c r="D37" s="243"/>
      <c r="E37" s="244"/>
      <c r="F37" s="444"/>
      <c r="G37" s="244"/>
    </row>
    <row r="38" spans="1:7" ht="15.75" hidden="1">
      <c r="A38" s="1"/>
      <c r="B38" s="445" t="s">
        <v>432</v>
      </c>
      <c r="C38" s="243"/>
      <c r="D38" s="243"/>
      <c r="E38" s="244"/>
      <c r="F38" s="444"/>
      <c r="G38" s="244"/>
    </row>
    <row r="39" spans="1:7" ht="15.75" hidden="1">
      <c r="A39" s="1"/>
      <c r="B39" s="445" t="s">
        <v>448</v>
      </c>
      <c r="C39" s="243"/>
      <c r="D39" s="243"/>
      <c r="E39" s="244"/>
      <c r="F39" s="444"/>
      <c r="G39" s="244"/>
    </row>
    <row r="40" spans="1:7" ht="15.75" hidden="1">
      <c r="A40" s="1"/>
      <c r="B40" s="446">
        <f>IF(OR(MOD(E41,400)=0,AND(MOD(E41,4)=0,MOD(E41,100)&lt;&gt;0)),DATEVALUE(RIGHT('Interzonal Alloc'!R1,8))-366, DATEVALUE(RIGHT('Interzonal Alloc'!R1,8))-365)</f>
        <v>43465</v>
      </c>
      <c r="C40" s="243" t="str">
        <f>TEXT(B40,"mm/dd/yyyy")</f>
        <v>12/31/2018</v>
      </c>
      <c r="D40" s="243"/>
      <c r="E40" s="245">
        <f>E41-1</f>
        <v>2018</v>
      </c>
      <c r="F40" s="444"/>
      <c r="G40" s="244"/>
    </row>
    <row r="41" spans="1:7" ht="15.75" hidden="1">
      <c r="A41" s="1"/>
      <c r="B41" s="446">
        <f>DATEVALUE(RIGHT('Interzonal Alloc'!R1,8))</f>
        <v>43830</v>
      </c>
      <c r="C41" s="243" t="str">
        <f>TEXT(B41,"mm/dd/yyyy")</f>
        <v>12/31/2019</v>
      </c>
      <c r="D41" s="243"/>
      <c r="E41" s="245">
        <f>RIGHT('Interzonal Alloc'!R1,2)+2000</f>
        <v>2019</v>
      </c>
      <c r="F41" s="444"/>
      <c r="G41" s="244"/>
    </row>
    <row r="42" spans="1:7" ht="15.75" hidden="1">
      <c r="A42" s="1"/>
      <c r="B42" s="446">
        <f>IF(OR(MOD(E42,400)=0,AND(MOD(E42,4)=0,MOD(E42,100)&lt;&gt;0)),DATEVALUE(RIGHT('Interzonal Alloc'!R1,8))+366, DATEVALUE(RIGHT('Interzonal Alloc'!R1,8))+365)</f>
        <v>44196</v>
      </c>
      <c r="C42" s="243" t="str">
        <f>TEXT(B42,"mm/dd/yyyy")</f>
        <v>12/31/2020</v>
      </c>
      <c r="D42" s="243"/>
      <c r="E42" s="245">
        <f>E41+1</f>
        <v>2020</v>
      </c>
      <c r="F42" s="444"/>
      <c r="G42" s="244"/>
    </row>
    <row r="43" spans="1:7" ht="16.5" hidden="1" thickBot="1">
      <c r="A43" s="1"/>
      <c r="B43" s="447"/>
      <c r="C43" s="448"/>
      <c r="D43" s="448"/>
      <c r="E43" s="448"/>
      <c r="F43" s="449"/>
      <c r="G43" s="244"/>
    </row>
    <row r="44" spans="1:7" ht="15.75">
      <c r="A44" s="1"/>
      <c r="B44" s="451"/>
      <c r="C44" s="243"/>
      <c r="D44" s="243"/>
      <c r="E44" s="236"/>
      <c r="F44" s="244"/>
      <c r="G44" s="244"/>
    </row>
  </sheetData>
  <mergeCells count="1">
    <mergeCell ref="B10:E1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3"/>
  <sheetViews>
    <sheetView workbookViewId="0">
      <selection sqref="A1:F1"/>
    </sheetView>
  </sheetViews>
  <sheetFormatPr defaultColWidth="8.88671875" defaultRowHeight="12.75"/>
  <cols>
    <col min="1" max="1" width="5.21875" style="12" customWidth="1"/>
    <col min="2" max="2" width="24.5546875" style="12" customWidth="1"/>
    <col min="3" max="3" width="11.77734375" style="12" bestFit="1" customWidth="1"/>
    <col min="4" max="4" width="13.109375" style="12" bestFit="1" customWidth="1"/>
    <col min="5" max="5" width="11" style="12" bestFit="1" customWidth="1"/>
    <col min="6" max="6" width="13.109375" style="11" bestFit="1" customWidth="1"/>
    <col min="7" max="7" width="8.88671875" style="12"/>
    <col min="8" max="8" width="12.44140625" style="12" bestFit="1" customWidth="1"/>
    <col min="9" max="9" width="15.6640625" style="12" bestFit="1" customWidth="1"/>
    <col min="10" max="16384" width="8.88671875" style="12"/>
  </cols>
  <sheetData>
    <row r="1" spans="1:8" s="11" customFormat="1" ht="15.75">
      <c r="A1" s="644" t="str">
        <f>Coversheet!B3</f>
        <v>Rochester Public Utilities</v>
      </c>
      <c r="B1" s="644"/>
      <c r="C1" s="644"/>
      <c r="D1" s="644"/>
      <c r="E1" s="644"/>
      <c r="F1" s="644"/>
      <c r="G1" s="92"/>
    </row>
    <row r="2" spans="1:8" s="11" customFormat="1" ht="15">
      <c r="A2" s="645" t="s">
        <v>9</v>
      </c>
      <c r="B2" s="645"/>
      <c r="C2" s="645"/>
      <c r="D2" s="645"/>
      <c r="E2" s="645"/>
      <c r="F2" s="645"/>
      <c r="G2" s="92"/>
      <c r="H2" s="93"/>
    </row>
    <row r="3" spans="1:8" s="11" customFormat="1" ht="15">
      <c r="A3" s="645" t="s">
        <v>149</v>
      </c>
      <c r="B3" s="645"/>
      <c r="C3" s="645"/>
      <c r="D3" s="645"/>
      <c r="E3" s="645"/>
      <c r="F3" s="645"/>
      <c r="G3" s="92"/>
    </row>
    <row r="4" spans="1:8" s="11" customFormat="1" ht="15.75">
      <c r="A4" s="646" t="str">
        <f>'Plant Sched 4'!A4:G4</f>
        <v>FLTY Forecast for 12 Months Ended December 31, 2019</v>
      </c>
      <c r="B4" s="646"/>
      <c r="C4" s="646"/>
      <c r="D4" s="646"/>
      <c r="E4" s="646"/>
      <c r="F4" s="646"/>
      <c r="G4" s="94"/>
    </row>
    <row r="5" spans="1:8" s="11" customFormat="1"/>
    <row r="6" spans="1:8">
      <c r="A6" s="657" t="s">
        <v>150</v>
      </c>
      <c r="B6" s="657"/>
      <c r="C6" s="657"/>
      <c r="D6" s="657"/>
      <c r="E6" s="657"/>
      <c r="F6" s="657"/>
    </row>
    <row r="7" spans="1:8">
      <c r="A7" s="13" t="s">
        <v>1</v>
      </c>
      <c r="B7" s="15"/>
      <c r="C7" s="15"/>
      <c r="D7" s="15"/>
      <c r="E7" s="15"/>
      <c r="F7" s="109"/>
    </row>
    <row r="8" spans="1:8">
      <c r="A8" s="16" t="s">
        <v>15</v>
      </c>
      <c r="B8" s="17"/>
      <c r="C8" s="15" t="s">
        <v>151</v>
      </c>
      <c r="D8" s="17" t="s">
        <v>152</v>
      </c>
      <c r="E8" s="17" t="s">
        <v>153</v>
      </c>
      <c r="F8" s="108" t="s">
        <v>4</v>
      </c>
    </row>
    <row r="9" spans="1:8">
      <c r="A9" s="19">
        <v>1</v>
      </c>
      <c r="B9" s="68" t="s">
        <v>154</v>
      </c>
      <c r="C9" s="95"/>
      <c r="D9" s="96"/>
      <c r="E9" s="96"/>
      <c r="F9" s="110"/>
    </row>
    <row r="10" spans="1:8">
      <c r="A10" s="16"/>
      <c r="B10" s="509" t="s">
        <v>155</v>
      </c>
      <c r="C10" s="29">
        <v>0</v>
      </c>
      <c r="D10" s="503">
        <v>0</v>
      </c>
      <c r="E10" s="503">
        <v>0</v>
      </c>
      <c r="F10" s="111">
        <f>SUM(C10:E10)</f>
        <v>0</v>
      </c>
    </row>
    <row r="11" spans="1:8">
      <c r="A11" s="16">
        <v>2</v>
      </c>
      <c r="B11" s="509" t="s">
        <v>156</v>
      </c>
      <c r="C11" s="53">
        <v>0</v>
      </c>
      <c r="D11" s="80">
        <v>0</v>
      </c>
      <c r="E11" s="80">
        <v>0</v>
      </c>
      <c r="F11" s="112">
        <f>SUM(C11:E11)</f>
        <v>0</v>
      </c>
    </row>
    <row r="12" spans="1:8">
      <c r="A12" s="19">
        <v>3</v>
      </c>
      <c r="B12" s="70" t="s">
        <v>157</v>
      </c>
      <c r="C12" s="500"/>
      <c r="D12" s="83"/>
      <c r="E12" s="83"/>
      <c r="F12" s="113"/>
    </row>
    <row r="13" spans="1:8">
      <c r="A13" s="16"/>
      <c r="B13" s="97" t="s">
        <v>158</v>
      </c>
      <c r="C13" s="53">
        <v>0</v>
      </c>
      <c r="D13" s="80">
        <v>47700</v>
      </c>
      <c r="E13" s="80">
        <v>163500</v>
      </c>
      <c r="F13" s="127">
        <f>SUM(C13:E13)</f>
        <v>211200</v>
      </c>
    </row>
    <row r="14" spans="1:8">
      <c r="A14" s="26">
        <v>4</v>
      </c>
      <c r="B14" s="70" t="s">
        <v>159</v>
      </c>
      <c r="C14" s="500"/>
      <c r="D14" s="83"/>
      <c r="E14" s="83"/>
      <c r="F14" s="128"/>
    </row>
    <row r="15" spans="1:8">
      <c r="A15" s="16"/>
      <c r="B15" s="97" t="s">
        <v>160</v>
      </c>
      <c r="C15" s="53">
        <v>1771800</v>
      </c>
      <c r="D15" s="80">
        <f>2732900-C15</f>
        <v>961100</v>
      </c>
      <c r="E15" s="80">
        <v>650000</v>
      </c>
      <c r="F15" s="127">
        <f>SUM(C15:E15)</f>
        <v>3382900</v>
      </c>
    </row>
    <row r="16" spans="1:8">
      <c r="A16" s="34">
        <v>5</v>
      </c>
      <c r="B16" s="98" t="s">
        <v>161</v>
      </c>
      <c r="C16" s="499">
        <v>0</v>
      </c>
      <c r="D16" s="510">
        <v>86929000</v>
      </c>
      <c r="E16" s="510">
        <v>0</v>
      </c>
      <c r="F16" s="129">
        <f>+C16+D16+E16</f>
        <v>86929000</v>
      </c>
    </row>
    <row r="17" spans="1:9">
      <c r="A17" s="19">
        <v>6</v>
      </c>
      <c r="B17" s="70" t="s">
        <v>162</v>
      </c>
      <c r="C17" s="500"/>
      <c r="D17" s="83"/>
      <c r="E17" s="83"/>
      <c r="F17" s="128"/>
    </row>
    <row r="18" spans="1:9" ht="13.5" thickBot="1">
      <c r="A18" s="16"/>
      <c r="B18" s="97" t="s">
        <v>163</v>
      </c>
      <c r="C18" s="500">
        <v>0</v>
      </c>
      <c r="D18" s="511">
        <v>0</v>
      </c>
      <c r="E18" s="83">
        <v>0</v>
      </c>
      <c r="F18" s="128">
        <f>SUM(C18:E18)</f>
        <v>0</v>
      </c>
    </row>
    <row r="19" spans="1:9" ht="13.5" thickBot="1">
      <c r="A19" s="32">
        <v>7</v>
      </c>
      <c r="B19" s="98" t="s">
        <v>164</v>
      </c>
      <c r="C19" s="99">
        <f>SUM(C10:C18)</f>
        <v>1771800</v>
      </c>
      <c r="D19" s="100">
        <f>SUM(D10:D18)</f>
        <v>87937800</v>
      </c>
      <c r="E19" s="100">
        <f>SUM(E10:E18)</f>
        <v>813500</v>
      </c>
      <c r="F19" s="130">
        <f>SUM(C19:E19)</f>
        <v>90523100</v>
      </c>
    </row>
    <row r="20" spans="1:9">
      <c r="A20" s="19">
        <v>8</v>
      </c>
      <c r="B20" s="82" t="s">
        <v>165</v>
      </c>
      <c r="C20" s="101"/>
      <c r="D20" s="101"/>
      <c r="E20" s="101"/>
      <c r="F20" s="131"/>
    </row>
    <row r="21" spans="1:9">
      <c r="A21" s="16"/>
      <c r="B21" s="132" t="s">
        <v>166</v>
      </c>
      <c r="C21" s="102" t="s">
        <v>167</v>
      </c>
      <c r="D21" s="80">
        <f>'Transmission O&amp;M'!C23</f>
        <v>8938200</v>
      </c>
      <c r="E21" s="80">
        <f>'Transmission O&amp;M'!C35</f>
        <v>205700</v>
      </c>
      <c r="F21" s="133">
        <f>SUM(D21:E21)</f>
        <v>9143900</v>
      </c>
    </row>
    <row r="22" spans="1:9">
      <c r="A22" s="19">
        <v>9</v>
      </c>
      <c r="B22" s="82" t="s">
        <v>168</v>
      </c>
      <c r="C22" s="103"/>
      <c r="D22" s="83"/>
      <c r="E22" s="83"/>
      <c r="F22" s="134"/>
    </row>
    <row r="23" spans="1:9">
      <c r="A23" s="16"/>
      <c r="B23" s="132" t="s">
        <v>169</v>
      </c>
      <c r="C23" s="102" t="s">
        <v>167</v>
      </c>
      <c r="D23" s="80">
        <v>2633900</v>
      </c>
      <c r="E23" s="80">
        <v>4226000</v>
      </c>
      <c r="F23" s="133">
        <f>+D23+E23</f>
        <v>6859900</v>
      </c>
    </row>
    <row r="24" spans="1:9">
      <c r="A24" s="19">
        <v>10</v>
      </c>
      <c r="B24" s="82" t="s">
        <v>170</v>
      </c>
      <c r="C24" s="103"/>
      <c r="D24" s="83"/>
      <c r="E24" s="83"/>
      <c r="F24" s="134"/>
      <c r="I24" s="142"/>
    </row>
    <row r="25" spans="1:9">
      <c r="A25" s="16"/>
      <c r="B25" s="132" t="s">
        <v>171</v>
      </c>
      <c r="C25" s="102" t="s">
        <v>167</v>
      </c>
      <c r="D25" s="80">
        <f>'Admin &amp; General'!C14</f>
        <v>1966400</v>
      </c>
      <c r="E25" s="80">
        <v>0</v>
      </c>
      <c r="F25" s="133">
        <f>+D25+E25</f>
        <v>1966400</v>
      </c>
      <c r="I25" s="142"/>
    </row>
    <row r="26" spans="1:9">
      <c r="A26" s="19">
        <v>11</v>
      </c>
      <c r="B26" s="82" t="s">
        <v>172</v>
      </c>
      <c r="C26" s="103"/>
      <c r="D26" s="83"/>
      <c r="E26" s="83"/>
      <c r="F26" s="134"/>
      <c r="I26" s="142"/>
    </row>
    <row r="27" spans="1:9">
      <c r="A27" s="16"/>
      <c r="B27" s="132" t="s">
        <v>173</v>
      </c>
      <c r="C27" s="102" t="s">
        <v>167</v>
      </c>
      <c r="D27" s="80">
        <f>'Admin &amp; General'!C21</f>
        <v>1296400</v>
      </c>
      <c r="E27" s="80">
        <v>0</v>
      </c>
      <c r="F27" s="133">
        <f>+D27+E27</f>
        <v>1296400</v>
      </c>
      <c r="I27" s="141"/>
    </row>
    <row r="28" spans="1:9">
      <c r="A28" s="32">
        <v>12</v>
      </c>
      <c r="B28" s="81" t="s">
        <v>174</v>
      </c>
      <c r="C28" s="104" t="s">
        <v>167</v>
      </c>
      <c r="D28" s="80">
        <f>'Admin &amp; General'!C28</f>
        <v>575600</v>
      </c>
      <c r="E28" s="80">
        <v>0</v>
      </c>
      <c r="F28" s="133">
        <f>+D28+E28</f>
        <v>575600</v>
      </c>
      <c r="I28" s="141"/>
    </row>
    <row r="29" spans="1:9">
      <c r="A29" s="32">
        <v>13</v>
      </c>
      <c r="B29" s="81" t="s">
        <v>175</v>
      </c>
      <c r="C29" s="104" t="s">
        <v>167</v>
      </c>
      <c r="D29" s="80">
        <f>SUM('Admin &amp; General'!C30:C43)</f>
        <v>12416600</v>
      </c>
      <c r="E29" s="80">
        <f>'Admin &amp; General'!C44</f>
        <v>1106000</v>
      </c>
      <c r="F29" s="133">
        <f>+D29+E29</f>
        <v>13522600</v>
      </c>
      <c r="I29" s="141"/>
    </row>
    <row r="30" spans="1:9" ht="13.5" thickBot="1">
      <c r="A30" s="19">
        <v>14</v>
      </c>
      <c r="B30" s="82" t="s">
        <v>176</v>
      </c>
      <c r="C30" s="105"/>
      <c r="D30" s="101"/>
      <c r="E30" s="101"/>
      <c r="F30" s="131"/>
      <c r="I30" s="141"/>
    </row>
    <row r="31" spans="1:9" ht="13.5" thickBot="1">
      <c r="A31" s="16"/>
      <c r="B31" s="97" t="s">
        <v>177</v>
      </c>
      <c r="C31" s="99">
        <f>SUM(C19:C29)</f>
        <v>1771800</v>
      </c>
      <c r="D31" s="100">
        <f>SUM(D19:D29)</f>
        <v>115764900</v>
      </c>
      <c r="E31" s="100">
        <f>SUM(E19:E29)</f>
        <v>6351200</v>
      </c>
      <c r="F31" s="130">
        <f>SUM(F19:F30)</f>
        <v>123887900</v>
      </c>
      <c r="I31" s="141"/>
    </row>
    <row r="32" spans="1:9">
      <c r="B32" s="59"/>
      <c r="C32" s="106"/>
      <c r="D32" s="106"/>
      <c r="E32" s="106"/>
      <c r="F32" s="135"/>
      <c r="I32" s="141"/>
    </row>
    <row r="33" spans="2:9">
      <c r="B33" s="655" t="s">
        <v>178</v>
      </c>
      <c r="C33" s="656"/>
      <c r="D33" s="138">
        <v>200</v>
      </c>
      <c r="E33" s="106"/>
      <c r="F33" s="135"/>
      <c r="I33" s="141"/>
    </row>
    <row r="34" spans="2:9">
      <c r="B34" s="136" t="s">
        <v>179</v>
      </c>
      <c r="C34" s="137"/>
      <c r="D34" s="139"/>
      <c r="E34" s="169"/>
      <c r="F34" s="140"/>
      <c r="I34" s="141"/>
    </row>
    <row r="35" spans="2:9">
      <c r="B35" s="59"/>
      <c r="C35" s="106"/>
      <c r="D35" s="106"/>
      <c r="E35" s="106"/>
      <c r="F35" s="135"/>
      <c r="I35" s="141"/>
    </row>
    <row r="36" spans="2:9" ht="15">
      <c r="B36" s="512"/>
      <c r="C36" s="512"/>
      <c r="D36" s="512"/>
      <c r="E36" s="512"/>
      <c r="F36" s="217"/>
      <c r="I36" s="141"/>
    </row>
    <row r="37" spans="2:9" ht="15">
      <c r="B37" s="513" t="s">
        <v>382</v>
      </c>
      <c r="C37" s="514" t="s">
        <v>167</v>
      </c>
      <c r="D37" s="498">
        <v>273100</v>
      </c>
      <c r="E37" s="515">
        <v>0</v>
      </c>
      <c r="F37" s="218">
        <f>+D37+E37</f>
        <v>273100</v>
      </c>
      <c r="I37" s="141"/>
    </row>
    <row r="38" spans="2:9" ht="15">
      <c r="B38" s="219" t="s">
        <v>387</v>
      </c>
      <c r="C38" s="219"/>
      <c r="D38" s="219"/>
      <c r="E38" s="219"/>
      <c r="F38" s="220"/>
      <c r="I38" s="141"/>
    </row>
    <row r="39" spans="2:9" ht="15">
      <c r="B39" s="217"/>
      <c r="C39" s="217"/>
      <c r="D39" s="217"/>
      <c r="E39" s="217"/>
      <c r="F39" s="217"/>
      <c r="I39" s="141"/>
    </row>
    <row r="40" spans="2:9" ht="15">
      <c r="B40" s="221" t="s">
        <v>176</v>
      </c>
      <c r="C40" s="217"/>
      <c r="D40" s="217"/>
      <c r="E40" s="217"/>
      <c r="F40" s="217"/>
      <c r="I40" s="141"/>
    </row>
    <row r="41" spans="2:9" ht="15">
      <c r="B41" s="222" t="s">
        <v>177</v>
      </c>
      <c r="C41" s="217"/>
      <c r="D41" s="223">
        <f>C19+D31+D37</f>
        <v>117809800</v>
      </c>
      <c r="E41" s="223">
        <f>E37+E31</f>
        <v>6351200</v>
      </c>
      <c r="F41" s="223">
        <f>F37+F31</f>
        <v>124161000</v>
      </c>
      <c r="I41" s="141"/>
    </row>
    <row r="42" spans="2:9" ht="15">
      <c r="B42" s="217"/>
      <c r="C42" s="217"/>
      <c r="D42" s="224"/>
      <c r="E42" s="224"/>
      <c r="F42" s="217"/>
    </row>
    <row r="43" spans="2:9">
      <c r="D43" s="454">
        <f>D41-'Income Sched 3'!C10</f>
        <v>0</v>
      </c>
      <c r="E43" s="454">
        <f>E41-'Income Sched 3'!C11</f>
        <v>0</v>
      </c>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2019 Work Papers&amp;R&amp;"Arial MT,Bold"Exhibit RPU-8
Page 5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R30"/>
  <sheetViews>
    <sheetView workbookViewId="0">
      <selection activeCell="B30" sqref="B30:K30"/>
    </sheetView>
  </sheetViews>
  <sheetFormatPr defaultColWidth="8.88671875" defaultRowHeight="15"/>
  <cols>
    <col min="1" max="1" width="1.77734375" style="182" customWidth="1"/>
    <col min="2" max="2" width="5.6640625" style="182" customWidth="1"/>
    <col min="3" max="3" width="1.21875" style="182" customWidth="1"/>
    <col min="4" max="4" width="10.77734375" style="182" customWidth="1"/>
    <col min="5" max="5" width="1.88671875" style="182" customWidth="1"/>
    <col min="6" max="6" width="8.6640625" style="182" customWidth="1"/>
    <col min="7" max="8" width="1.21875" style="182" customWidth="1"/>
    <col min="9" max="9" width="14.5546875" style="182" customWidth="1"/>
    <col min="10" max="10" width="1.109375" style="182" customWidth="1"/>
    <col min="11" max="11" width="13.21875" style="182" customWidth="1"/>
    <col min="12" max="12" width="1.44140625" style="182" customWidth="1"/>
    <col min="13" max="13" width="9.44140625" style="182" customWidth="1"/>
    <col min="14" max="16384" width="8.88671875" style="182"/>
  </cols>
  <sheetData>
    <row r="1" spans="2:15" ht="5.25" customHeight="1"/>
    <row r="2" spans="2:15" ht="5.25" customHeight="1"/>
    <row r="3" spans="2:15" ht="15.75">
      <c r="B3" s="660" t="str">
        <f>Coversheet!B3</f>
        <v>Rochester Public Utilities</v>
      </c>
      <c r="C3" s="660"/>
      <c r="D3" s="660"/>
      <c r="E3" s="660"/>
      <c r="F3" s="660"/>
      <c r="G3" s="660"/>
      <c r="H3" s="660"/>
      <c r="I3" s="660"/>
      <c r="J3" s="660"/>
      <c r="K3" s="660"/>
      <c r="L3" s="660"/>
      <c r="M3" s="660"/>
    </row>
    <row r="4" spans="2:15" ht="15.75">
      <c r="B4" s="660" t="s">
        <v>482</v>
      </c>
      <c r="C4" s="660"/>
      <c r="D4" s="660"/>
      <c r="E4" s="660"/>
      <c r="F4" s="660"/>
      <c r="G4" s="660"/>
      <c r="H4" s="660"/>
      <c r="I4" s="660"/>
      <c r="J4" s="660"/>
      <c r="K4" s="660"/>
      <c r="L4" s="660"/>
      <c r="M4" s="660"/>
    </row>
    <row r="5" spans="2:15" ht="15.75">
      <c r="B5" s="660" t="str">
        <f>IF('True-up Interest'!$J$12&lt;0.5,CONCATENATE("FLTY Forecast for 12 Months Ended December 31, ",Coversheet!E41),CONCATENATE("True-up Actual for 12 Months Ended December 31, ",Coversheet!E41))</f>
        <v>FLTY Forecast for 12 Months Ended December 31, 2019</v>
      </c>
      <c r="C5" s="660"/>
      <c r="D5" s="660"/>
      <c r="E5" s="660"/>
      <c r="F5" s="660"/>
      <c r="G5" s="660"/>
      <c r="H5" s="660"/>
      <c r="I5" s="660"/>
      <c r="J5" s="660"/>
      <c r="K5" s="660"/>
      <c r="L5" s="660"/>
      <c r="M5" s="660"/>
    </row>
    <row r="6" spans="2:15" ht="15.75">
      <c r="B6" s="353"/>
      <c r="C6" s="353"/>
      <c r="D6" s="353"/>
      <c r="E6" s="353"/>
      <c r="F6" s="353"/>
      <c r="G6" s="353"/>
      <c r="H6" s="353"/>
      <c r="I6" s="353"/>
      <c r="J6" s="353"/>
    </row>
    <row r="7" spans="2:15" ht="15.75">
      <c r="B7" s="183"/>
      <c r="C7" s="183"/>
      <c r="D7" s="183"/>
      <c r="E7" s="183"/>
      <c r="F7" s="183"/>
      <c r="G7" s="661" t="s">
        <v>479</v>
      </c>
      <c r="H7" s="661"/>
      <c r="I7" s="661"/>
      <c r="J7" s="661"/>
      <c r="K7" s="661"/>
      <c r="L7" s="661"/>
      <c r="M7" s="661"/>
    </row>
    <row r="8" spans="2:15" s="185" customFormat="1" ht="50.25" customHeight="1">
      <c r="B8" s="321" t="s">
        <v>198</v>
      </c>
      <c r="C8" s="357"/>
      <c r="D8" s="321" t="s">
        <v>199</v>
      </c>
      <c r="E8" s="357"/>
      <c r="F8" s="321" t="s">
        <v>200</v>
      </c>
      <c r="G8" s="357"/>
      <c r="H8" s="357"/>
      <c r="I8" s="321" t="s">
        <v>477</v>
      </c>
      <c r="J8" s="357"/>
      <c r="K8" s="321" t="s">
        <v>478</v>
      </c>
      <c r="M8" s="321" t="s">
        <v>480</v>
      </c>
      <c r="N8" s="182"/>
      <c r="O8" s="214"/>
    </row>
    <row r="9" spans="2:15" s="185" customFormat="1" ht="15.75">
      <c r="B9" s="357"/>
      <c r="C9" s="357"/>
      <c r="D9" s="359" t="s">
        <v>423</v>
      </c>
      <c r="E9" s="357"/>
      <c r="F9" s="359" t="s">
        <v>424</v>
      </c>
      <c r="G9" s="357"/>
      <c r="H9" s="357"/>
      <c r="I9" s="359" t="s">
        <v>462</v>
      </c>
      <c r="J9" s="357"/>
      <c r="K9" s="359" t="s">
        <v>426</v>
      </c>
      <c r="M9" s="359" t="s">
        <v>427</v>
      </c>
      <c r="N9" s="182"/>
      <c r="O9" s="214"/>
    </row>
    <row r="10" spans="2:15" s="185" customFormat="1" ht="15.75">
      <c r="B10" s="357"/>
      <c r="C10" s="357"/>
      <c r="D10" s="359"/>
      <c r="E10" s="357"/>
      <c r="F10" s="359"/>
      <c r="G10" s="357"/>
      <c r="H10" s="357"/>
      <c r="I10" s="359"/>
      <c r="J10" s="357"/>
      <c r="K10" s="359"/>
      <c r="M10" s="359"/>
      <c r="N10" s="182"/>
      <c r="O10" s="214"/>
    </row>
    <row r="11" spans="2:15" ht="14.65" customHeight="1">
      <c r="B11" s="296">
        <v>1</v>
      </c>
      <c r="C11" s="356"/>
      <c r="D11" s="296" t="s">
        <v>185</v>
      </c>
      <c r="E11" s="296"/>
      <c r="F11" s="304">
        <f>Coversheet!E41</f>
        <v>2019</v>
      </c>
      <c r="G11" s="304"/>
      <c r="H11" s="354"/>
      <c r="I11" s="574">
        <v>196000</v>
      </c>
      <c r="J11" s="574"/>
      <c r="K11" s="574">
        <v>0</v>
      </c>
      <c r="M11" s="354">
        <f t="shared" ref="M11:M22" si="0">SUM(I11:K11)</f>
        <v>196000</v>
      </c>
      <c r="O11" s="215"/>
    </row>
    <row r="12" spans="2:15" ht="15.75">
      <c r="B12" s="296">
        <v>2</v>
      </c>
      <c r="C12" s="356"/>
      <c r="D12" s="296" t="s">
        <v>186</v>
      </c>
      <c r="E12" s="296"/>
      <c r="F12" s="296">
        <f>F11</f>
        <v>2019</v>
      </c>
      <c r="G12" s="296"/>
      <c r="H12" s="354"/>
      <c r="I12" s="574">
        <v>184000</v>
      </c>
      <c r="J12" s="574"/>
      <c r="K12" s="574">
        <v>0</v>
      </c>
      <c r="M12" s="354">
        <f t="shared" si="0"/>
        <v>184000</v>
      </c>
      <c r="O12" s="215"/>
    </row>
    <row r="13" spans="2:15" ht="15.75">
      <c r="B13" s="296">
        <v>3</v>
      </c>
      <c r="C13" s="296"/>
      <c r="D13" s="296" t="s">
        <v>187</v>
      </c>
      <c r="E13" s="296"/>
      <c r="F13" s="296">
        <f>F12</f>
        <v>2019</v>
      </c>
      <c r="G13" s="296"/>
      <c r="H13" s="354"/>
      <c r="I13" s="574">
        <v>172000</v>
      </c>
      <c r="J13" s="574"/>
      <c r="K13" s="574">
        <v>0</v>
      </c>
      <c r="M13" s="354">
        <f t="shared" si="0"/>
        <v>172000</v>
      </c>
      <c r="O13" s="215"/>
    </row>
    <row r="14" spans="2:15" ht="15.75">
      <c r="B14" s="296">
        <v>4</v>
      </c>
      <c r="C14" s="296"/>
      <c r="D14" s="296" t="s">
        <v>188</v>
      </c>
      <c r="E14" s="296"/>
      <c r="F14" s="296">
        <f t="shared" ref="F14:F22" si="1">F13</f>
        <v>2019</v>
      </c>
      <c r="G14" s="296"/>
      <c r="H14" s="354"/>
      <c r="I14" s="574">
        <v>173000</v>
      </c>
      <c r="J14" s="574"/>
      <c r="K14" s="574">
        <v>0</v>
      </c>
      <c r="M14" s="354">
        <f t="shared" si="0"/>
        <v>173000</v>
      </c>
      <c r="O14" s="215"/>
    </row>
    <row r="15" spans="2:15" ht="15.75">
      <c r="B15" s="296">
        <v>5</v>
      </c>
      <c r="C15" s="296"/>
      <c r="D15" s="296" t="s">
        <v>189</v>
      </c>
      <c r="E15" s="296"/>
      <c r="F15" s="296">
        <f t="shared" si="1"/>
        <v>2019</v>
      </c>
      <c r="G15" s="296"/>
      <c r="H15" s="354"/>
      <c r="I15" s="574">
        <v>197000</v>
      </c>
      <c r="J15" s="574"/>
      <c r="K15" s="574">
        <v>0</v>
      </c>
      <c r="M15" s="354">
        <f t="shared" si="0"/>
        <v>197000</v>
      </c>
      <c r="O15" s="215"/>
    </row>
    <row r="16" spans="2:15" ht="15.75">
      <c r="B16" s="296">
        <v>6</v>
      </c>
      <c r="C16" s="296"/>
      <c r="D16" s="296" t="s">
        <v>190</v>
      </c>
      <c r="E16" s="296"/>
      <c r="F16" s="296">
        <f t="shared" si="1"/>
        <v>2019</v>
      </c>
      <c r="G16" s="296"/>
      <c r="H16" s="354"/>
      <c r="I16" s="574">
        <v>216000</v>
      </c>
      <c r="J16" s="574"/>
      <c r="K16" s="574">
        <v>30000</v>
      </c>
      <c r="M16" s="354">
        <f t="shared" si="0"/>
        <v>246000</v>
      </c>
      <c r="O16" s="215"/>
    </row>
    <row r="17" spans="2:18" ht="15.75">
      <c r="B17" s="296">
        <v>7</v>
      </c>
      <c r="C17" s="296"/>
      <c r="D17" s="296" t="s">
        <v>191</v>
      </c>
      <c r="E17" s="296"/>
      <c r="F17" s="296">
        <f t="shared" si="1"/>
        <v>2019</v>
      </c>
      <c r="G17" s="296"/>
      <c r="H17" s="354"/>
      <c r="I17" s="574">
        <v>216000</v>
      </c>
      <c r="J17" s="574"/>
      <c r="K17" s="574">
        <v>54000</v>
      </c>
      <c r="M17" s="354">
        <f t="shared" si="0"/>
        <v>270000</v>
      </c>
      <c r="O17" s="215"/>
    </row>
    <row r="18" spans="2:18" ht="15.75">
      <c r="B18" s="296">
        <v>8</v>
      </c>
      <c r="C18" s="296"/>
      <c r="D18" s="296" t="s">
        <v>192</v>
      </c>
      <c r="E18" s="296"/>
      <c r="F18" s="296">
        <f t="shared" si="1"/>
        <v>2019</v>
      </c>
      <c r="G18" s="296"/>
      <c r="H18" s="354"/>
      <c r="I18" s="574">
        <v>216000</v>
      </c>
      <c r="J18" s="574"/>
      <c r="K18" s="574">
        <v>55000</v>
      </c>
      <c r="M18" s="354">
        <f t="shared" si="0"/>
        <v>271000</v>
      </c>
      <c r="O18" s="215"/>
    </row>
    <row r="19" spans="2:18" ht="15.75">
      <c r="B19" s="296">
        <v>9</v>
      </c>
      <c r="C19" s="296"/>
      <c r="D19" s="296" t="s">
        <v>193</v>
      </c>
      <c r="E19" s="296"/>
      <c r="F19" s="296">
        <f t="shared" si="1"/>
        <v>2019</v>
      </c>
      <c r="G19" s="296"/>
      <c r="H19" s="354"/>
      <c r="I19" s="574">
        <v>216000</v>
      </c>
      <c r="J19" s="574"/>
      <c r="K19" s="574">
        <v>43000</v>
      </c>
      <c r="M19" s="354">
        <f t="shared" si="0"/>
        <v>259000</v>
      </c>
      <c r="O19" s="215"/>
    </row>
    <row r="20" spans="2:18" ht="15.75">
      <c r="B20" s="296">
        <v>10</v>
      </c>
      <c r="C20" s="296"/>
      <c r="D20" s="296" t="s">
        <v>194</v>
      </c>
      <c r="E20" s="296"/>
      <c r="F20" s="296">
        <f t="shared" si="1"/>
        <v>2019</v>
      </c>
      <c r="G20" s="296"/>
      <c r="H20" s="354"/>
      <c r="I20" s="574">
        <v>185000</v>
      </c>
      <c r="J20" s="574"/>
      <c r="K20" s="574">
        <v>0</v>
      </c>
      <c r="M20" s="354">
        <f t="shared" si="0"/>
        <v>185000</v>
      </c>
      <c r="O20" s="215"/>
    </row>
    <row r="21" spans="2:18" ht="15.75">
      <c r="B21" s="296">
        <v>11</v>
      </c>
      <c r="C21" s="296"/>
      <c r="D21" s="296" t="s">
        <v>195</v>
      </c>
      <c r="E21" s="296"/>
      <c r="F21" s="296">
        <f t="shared" si="1"/>
        <v>2019</v>
      </c>
      <c r="G21" s="296"/>
      <c r="H21" s="354"/>
      <c r="I21" s="574">
        <v>182000</v>
      </c>
      <c r="J21" s="574"/>
      <c r="K21" s="574">
        <v>0</v>
      </c>
      <c r="M21" s="354">
        <f t="shared" si="0"/>
        <v>182000</v>
      </c>
      <c r="O21" s="215"/>
    </row>
    <row r="22" spans="2:18" ht="15.75">
      <c r="B22" s="296">
        <v>12</v>
      </c>
      <c r="C22" s="296"/>
      <c r="D22" s="296" t="s">
        <v>196</v>
      </c>
      <c r="E22" s="296"/>
      <c r="F22" s="296">
        <f t="shared" si="1"/>
        <v>2019</v>
      </c>
      <c r="G22" s="296"/>
      <c r="H22" s="354"/>
      <c r="I22" s="574">
        <v>190000</v>
      </c>
      <c r="J22" s="574"/>
      <c r="K22" s="574">
        <v>0</v>
      </c>
      <c r="M22" s="354">
        <f t="shared" si="0"/>
        <v>190000</v>
      </c>
      <c r="O22" s="215"/>
    </row>
    <row r="23" spans="2:18" ht="15.75">
      <c r="B23" s="296"/>
      <c r="C23" s="296"/>
      <c r="D23" s="308"/>
      <c r="E23" s="308"/>
      <c r="F23" s="308"/>
      <c r="G23" s="308"/>
      <c r="H23" s="358"/>
      <c r="I23" s="296"/>
      <c r="J23" s="308"/>
      <c r="K23" s="355"/>
      <c r="M23" s="315"/>
    </row>
    <row r="24" spans="2:18" ht="18.75" thickBot="1">
      <c r="B24" s="296">
        <f>B22+1</f>
        <v>13</v>
      </c>
      <c r="C24" s="296"/>
      <c r="D24" s="291" t="s">
        <v>201</v>
      </c>
      <c r="E24" s="353"/>
      <c r="F24" s="290"/>
      <c r="G24" s="290"/>
      <c r="H24" s="316"/>
      <c r="I24" s="362">
        <f>SUM(I11:I22)/12</f>
        <v>195250</v>
      </c>
      <c r="J24" s="316"/>
      <c r="K24" s="361">
        <f>SUM(K11:K22)/12</f>
        <v>15166.666666666666</v>
      </c>
      <c r="M24" s="316">
        <f>SUM(M11:M22)/12</f>
        <v>210416.66666666666</v>
      </c>
      <c r="O24" s="401" t="s">
        <v>481</v>
      </c>
      <c r="P24" s="360"/>
      <c r="Q24" s="360"/>
      <c r="R24" s="360"/>
    </row>
    <row r="25" spans="2:18" ht="16.5" thickTop="1">
      <c r="B25" s="308"/>
      <c r="C25" s="308"/>
      <c r="D25" s="308"/>
      <c r="E25" s="308"/>
      <c r="F25" s="308"/>
      <c r="G25" s="308"/>
      <c r="H25" s="308"/>
      <c r="I25" s="308"/>
      <c r="J25" s="308"/>
      <c r="K25" s="308"/>
    </row>
    <row r="26" spans="2:18" ht="15.75">
      <c r="B26" s="308"/>
      <c r="C26" s="308"/>
      <c r="D26" s="308"/>
      <c r="E26" s="308"/>
      <c r="F26" s="308"/>
      <c r="G26" s="308"/>
      <c r="H26" s="317"/>
      <c r="I26" s="308"/>
      <c r="J26" s="308"/>
      <c r="K26" s="308"/>
    </row>
    <row r="27" spans="2:18" ht="6.75" customHeight="1"/>
    <row r="28" spans="2:18" ht="20.65" customHeight="1">
      <c r="B28" s="659" t="s">
        <v>435</v>
      </c>
      <c r="C28" s="659"/>
      <c r="D28" s="659"/>
      <c r="E28" s="659"/>
      <c r="F28" s="659"/>
      <c r="G28" s="659"/>
      <c r="H28" s="659"/>
      <c r="I28" s="659"/>
      <c r="J28" s="659"/>
      <c r="K28" s="659"/>
      <c r="L28" s="659"/>
      <c r="M28" s="659"/>
    </row>
    <row r="29" spans="2:18" ht="30.95" customHeight="1">
      <c r="B29" s="658" t="s">
        <v>578</v>
      </c>
      <c r="C29" s="658"/>
      <c r="D29" s="658"/>
      <c r="E29" s="658"/>
      <c r="F29" s="658"/>
      <c r="G29" s="658"/>
      <c r="H29" s="658"/>
      <c r="I29" s="658"/>
      <c r="J29" s="658"/>
      <c r="K29" s="658"/>
      <c r="L29" s="658"/>
      <c r="M29" s="658"/>
    </row>
    <row r="30" spans="2:18" ht="15.75">
      <c r="B30" s="658" t="s">
        <v>581</v>
      </c>
      <c r="C30" s="658"/>
      <c r="D30" s="658"/>
      <c r="E30" s="658"/>
      <c r="F30" s="658"/>
      <c r="G30" s="658"/>
      <c r="H30" s="658"/>
      <c r="I30" s="658"/>
      <c r="J30" s="658"/>
      <c r="K30" s="658"/>
    </row>
  </sheetData>
  <mergeCells count="7">
    <mergeCell ref="B30:K30"/>
    <mergeCell ref="B29:M29"/>
    <mergeCell ref="B28:M28"/>
    <mergeCell ref="B3:M3"/>
    <mergeCell ref="B4:M4"/>
    <mergeCell ref="B5:M5"/>
    <mergeCell ref="G7:M7"/>
  </mergeCells>
  <pageMargins left="0.7" right="0.45" top="0.75" bottom="0.5" header="0.3" footer="0.3"/>
  <pageSetup orientation="portrait" r:id="rId1"/>
  <headerFooter>
    <oddHeader>&amp;L&amp;"Arial MT,Bold"Rochester Public Utilities
2019 Work Papers&amp;R&amp;"Arial MT,Bold"Exhibit RPU-8
Page 6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C1:P70"/>
  <sheetViews>
    <sheetView topLeftCell="J1" workbookViewId="0">
      <selection activeCell="P1" sqref="P1"/>
    </sheetView>
  </sheetViews>
  <sheetFormatPr defaultColWidth="8.88671875" defaultRowHeight="15"/>
  <cols>
    <col min="1" max="1" width="8.88671875" style="548"/>
    <col min="2" max="2" width="1.109375" style="548" customWidth="1"/>
    <col min="3" max="3" width="3.44140625" style="548" customWidth="1"/>
    <col min="4" max="4" width="14.109375" style="548" bestFit="1" customWidth="1"/>
    <col min="5" max="5" width="4.109375" style="548" customWidth="1"/>
    <col min="6" max="6" width="13.109375" style="548" bestFit="1" customWidth="1"/>
    <col min="7" max="7" width="14.33203125" style="548" customWidth="1"/>
    <col min="8" max="8" width="12" style="548" bestFit="1" customWidth="1"/>
    <col min="9" max="9" width="14.33203125" style="548" customWidth="1"/>
    <col min="10" max="10" width="14" style="548" bestFit="1" customWidth="1"/>
    <col min="11" max="11" width="13.109375" style="548" bestFit="1" customWidth="1"/>
    <col min="12" max="12" width="12" style="548" bestFit="1" customWidth="1"/>
    <col min="13" max="13" width="7.77734375" style="548" bestFit="1" customWidth="1"/>
    <col min="14" max="14" width="7.109375" style="548" bestFit="1" customWidth="1"/>
    <col min="15" max="15" width="14.44140625" style="548" bestFit="1" customWidth="1"/>
    <col min="16" max="16" width="21" style="548" bestFit="1" customWidth="1"/>
    <col min="17" max="16384" width="8.88671875" style="548"/>
  </cols>
  <sheetData>
    <row r="1" spans="3:16" ht="15.75">
      <c r="C1" s="662" t="str">
        <f>Coversheet!B3</f>
        <v>Rochester Public Utilities</v>
      </c>
      <c r="D1" s="662"/>
      <c r="E1" s="662"/>
      <c r="F1" s="662"/>
      <c r="G1" s="662"/>
      <c r="H1" s="662"/>
      <c r="I1" s="662"/>
      <c r="J1" s="662"/>
      <c r="K1" s="662"/>
      <c r="L1" s="662"/>
      <c r="M1" s="662"/>
      <c r="N1" s="662"/>
      <c r="O1" s="662"/>
    </row>
    <row r="2" spans="3:16" ht="15.75">
      <c r="C2" s="662" t="s">
        <v>510</v>
      </c>
      <c r="D2" s="662"/>
      <c r="E2" s="662"/>
      <c r="F2" s="662"/>
      <c r="G2" s="662"/>
      <c r="H2" s="662"/>
      <c r="I2" s="662"/>
      <c r="J2" s="662"/>
      <c r="K2" s="662"/>
      <c r="L2" s="662"/>
      <c r="M2" s="662"/>
      <c r="N2" s="662"/>
      <c r="O2" s="662"/>
    </row>
    <row r="3" spans="3:16" ht="15.75">
      <c r="C3" s="662" t="str">
        <f>IF('True-up Interest'!$J$12&lt;0.5,CONCATENATE("FLTY Forecast for 13 Months Ended December 31, ",Coversheet!E41),CONCATENATE("True-up Actual for 13 Months Ended December 31, ",Coversheet!E41))</f>
        <v>FLTY Forecast for 13 Months Ended December 31, 2019</v>
      </c>
      <c r="D3" s="662"/>
      <c r="E3" s="662"/>
      <c r="F3" s="662"/>
      <c r="G3" s="662"/>
      <c r="H3" s="662"/>
      <c r="I3" s="662"/>
      <c r="J3" s="662"/>
      <c r="K3" s="662"/>
      <c r="L3" s="662"/>
      <c r="M3" s="662"/>
      <c r="N3" s="662"/>
      <c r="O3" s="662"/>
    </row>
    <row r="5" spans="3:16" ht="44.25" customHeight="1">
      <c r="C5" s="261" t="s">
        <v>198</v>
      </c>
      <c r="D5" s="261" t="s">
        <v>202</v>
      </c>
      <c r="E5" s="261" t="s">
        <v>200</v>
      </c>
      <c r="F5" s="261" t="s">
        <v>203</v>
      </c>
      <c r="G5" s="261" t="s">
        <v>394</v>
      </c>
      <c r="H5" s="261" t="s">
        <v>395</v>
      </c>
      <c r="I5" s="257" t="s">
        <v>550</v>
      </c>
      <c r="J5" s="261" t="s">
        <v>6</v>
      </c>
      <c r="K5" s="261" t="s">
        <v>184</v>
      </c>
      <c r="L5" s="261" t="s">
        <v>204</v>
      </c>
      <c r="M5" s="261" t="s">
        <v>205</v>
      </c>
      <c r="N5" s="261" t="s">
        <v>206</v>
      </c>
      <c r="O5" s="261" t="s">
        <v>207</v>
      </c>
    </row>
    <row r="6" spans="3:16">
      <c r="C6" s="550">
        <v>1</v>
      </c>
      <c r="D6" s="551" t="s">
        <v>196</v>
      </c>
      <c r="E6" s="552">
        <f>Coversheet!E40</f>
        <v>2018</v>
      </c>
      <c r="F6" s="230">
        <f>'Plant Sched 4'!C15</f>
        <v>175096891</v>
      </c>
      <c r="G6" s="549">
        <v>45960306</v>
      </c>
      <c r="H6" s="549">
        <v>24377166</v>
      </c>
      <c r="I6" s="230">
        <f>H64</f>
        <v>1928351</v>
      </c>
      <c r="J6" s="230">
        <f>'Plant Sched 4'!C17</f>
        <v>72265823</v>
      </c>
      <c r="K6" s="230">
        <f>'Plant Sched 4'!C18</f>
        <v>158188508</v>
      </c>
      <c r="L6" s="230">
        <f>'Plant Sched 4'!C19</f>
        <v>48929248</v>
      </c>
      <c r="M6" s="230">
        <v>0</v>
      </c>
      <c r="N6" s="230">
        <v>0</v>
      </c>
      <c r="O6" s="553">
        <f t="shared" ref="O6:O18" si="0">F6+J6+K6+L6+M6+N6</f>
        <v>454480470</v>
      </c>
      <c r="P6" s="554">
        <f t="shared" ref="P6:P17" si="1">G6+H6+I6-J6</f>
        <v>0</v>
      </c>
    </row>
    <row r="7" spans="3:16">
      <c r="C7" s="550">
        <v>2</v>
      </c>
      <c r="D7" s="550" t="s">
        <v>185</v>
      </c>
      <c r="E7" s="555">
        <f>Coversheet!E41</f>
        <v>2019</v>
      </c>
      <c r="F7" s="258">
        <f>F6</f>
        <v>175096891</v>
      </c>
      <c r="G7" s="258">
        <v>45960306</v>
      </c>
      <c r="H7" s="258">
        <v>24377166</v>
      </c>
      <c r="I7" s="258">
        <f>I6</f>
        <v>1928351</v>
      </c>
      <c r="J7" s="258">
        <f>G7+H7+I7</f>
        <v>72265823</v>
      </c>
      <c r="K7" s="258">
        <f t="shared" ref="K7:K17" si="2">K6</f>
        <v>158188508</v>
      </c>
      <c r="L7" s="258">
        <f t="shared" ref="L7:L17" si="3">L6</f>
        <v>48929248</v>
      </c>
      <c r="M7" s="258">
        <v>0</v>
      </c>
      <c r="N7" s="230">
        <f t="shared" ref="N7:N18" si="4">N6</f>
        <v>0</v>
      </c>
      <c r="O7" s="553">
        <f t="shared" si="0"/>
        <v>454480470</v>
      </c>
      <c r="P7" s="554">
        <f t="shared" si="1"/>
        <v>0</v>
      </c>
    </row>
    <row r="8" spans="3:16" ht="15.75">
      <c r="C8" s="550">
        <v>3</v>
      </c>
      <c r="D8" s="556" t="s">
        <v>186</v>
      </c>
      <c r="E8" s="555">
        <f>E7</f>
        <v>2019</v>
      </c>
      <c r="F8" s="258">
        <f t="shared" ref="F8:F17" si="5">F7</f>
        <v>175096891</v>
      </c>
      <c r="G8" s="258">
        <v>45960306</v>
      </c>
      <c r="H8" s="258">
        <v>24377166</v>
      </c>
      <c r="I8" s="258">
        <f t="shared" ref="I8:I18" si="6">I7</f>
        <v>1928351</v>
      </c>
      <c r="J8" s="258">
        <f t="shared" ref="J8:J17" si="7">G8+H8+I8</f>
        <v>72265823</v>
      </c>
      <c r="K8" s="258">
        <f t="shared" si="2"/>
        <v>158188508</v>
      </c>
      <c r="L8" s="258">
        <f t="shared" si="3"/>
        <v>48929248</v>
      </c>
      <c r="M8" s="258">
        <v>0</v>
      </c>
      <c r="N8" s="230">
        <f t="shared" si="4"/>
        <v>0</v>
      </c>
      <c r="O8" s="553">
        <f t="shared" si="0"/>
        <v>454480470</v>
      </c>
      <c r="P8" s="554">
        <f t="shared" si="1"/>
        <v>0</v>
      </c>
    </row>
    <row r="9" spans="3:16" s="547" customFormat="1" ht="15.75">
      <c r="C9" s="550">
        <v>4</v>
      </c>
      <c r="D9" s="556" t="s">
        <v>187</v>
      </c>
      <c r="E9" s="555">
        <f t="shared" ref="E9:E18" si="8">E8</f>
        <v>2019</v>
      </c>
      <c r="F9" s="258">
        <f t="shared" si="5"/>
        <v>175096891</v>
      </c>
      <c r="G9" s="258">
        <v>45960306</v>
      </c>
      <c r="H9" s="258">
        <v>24377166</v>
      </c>
      <c r="I9" s="258">
        <f t="shared" si="6"/>
        <v>1928351</v>
      </c>
      <c r="J9" s="258">
        <f t="shared" si="7"/>
        <v>72265823</v>
      </c>
      <c r="K9" s="258">
        <f t="shared" si="2"/>
        <v>158188508</v>
      </c>
      <c r="L9" s="258">
        <f t="shared" si="3"/>
        <v>48929248</v>
      </c>
      <c r="M9" s="258">
        <v>0</v>
      </c>
      <c r="N9" s="230">
        <f t="shared" si="4"/>
        <v>0</v>
      </c>
      <c r="O9" s="553">
        <f t="shared" si="0"/>
        <v>454480470</v>
      </c>
      <c r="P9" s="554">
        <f t="shared" si="1"/>
        <v>0</v>
      </c>
    </row>
    <row r="10" spans="3:16" s="547" customFormat="1" ht="15.75">
      <c r="C10" s="550">
        <v>5</v>
      </c>
      <c r="D10" s="556" t="s">
        <v>188</v>
      </c>
      <c r="E10" s="555">
        <f t="shared" si="8"/>
        <v>2019</v>
      </c>
      <c r="F10" s="258">
        <f t="shared" si="5"/>
        <v>175096891</v>
      </c>
      <c r="G10" s="258">
        <v>45960306</v>
      </c>
      <c r="H10" s="258">
        <v>24377166</v>
      </c>
      <c r="I10" s="258">
        <f t="shared" si="6"/>
        <v>1928351</v>
      </c>
      <c r="J10" s="258">
        <f t="shared" si="7"/>
        <v>72265823</v>
      </c>
      <c r="K10" s="258">
        <f t="shared" si="2"/>
        <v>158188508</v>
      </c>
      <c r="L10" s="258">
        <f t="shared" si="3"/>
        <v>48929248</v>
      </c>
      <c r="M10" s="258">
        <v>0</v>
      </c>
      <c r="N10" s="230">
        <f t="shared" si="4"/>
        <v>0</v>
      </c>
      <c r="O10" s="553">
        <f t="shared" si="0"/>
        <v>454480470</v>
      </c>
      <c r="P10" s="554">
        <f t="shared" si="1"/>
        <v>0</v>
      </c>
    </row>
    <row r="11" spans="3:16" ht="15.75">
      <c r="C11" s="550">
        <v>6</v>
      </c>
      <c r="D11" s="556" t="s">
        <v>189</v>
      </c>
      <c r="E11" s="555">
        <f t="shared" si="8"/>
        <v>2019</v>
      </c>
      <c r="F11" s="258">
        <f t="shared" si="5"/>
        <v>175096891</v>
      </c>
      <c r="G11" s="258">
        <v>45960306</v>
      </c>
      <c r="H11" s="258">
        <v>24377166</v>
      </c>
      <c r="I11" s="258">
        <f t="shared" si="6"/>
        <v>1928351</v>
      </c>
      <c r="J11" s="258">
        <f t="shared" si="7"/>
        <v>72265823</v>
      </c>
      <c r="K11" s="258">
        <f t="shared" si="2"/>
        <v>158188508</v>
      </c>
      <c r="L11" s="258">
        <f t="shared" si="3"/>
        <v>48929248</v>
      </c>
      <c r="M11" s="258">
        <v>0</v>
      </c>
      <c r="N11" s="230">
        <f t="shared" si="4"/>
        <v>0</v>
      </c>
      <c r="O11" s="553">
        <f t="shared" si="0"/>
        <v>454480470</v>
      </c>
      <c r="P11" s="554">
        <f t="shared" si="1"/>
        <v>0</v>
      </c>
    </row>
    <row r="12" spans="3:16" ht="15.75">
      <c r="C12" s="550">
        <v>7</v>
      </c>
      <c r="D12" s="556" t="s">
        <v>190</v>
      </c>
      <c r="E12" s="555">
        <f t="shared" si="8"/>
        <v>2019</v>
      </c>
      <c r="F12" s="258">
        <f t="shared" si="5"/>
        <v>175096891</v>
      </c>
      <c r="G12" s="258">
        <v>45960306</v>
      </c>
      <c r="H12" s="258">
        <v>24377166</v>
      </c>
      <c r="I12" s="258">
        <f t="shared" si="6"/>
        <v>1928351</v>
      </c>
      <c r="J12" s="258">
        <f t="shared" si="7"/>
        <v>72265823</v>
      </c>
      <c r="K12" s="258">
        <f t="shared" si="2"/>
        <v>158188508</v>
      </c>
      <c r="L12" s="258">
        <f>L11+'Plant Sched 4'!F19</f>
        <v>53393531</v>
      </c>
      <c r="M12" s="258">
        <v>0</v>
      </c>
      <c r="N12" s="230">
        <f t="shared" si="4"/>
        <v>0</v>
      </c>
      <c r="O12" s="553">
        <f t="shared" si="0"/>
        <v>458944753</v>
      </c>
      <c r="P12" s="554">
        <f t="shared" si="1"/>
        <v>0</v>
      </c>
    </row>
    <row r="13" spans="3:16" ht="15.75">
      <c r="C13" s="550">
        <v>8</v>
      </c>
      <c r="D13" s="556" t="s">
        <v>191</v>
      </c>
      <c r="E13" s="555">
        <f t="shared" si="8"/>
        <v>2019</v>
      </c>
      <c r="F13" s="258">
        <f t="shared" si="5"/>
        <v>175096891</v>
      </c>
      <c r="G13" s="258">
        <v>45960306</v>
      </c>
      <c r="H13" s="258">
        <v>24377166</v>
      </c>
      <c r="I13" s="258">
        <f t="shared" si="6"/>
        <v>1928351</v>
      </c>
      <c r="J13" s="258">
        <f t="shared" si="7"/>
        <v>72265823</v>
      </c>
      <c r="K13" s="258">
        <f t="shared" si="2"/>
        <v>158188508</v>
      </c>
      <c r="L13" s="258">
        <f t="shared" si="3"/>
        <v>53393531</v>
      </c>
      <c r="M13" s="258">
        <v>0</v>
      </c>
      <c r="N13" s="230">
        <f t="shared" si="4"/>
        <v>0</v>
      </c>
      <c r="O13" s="553">
        <f t="shared" si="0"/>
        <v>458944753</v>
      </c>
      <c r="P13" s="554">
        <f t="shared" si="1"/>
        <v>0</v>
      </c>
    </row>
    <row r="14" spans="3:16" ht="15.75">
      <c r="C14" s="550">
        <v>9</v>
      </c>
      <c r="D14" s="556" t="s">
        <v>192</v>
      </c>
      <c r="E14" s="555">
        <f t="shared" si="8"/>
        <v>2019</v>
      </c>
      <c r="F14" s="258">
        <f t="shared" si="5"/>
        <v>175096891</v>
      </c>
      <c r="G14" s="258">
        <v>45960306</v>
      </c>
      <c r="H14" s="258">
        <v>24377166</v>
      </c>
      <c r="I14" s="258">
        <f t="shared" si="6"/>
        <v>1928351</v>
      </c>
      <c r="J14" s="258">
        <f t="shared" si="7"/>
        <v>72265823</v>
      </c>
      <c r="K14" s="258">
        <f t="shared" si="2"/>
        <v>158188508</v>
      </c>
      <c r="L14" s="258">
        <f t="shared" si="3"/>
        <v>53393531</v>
      </c>
      <c r="M14" s="258">
        <v>0</v>
      </c>
      <c r="N14" s="230">
        <f t="shared" si="4"/>
        <v>0</v>
      </c>
      <c r="O14" s="553">
        <f t="shared" si="0"/>
        <v>458944753</v>
      </c>
      <c r="P14" s="554">
        <f t="shared" si="1"/>
        <v>0</v>
      </c>
    </row>
    <row r="15" spans="3:16" ht="15.75">
      <c r="C15" s="550">
        <v>10</v>
      </c>
      <c r="D15" s="556" t="s">
        <v>193</v>
      </c>
      <c r="E15" s="555">
        <f t="shared" si="8"/>
        <v>2019</v>
      </c>
      <c r="F15" s="258">
        <f t="shared" si="5"/>
        <v>175096891</v>
      </c>
      <c r="G15" s="258">
        <v>45960306</v>
      </c>
      <c r="H15" s="258">
        <v>24377166</v>
      </c>
      <c r="I15" s="258">
        <f t="shared" si="6"/>
        <v>1928351</v>
      </c>
      <c r="J15" s="258">
        <f t="shared" si="7"/>
        <v>72265823</v>
      </c>
      <c r="K15" s="258">
        <f t="shared" si="2"/>
        <v>158188508</v>
      </c>
      <c r="L15" s="258">
        <f t="shared" si="3"/>
        <v>53393531</v>
      </c>
      <c r="M15" s="258">
        <v>0</v>
      </c>
      <c r="N15" s="230">
        <f t="shared" si="4"/>
        <v>0</v>
      </c>
      <c r="O15" s="553">
        <f t="shared" si="0"/>
        <v>458944753</v>
      </c>
      <c r="P15" s="554">
        <f t="shared" si="1"/>
        <v>0</v>
      </c>
    </row>
    <row r="16" spans="3:16" ht="15.75">
      <c r="C16" s="550">
        <v>11</v>
      </c>
      <c r="D16" s="556" t="s">
        <v>194</v>
      </c>
      <c r="E16" s="555">
        <f t="shared" si="8"/>
        <v>2019</v>
      </c>
      <c r="F16" s="258">
        <f t="shared" si="5"/>
        <v>175096891</v>
      </c>
      <c r="G16" s="258">
        <v>45960306</v>
      </c>
      <c r="H16" s="258">
        <v>24377166</v>
      </c>
      <c r="I16" s="258">
        <f t="shared" si="6"/>
        <v>1928351</v>
      </c>
      <c r="J16" s="258">
        <f t="shared" si="7"/>
        <v>72265823</v>
      </c>
      <c r="K16" s="258">
        <f t="shared" si="2"/>
        <v>158188508</v>
      </c>
      <c r="L16" s="258">
        <f t="shared" si="3"/>
        <v>53393531</v>
      </c>
      <c r="M16" s="258">
        <v>0</v>
      </c>
      <c r="N16" s="230">
        <f t="shared" si="4"/>
        <v>0</v>
      </c>
      <c r="O16" s="553">
        <f t="shared" si="0"/>
        <v>458944753</v>
      </c>
      <c r="P16" s="554">
        <f t="shared" si="1"/>
        <v>0</v>
      </c>
    </row>
    <row r="17" spans="3:16" ht="15.75">
      <c r="C17" s="550">
        <v>12</v>
      </c>
      <c r="D17" s="556" t="s">
        <v>195</v>
      </c>
      <c r="E17" s="555">
        <f t="shared" si="8"/>
        <v>2019</v>
      </c>
      <c r="F17" s="258">
        <f t="shared" si="5"/>
        <v>175096891</v>
      </c>
      <c r="G17" s="258">
        <v>45960306</v>
      </c>
      <c r="H17" s="258">
        <v>24377166</v>
      </c>
      <c r="I17" s="258">
        <f t="shared" si="6"/>
        <v>1928351</v>
      </c>
      <c r="J17" s="258">
        <f t="shared" si="7"/>
        <v>72265823</v>
      </c>
      <c r="K17" s="258">
        <f t="shared" si="2"/>
        <v>158188508</v>
      </c>
      <c r="L17" s="258">
        <f t="shared" si="3"/>
        <v>53393531</v>
      </c>
      <c r="M17" s="258">
        <v>0</v>
      </c>
      <c r="N17" s="230">
        <f t="shared" si="4"/>
        <v>0</v>
      </c>
      <c r="O17" s="553">
        <f t="shared" si="0"/>
        <v>458944753</v>
      </c>
      <c r="P17" s="554">
        <f t="shared" si="1"/>
        <v>0</v>
      </c>
    </row>
    <row r="18" spans="3:16" ht="15.75">
      <c r="C18" s="550">
        <v>13</v>
      </c>
      <c r="D18" s="556" t="s">
        <v>196</v>
      </c>
      <c r="E18" s="555">
        <f t="shared" si="8"/>
        <v>2019</v>
      </c>
      <c r="F18" s="258">
        <f>'Plant Sched 4'!G15</f>
        <v>175096891</v>
      </c>
      <c r="G18" s="258">
        <v>45960306</v>
      </c>
      <c r="H18" s="258">
        <v>24377166</v>
      </c>
      <c r="I18" s="258">
        <f t="shared" si="6"/>
        <v>1928351</v>
      </c>
      <c r="J18" s="258">
        <f>'Plant Sched 4'!G17</f>
        <v>72265823</v>
      </c>
      <c r="K18" s="258">
        <f>'Plant Sched 4'!G18</f>
        <v>158188508</v>
      </c>
      <c r="L18" s="258">
        <f>'Plant Sched 4'!G19</f>
        <v>53393531</v>
      </c>
      <c r="M18" s="258">
        <v>0</v>
      </c>
      <c r="N18" s="230">
        <f t="shared" si="4"/>
        <v>0</v>
      </c>
      <c r="O18" s="553">
        <f t="shared" si="0"/>
        <v>458944753</v>
      </c>
      <c r="P18" s="554">
        <f>G18+H18+I18-J18</f>
        <v>0</v>
      </c>
    </row>
    <row r="19" spans="3:16">
      <c r="C19" s="550">
        <v>14</v>
      </c>
      <c r="D19" s="259"/>
      <c r="E19" s="259"/>
      <c r="F19" s="259"/>
      <c r="G19" s="259"/>
      <c r="H19" s="259"/>
      <c r="I19" s="259"/>
      <c r="J19" s="259"/>
      <c r="K19" s="259"/>
      <c r="L19" s="259"/>
      <c r="M19" s="259"/>
      <c r="N19" s="259"/>
      <c r="O19" s="259"/>
      <c r="P19" s="236"/>
    </row>
    <row r="20" spans="3:16" ht="17.25">
      <c r="C20" s="550">
        <v>15</v>
      </c>
      <c r="D20" s="557" t="s">
        <v>208</v>
      </c>
      <c r="E20" s="558"/>
      <c r="F20" s="260">
        <f>SUM(F6:F18)/13</f>
        <v>175096891</v>
      </c>
      <c r="G20" s="260">
        <f t="shared" ref="G20" si="9">SUM(G6:G18)/13</f>
        <v>45960306</v>
      </c>
      <c r="H20" s="260">
        <f t="shared" ref="H20:O20" si="10">SUM(H6:H18)/13</f>
        <v>24377166</v>
      </c>
      <c r="I20" s="260">
        <f t="shared" si="10"/>
        <v>1928351</v>
      </c>
      <c r="J20" s="260">
        <f t="shared" si="10"/>
        <v>72265823</v>
      </c>
      <c r="K20" s="260">
        <f t="shared" si="10"/>
        <v>158188508</v>
      </c>
      <c r="L20" s="260">
        <f t="shared" si="10"/>
        <v>51333092.692307696</v>
      </c>
      <c r="M20" s="260">
        <f t="shared" si="10"/>
        <v>0</v>
      </c>
      <c r="N20" s="260">
        <f t="shared" si="10"/>
        <v>0</v>
      </c>
      <c r="O20" s="260">
        <f t="shared" si="10"/>
        <v>456884314.69230771</v>
      </c>
      <c r="P20" s="236"/>
    </row>
    <row r="21" spans="3:16">
      <c r="C21" s="259"/>
      <c r="D21" s="228" t="s">
        <v>209</v>
      </c>
      <c r="E21" s="228"/>
      <c r="F21" s="400" t="s">
        <v>210</v>
      </c>
      <c r="G21" s="228"/>
      <c r="H21" s="400" t="s">
        <v>396</v>
      </c>
      <c r="I21" s="228"/>
      <c r="J21" s="400" t="s">
        <v>211</v>
      </c>
      <c r="K21" s="400" t="s">
        <v>212</v>
      </c>
      <c r="L21" s="400" t="s">
        <v>213</v>
      </c>
      <c r="M21" s="400" t="s">
        <v>213</v>
      </c>
      <c r="N21" s="400" t="s">
        <v>214</v>
      </c>
      <c r="O21" s="228"/>
      <c r="P21" s="236"/>
    </row>
    <row r="22" spans="3:16">
      <c r="C22" s="259"/>
      <c r="D22" s="259"/>
      <c r="E22" s="259"/>
      <c r="F22" s="259"/>
      <c r="G22" s="259"/>
      <c r="H22" s="400" t="s">
        <v>397</v>
      </c>
      <c r="I22" s="228"/>
      <c r="J22" s="259"/>
      <c r="K22" s="259"/>
      <c r="L22" s="259"/>
      <c r="M22" s="259"/>
      <c r="N22" s="259"/>
      <c r="O22" s="259"/>
      <c r="P22" s="236"/>
    </row>
    <row r="23" spans="3:16" ht="45">
      <c r="C23" s="261" t="s">
        <v>198</v>
      </c>
      <c r="D23" s="261" t="s">
        <v>215</v>
      </c>
      <c r="E23" s="261" t="s">
        <v>200</v>
      </c>
      <c r="F23" s="261" t="s">
        <v>203</v>
      </c>
      <c r="G23" s="261" t="s">
        <v>394</v>
      </c>
      <c r="H23" s="261" t="s">
        <v>395</v>
      </c>
      <c r="I23" s="257" t="s">
        <v>563</v>
      </c>
      <c r="J23" s="261" t="s">
        <v>398</v>
      </c>
      <c r="K23" s="261" t="s">
        <v>184</v>
      </c>
      <c r="L23" s="261" t="s">
        <v>204</v>
      </c>
      <c r="M23" s="261" t="s">
        <v>205</v>
      </c>
      <c r="N23" s="261" t="s">
        <v>206</v>
      </c>
      <c r="O23" s="261" t="s">
        <v>216</v>
      </c>
      <c r="P23" s="236"/>
    </row>
    <row r="24" spans="3:16">
      <c r="C24" s="550">
        <v>16</v>
      </c>
      <c r="D24" s="551" t="s">
        <v>196</v>
      </c>
      <c r="E24" s="552">
        <f>E6</f>
        <v>2018</v>
      </c>
      <c r="F24" s="230">
        <v>90954088</v>
      </c>
      <c r="G24" s="230">
        <v>14209876.67</v>
      </c>
      <c r="H24" s="230">
        <v>1943846.9100000001</v>
      </c>
      <c r="I24" s="230">
        <v>844585</v>
      </c>
      <c r="J24" s="230">
        <f>G24+H24+I24</f>
        <v>16998308.579999998</v>
      </c>
      <c r="K24" s="230">
        <v>75766566</v>
      </c>
      <c r="L24" s="230">
        <v>32474664</v>
      </c>
      <c r="M24" s="230">
        <v>0</v>
      </c>
      <c r="N24" s="230">
        <v>0</v>
      </c>
      <c r="O24" s="553">
        <f t="shared" ref="O24:O36" si="11">F24+J24+K24+L24+M24+N24</f>
        <v>216193626.57999998</v>
      </c>
      <c r="P24" s="236"/>
    </row>
    <row r="25" spans="3:16">
      <c r="C25" s="550">
        <v>17</v>
      </c>
      <c r="D25" s="550" t="s">
        <v>185</v>
      </c>
      <c r="E25" s="555">
        <f>E7</f>
        <v>2019</v>
      </c>
      <c r="F25" s="258">
        <v>91167991</v>
      </c>
      <c r="G25" s="258">
        <v>14302933.975833334</v>
      </c>
      <c r="H25" s="258">
        <v>1996876.9858333336</v>
      </c>
      <c r="I25" s="258">
        <v>848856.25</v>
      </c>
      <c r="J25" s="230">
        <f t="shared" ref="J25:J36" si="12">G25+H25+I25</f>
        <v>17148667.211666666</v>
      </c>
      <c r="K25" s="258">
        <v>76124899.333333328</v>
      </c>
      <c r="L25" s="258">
        <v>32724664</v>
      </c>
      <c r="M25" s="262">
        <v>0</v>
      </c>
      <c r="N25" s="230">
        <v>0</v>
      </c>
      <c r="O25" s="553">
        <f t="shared" si="11"/>
        <v>217166221.54500002</v>
      </c>
      <c r="P25" s="236"/>
    </row>
    <row r="26" spans="3:16" ht="15.75">
      <c r="C26" s="550">
        <v>18</v>
      </c>
      <c r="D26" s="556" t="s">
        <v>186</v>
      </c>
      <c r="E26" s="555">
        <f t="shared" ref="E26:E36" si="13">E8</f>
        <v>2019</v>
      </c>
      <c r="F26" s="258">
        <v>91381893</v>
      </c>
      <c r="G26" s="258">
        <v>14395991.281666668</v>
      </c>
      <c r="H26" s="258">
        <v>2049907.061666667</v>
      </c>
      <c r="I26" s="258">
        <v>853127.5</v>
      </c>
      <c r="J26" s="230">
        <f t="shared" si="12"/>
        <v>17299025.843333334</v>
      </c>
      <c r="K26" s="258">
        <v>76483232.666666657</v>
      </c>
      <c r="L26" s="258">
        <v>32974664</v>
      </c>
      <c r="M26" s="262">
        <v>0</v>
      </c>
      <c r="N26" s="230">
        <v>0</v>
      </c>
      <c r="O26" s="553">
        <f t="shared" si="11"/>
        <v>218138815.50999999</v>
      </c>
      <c r="P26" s="236"/>
    </row>
    <row r="27" spans="3:16" ht="15.75">
      <c r="C27" s="550">
        <v>19</v>
      </c>
      <c r="D27" s="556" t="s">
        <v>187</v>
      </c>
      <c r="E27" s="555">
        <f t="shared" si="13"/>
        <v>2019</v>
      </c>
      <c r="F27" s="258">
        <v>91595795</v>
      </c>
      <c r="G27" s="258">
        <v>14489048.587500002</v>
      </c>
      <c r="H27" s="258">
        <v>2102937.1375000002</v>
      </c>
      <c r="I27" s="258">
        <v>857398.75</v>
      </c>
      <c r="J27" s="230">
        <f t="shared" si="12"/>
        <v>17449384.475000001</v>
      </c>
      <c r="K27" s="258">
        <v>76841565.999999985</v>
      </c>
      <c r="L27" s="258">
        <v>33224664</v>
      </c>
      <c r="M27" s="262">
        <v>0</v>
      </c>
      <c r="N27" s="230">
        <v>0</v>
      </c>
      <c r="O27" s="553">
        <f t="shared" si="11"/>
        <v>219111409.47499996</v>
      </c>
      <c r="P27" s="236"/>
    </row>
    <row r="28" spans="3:16" ht="15.75">
      <c r="C28" s="550">
        <v>20</v>
      </c>
      <c r="D28" s="556" t="s">
        <v>188</v>
      </c>
      <c r="E28" s="555">
        <f t="shared" si="13"/>
        <v>2019</v>
      </c>
      <c r="F28" s="258">
        <v>91809697</v>
      </c>
      <c r="G28" s="258">
        <v>14582105.893333336</v>
      </c>
      <c r="H28" s="258">
        <v>2155967.2133333334</v>
      </c>
      <c r="I28" s="258">
        <v>861670</v>
      </c>
      <c r="J28" s="230">
        <f t="shared" si="12"/>
        <v>17599743.106666669</v>
      </c>
      <c r="K28" s="258">
        <v>77199899.333333313</v>
      </c>
      <c r="L28" s="258">
        <v>33474664</v>
      </c>
      <c r="M28" s="262">
        <v>0</v>
      </c>
      <c r="N28" s="230">
        <v>0</v>
      </c>
      <c r="O28" s="553">
        <f t="shared" si="11"/>
        <v>220084003.44</v>
      </c>
      <c r="P28" s="236"/>
    </row>
    <row r="29" spans="3:16" ht="15.75">
      <c r="C29" s="550">
        <v>21</v>
      </c>
      <c r="D29" s="556" t="s">
        <v>189</v>
      </c>
      <c r="E29" s="555">
        <f t="shared" si="13"/>
        <v>2019</v>
      </c>
      <c r="F29" s="258">
        <v>92023599</v>
      </c>
      <c r="G29" s="258">
        <v>14675163.19916667</v>
      </c>
      <c r="H29" s="258">
        <v>2208997.2891666666</v>
      </c>
      <c r="I29" s="258">
        <v>865941.25</v>
      </c>
      <c r="J29" s="230">
        <f t="shared" si="12"/>
        <v>17750101.738333337</v>
      </c>
      <c r="K29" s="258">
        <v>77558232.666666642</v>
      </c>
      <c r="L29" s="258">
        <v>33724664</v>
      </c>
      <c r="M29" s="262">
        <v>0</v>
      </c>
      <c r="N29" s="230">
        <v>0</v>
      </c>
      <c r="O29" s="553">
        <f t="shared" si="11"/>
        <v>221056597.40499997</v>
      </c>
      <c r="P29" s="236"/>
    </row>
    <row r="30" spans="3:16" ht="15.75">
      <c r="C30" s="550">
        <v>22</v>
      </c>
      <c r="D30" s="556" t="s">
        <v>190</v>
      </c>
      <c r="E30" s="555">
        <f t="shared" si="13"/>
        <v>2019</v>
      </c>
      <c r="F30" s="258">
        <v>92237501</v>
      </c>
      <c r="G30" s="258">
        <v>14768220.505000005</v>
      </c>
      <c r="H30" s="258">
        <v>2262027.3649999998</v>
      </c>
      <c r="I30" s="258">
        <v>870212.5</v>
      </c>
      <c r="J30" s="230">
        <f t="shared" si="12"/>
        <v>17900460.370000005</v>
      </c>
      <c r="K30" s="258">
        <v>77916565.99999997</v>
      </c>
      <c r="L30" s="258">
        <v>33974664</v>
      </c>
      <c r="M30" s="262">
        <v>0</v>
      </c>
      <c r="N30" s="230">
        <v>0</v>
      </c>
      <c r="O30" s="553">
        <f t="shared" si="11"/>
        <v>222029191.36999997</v>
      </c>
      <c r="P30" s="236"/>
    </row>
    <row r="31" spans="3:16" ht="15.75">
      <c r="C31" s="550">
        <v>23</v>
      </c>
      <c r="D31" s="556" t="s">
        <v>191</v>
      </c>
      <c r="E31" s="555">
        <f t="shared" si="13"/>
        <v>2019</v>
      </c>
      <c r="F31" s="258">
        <v>92451403</v>
      </c>
      <c r="G31" s="258">
        <v>14861277.810833339</v>
      </c>
      <c r="H31" s="258">
        <v>2315057.4408333329</v>
      </c>
      <c r="I31" s="258">
        <v>874483.75</v>
      </c>
      <c r="J31" s="230">
        <f t="shared" si="12"/>
        <v>18050819.001666673</v>
      </c>
      <c r="K31" s="258">
        <v>78274899.333333299</v>
      </c>
      <c r="L31" s="258">
        <v>34224664</v>
      </c>
      <c r="M31" s="262">
        <v>0</v>
      </c>
      <c r="N31" s="230">
        <v>0</v>
      </c>
      <c r="O31" s="553">
        <f t="shared" si="11"/>
        <v>223001785.33499998</v>
      </c>
      <c r="P31" s="236"/>
    </row>
    <row r="32" spans="3:16" ht="15.75">
      <c r="C32" s="550">
        <v>24</v>
      </c>
      <c r="D32" s="556" t="s">
        <v>192</v>
      </c>
      <c r="E32" s="555">
        <f t="shared" si="13"/>
        <v>2019</v>
      </c>
      <c r="F32" s="258">
        <v>92665306</v>
      </c>
      <c r="G32" s="258">
        <v>14954335.116666673</v>
      </c>
      <c r="H32" s="258">
        <v>2368087.5166666661</v>
      </c>
      <c r="I32" s="258">
        <v>878755</v>
      </c>
      <c r="J32" s="230">
        <f t="shared" si="12"/>
        <v>18201177.63333334</v>
      </c>
      <c r="K32" s="258">
        <v>78633232.666666627</v>
      </c>
      <c r="L32" s="258">
        <v>34474664</v>
      </c>
      <c r="M32" s="262">
        <v>0</v>
      </c>
      <c r="N32" s="230">
        <v>0</v>
      </c>
      <c r="O32" s="553">
        <f t="shared" si="11"/>
        <v>223974380.29999995</v>
      </c>
      <c r="P32" s="236"/>
    </row>
    <row r="33" spans="3:16" ht="15.75">
      <c r="C33" s="550">
        <v>25</v>
      </c>
      <c r="D33" s="556" t="s">
        <v>193</v>
      </c>
      <c r="E33" s="555">
        <f t="shared" si="13"/>
        <v>2019</v>
      </c>
      <c r="F33" s="258">
        <v>92879208</v>
      </c>
      <c r="G33" s="258">
        <v>15047392.422500007</v>
      </c>
      <c r="H33" s="258">
        <v>2421117.5924999993</v>
      </c>
      <c r="I33" s="258">
        <v>883026.25</v>
      </c>
      <c r="J33" s="230">
        <f t="shared" si="12"/>
        <v>18351536.265000008</v>
      </c>
      <c r="K33" s="258">
        <v>78991565.999999955</v>
      </c>
      <c r="L33" s="258">
        <v>34724664</v>
      </c>
      <c r="M33" s="262">
        <v>0</v>
      </c>
      <c r="N33" s="230">
        <v>0</v>
      </c>
      <c r="O33" s="553">
        <f t="shared" si="11"/>
        <v>224946974.26499999</v>
      </c>
      <c r="P33" s="236"/>
    </row>
    <row r="34" spans="3:16" ht="15.75">
      <c r="C34" s="550">
        <v>26</v>
      </c>
      <c r="D34" s="556" t="s">
        <v>194</v>
      </c>
      <c r="E34" s="555">
        <f t="shared" si="13"/>
        <v>2019</v>
      </c>
      <c r="F34" s="258">
        <v>93093110</v>
      </c>
      <c r="G34" s="258">
        <v>15140449.728333341</v>
      </c>
      <c r="H34" s="258">
        <v>2474147.6683333325</v>
      </c>
      <c r="I34" s="258">
        <v>887297.5</v>
      </c>
      <c r="J34" s="230">
        <f t="shared" si="12"/>
        <v>18501894.896666672</v>
      </c>
      <c r="K34" s="258">
        <v>79349899.333333284</v>
      </c>
      <c r="L34" s="258">
        <v>34974664</v>
      </c>
      <c r="M34" s="262">
        <v>0</v>
      </c>
      <c r="N34" s="230">
        <v>0</v>
      </c>
      <c r="O34" s="553">
        <f t="shared" si="11"/>
        <v>225919568.22999996</v>
      </c>
      <c r="P34" s="236"/>
    </row>
    <row r="35" spans="3:16" ht="15.75">
      <c r="C35" s="550">
        <v>27</v>
      </c>
      <c r="D35" s="556" t="s">
        <v>195</v>
      </c>
      <c r="E35" s="555">
        <f t="shared" si="13"/>
        <v>2019</v>
      </c>
      <c r="F35" s="258">
        <v>93307012</v>
      </c>
      <c r="G35" s="258">
        <v>15233507.034166675</v>
      </c>
      <c r="H35" s="258">
        <v>2527177.7441666657</v>
      </c>
      <c r="I35" s="258">
        <v>891568.75</v>
      </c>
      <c r="J35" s="230">
        <f t="shared" si="12"/>
        <v>18652253.52833334</v>
      </c>
      <c r="K35" s="258">
        <v>79708232.666666612</v>
      </c>
      <c r="L35" s="258">
        <v>35224664</v>
      </c>
      <c r="M35" s="262">
        <v>0</v>
      </c>
      <c r="N35" s="230">
        <v>0</v>
      </c>
      <c r="O35" s="553">
        <f t="shared" si="11"/>
        <v>226892162.19499993</v>
      </c>
      <c r="P35" s="236"/>
    </row>
    <row r="36" spans="3:16" ht="15.75">
      <c r="C36" s="550">
        <v>28</v>
      </c>
      <c r="D36" s="556" t="s">
        <v>196</v>
      </c>
      <c r="E36" s="555">
        <f t="shared" si="13"/>
        <v>2019</v>
      </c>
      <c r="F36" s="258">
        <v>93520914</v>
      </c>
      <c r="G36" s="258">
        <v>15326564.340000009</v>
      </c>
      <c r="H36" s="258">
        <v>2580207.8199999989</v>
      </c>
      <c r="I36" s="258">
        <v>895840</v>
      </c>
      <c r="J36" s="230">
        <f t="shared" si="12"/>
        <v>18802612.160000008</v>
      </c>
      <c r="K36" s="258">
        <v>80066565.99999994</v>
      </c>
      <c r="L36" s="258">
        <v>35474664</v>
      </c>
      <c r="M36" s="262">
        <v>0</v>
      </c>
      <c r="N36" s="230">
        <v>0</v>
      </c>
      <c r="O36" s="553">
        <f t="shared" si="11"/>
        <v>227864756.15999997</v>
      </c>
      <c r="P36" s="236"/>
    </row>
    <row r="37" spans="3:16">
      <c r="C37" s="550">
        <v>29</v>
      </c>
      <c r="D37" s="259"/>
      <c r="E37" s="259"/>
      <c r="F37" s="259"/>
      <c r="G37" s="259"/>
      <c r="H37" s="259"/>
      <c r="I37" s="259"/>
      <c r="J37" s="259"/>
      <c r="K37" s="259"/>
      <c r="L37" s="259"/>
      <c r="M37" s="259"/>
      <c r="N37" s="259"/>
      <c r="O37" s="259"/>
      <c r="P37" s="236"/>
    </row>
    <row r="38" spans="3:16" ht="17.25">
      <c r="C38" s="550">
        <v>30</v>
      </c>
      <c r="D38" s="557" t="s">
        <v>208</v>
      </c>
      <c r="E38" s="558"/>
      <c r="F38" s="260">
        <f>SUM(F24:F36)/13</f>
        <v>92237501.307692304</v>
      </c>
      <c r="G38" s="260">
        <f t="shared" ref="G38" si="14">SUM(G24:G36)/13</f>
        <v>14768220.505000005</v>
      </c>
      <c r="H38" s="260">
        <f t="shared" ref="H38:O38" si="15">SUM(H24:H36)/13</f>
        <v>2262027.3650000002</v>
      </c>
      <c r="I38" s="260">
        <f t="shared" si="15"/>
        <v>870212.5</v>
      </c>
      <c r="J38" s="260">
        <f t="shared" si="15"/>
        <v>17900460.370000005</v>
      </c>
      <c r="K38" s="260">
        <f t="shared" si="15"/>
        <v>77916565.99999997</v>
      </c>
      <c r="L38" s="260">
        <f t="shared" si="15"/>
        <v>33974664</v>
      </c>
      <c r="M38" s="260">
        <f t="shared" si="15"/>
        <v>0</v>
      </c>
      <c r="N38" s="260">
        <f t="shared" si="15"/>
        <v>0</v>
      </c>
      <c r="O38" s="260">
        <f t="shared" si="15"/>
        <v>222029191.67769226</v>
      </c>
      <c r="P38" s="236"/>
    </row>
    <row r="39" spans="3:16">
      <c r="C39" s="259"/>
      <c r="D39" s="228" t="s">
        <v>209</v>
      </c>
      <c r="E39" s="228"/>
      <c r="F39" s="400" t="s">
        <v>217</v>
      </c>
      <c r="G39" s="400" t="s">
        <v>545</v>
      </c>
      <c r="H39" s="400" t="s">
        <v>545</v>
      </c>
      <c r="K39" s="400" t="s">
        <v>218</v>
      </c>
      <c r="L39" s="400" t="s">
        <v>219</v>
      </c>
      <c r="M39" s="400" t="s">
        <v>219</v>
      </c>
      <c r="N39" s="400" t="s">
        <v>220</v>
      </c>
      <c r="O39" s="259"/>
      <c r="P39" s="236"/>
    </row>
    <row r="40" spans="3:16" ht="45">
      <c r="C40" s="261" t="s">
        <v>198</v>
      </c>
      <c r="D40" s="261" t="s">
        <v>221</v>
      </c>
      <c r="E40" s="261" t="s">
        <v>200</v>
      </c>
      <c r="F40" s="261" t="s">
        <v>203</v>
      </c>
      <c r="G40" s="261" t="s">
        <v>394</v>
      </c>
      <c r="H40" s="261" t="s">
        <v>395</v>
      </c>
      <c r="I40" s="261" t="s">
        <v>500</v>
      </c>
      <c r="J40" s="261" t="s">
        <v>398</v>
      </c>
      <c r="K40" s="261" t="s">
        <v>184</v>
      </c>
      <c r="L40" s="261" t="s">
        <v>204</v>
      </c>
      <c r="M40" s="261" t="s">
        <v>205</v>
      </c>
      <c r="N40" s="261" t="s">
        <v>206</v>
      </c>
      <c r="O40" s="261" t="s">
        <v>222</v>
      </c>
      <c r="P40" s="236"/>
    </row>
    <row r="41" spans="3:16">
      <c r="C41" s="550">
        <v>31</v>
      </c>
      <c r="D41" s="551" t="s">
        <v>196</v>
      </c>
      <c r="E41" s="552" t="str">
        <f>E23</f>
        <v>Year</v>
      </c>
      <c r="F41" s="230">
        <f>F6-F24</f>
        <v>84142803</v>
      </c>
      <c r="G41" s="230">
        <f t="shared" ref="G41:I53" si="16">G6-G24</f>
        <v>31750429.329999998</v>
      </c>
      <c r="H41" s="230">
        <f t="shared" si="16"/>
        <v>22433319.09</v>
      </c>
      <c r="I41" s="230">
        <f t="shared" si="16"/>
        <v>1083766</v>
      </c>
      <c r="J41" s="230">
        <f>G41+H41+I41</f>
        <v>55267514.420000002</v>
      </c>
      <c r="K41" s="230">
        <f t="shared" ref="K41:O53" si="17">K6-K24</f>
        <v>82421942</v>
      </c>
      <c r="L41" s="230">
        <f t="shared" si="17"/>
        <v>16454584</v>
      </c>
      <c r="M41" s="230">
        <f t="shared" si="17"/>
        <v>0</v>
      </c>
      <c r="N41" s="230">
        <f t="shared" si="17"/>
        <v>0</v>
      </c>
      <c r="O41" s="230">
        <f t="shared" si="17"/>
        <v>238286843.42000002</v>
      </c>
      <c r="P41" s="236"/>
    </row>
    <row r="42" spans="3:16">
      <c r="C42" s="550">
        <v>32</v>
      </c>
      <c r="D42" s="550" t="s">
        <v>185</v>
      </c>
      <c r="E42" s="555">
        <f>E24</f>
        <v>2018</v>
      </c>
      <c r="F42" s="230">
        <f t="shared" ref="F42:O53" si="18">F7-F25</f>
        <v>83928900</v>
      </c>
      <c r="G42" s="230">
        <f t="shared" si="16"/>
        <v>31657372.024166666</v>
      </c>
      <c r="H42" s="230">
        <f t="shared" si="16"/>
        <v>22380289.014166668</v>
      </c>
      <c r="I42" s="230">
        <f t="shared" si="16"/>
        <v>1079494.75</v>
      </c>
      <c r="J42" s="230">
        <f t="shared" ref="J42:J53" si="19">G42+H42+I42</f>
        <v>55117155.788333334</v>
      </c>
      <c r="K42" s="230">
        <f t="shared" si="18"/>
        <v>82063608.666666672</v>
      </c>
      <c r="L42" s="230">
        <f t="shared" si="18"/>
        <v>16204584</v>
      </c>
      <c r="M42" s="230">
        <f t="shared" si="17"/>
        <v>0</v>
      </c>
      <c r="N42" s="230">
        <f t="shared" si="18"/>
        <v>0</v>
      </c>
      <c r="O42" s="230">
        <f t="shared" si="18"/>
        <v>237314248.45499998</v>
      </c>
      <c r="P42" s="236"/>
    </row>
    <row r="43" spans="3:16" ht="15.75">
      <c r="C43" s="550">
        <v>33</v>
      </c>
      <c r="D43" s="556" t="s">
        <v>186</v>
      </c>
      <c r="E43" s="555">
        <f t="shared" ref="E43:E53" si="20">E25</f>
        <v>2019</v>
      </c>
      <c r="F43" s="230">
        <f t="shared" si="18"/>
        <v>83714998</v>
      </c>
      <c r="G43" s="230">
        <f t="shared" si="16"/>
        <v>31564314.718333334</v>
      </c>
      <c r="H43" s="230">
        <f t="shared" si="16"/>
        <v>22327258.938333333</v>
      </c>
      <c r="I43" s="230">
        <f t="shared" si="16"/>
        <v>1075223.5</v>
      </c>
      <c r="J43" s="230">
        <f t="shared" si="19"/>
        <v>54966797.156666666</v>
      </c>
      <c r="K43" s="230">
        <f t="shared" si="18"/>
        <v>81705275.333333343</v>
      </c>
      <c r="L43" s="230">
        <f t="shared" si="18"/>
        <v>15954584</v>
      </c>
      <c r="M43" s="230">
        <f t="shared" si="17"/>
        <v>0</v>
      </c>
      <c r="N43" s="230">
        <f t="shared" si="18"/>
        <v>0</v>
      </c>
      <c r="O43" s="230">
        <f t="shared" si="18"/>
        <v>236341654.49000001</v>
      </c>
      <c r="P43" s="236"/>
    </row>
    <row r="44" spans="3:16" ht="15.75">
      <c r="C44" s="550">
        <v>34</v>
      </c>
      <c r="D44" s="556" t="s">
        <v>187</v>
      </c>
      <c r="E44" s="555">
        <f t="shared" si="20"/>
        <v>2019</v>
      </c>
      <c r="F44" s="230">
        <f t="shared" si="18"/>
        <v>83501096</v>
      </c>
      <c r="G44" s="230">
        <f t="shared" si="16"/>
        <v>31471257.412499998</v>
      </c>
      <c r="H44" s="230">
        <f t="shared" si="16"/>
        <v>22274228.862500001</v>
      </c>
      <c r="I44" s="230">
        <f t="shared" si="16"/>
        <v>1070952.25</v>
      </c>
      <c r="J44" s="230">
        <f t="shared" si="19"/>
        <v>54816438.524999999</v>
      </c>
      <c r="K44" s="230">
        <f t="shared" si="18"/>
        <v>81346942.000000015</v>
      </c>
      <c r="L44" s="230">
        <f t="shared" si="18"/>
        <v>15704584</v>
      </c>
      <c r="M44" s="230">
        <f t="shared" si="17"/>
        <v>0</v>
      </c>
      <c r="N44" s="230">
        <f t="shared" si="18"/>
        <v>0</v>
      </c>
      <c r="O44" s="230">
        <f t="shared" si="18"/>
        <v>235369060.52500004</v>
      </c>
      <c r="P44" s="236"/>
    </row>
    <row r="45" spans="3:16" ht="15.75">
      <c r="C45" s="550">
        <v>35</v>
      </c>
      <c r="D45" s="556" t="s">
        <v>188</v>
      </c>
      <c r="E45" s="555">
        <f t="shared" si="20"/>
        <v>2019</v>
      </c>
      <c r="F45" s="230">
        <f t="shared" si="18"/>
        <v>83287194</v>
      </c>
      <c r="G45" s="230">
        <f t="shared" si="16"/>
        <v>31378200.106666662</v>
      </c>
      <c r="H45" s="230">
        <f t="shared" si="16"/>
        <v>22221198.786666665</v>
      </c>
      <c r="I45" s="230">
        <f t="shared" si="16"/>
        <v>1066681</v>
      </c>
      <c r="J45" s="230">
        <f t="shared" si="19"/>
        <v>54666079.893333331</v>
      </c>
      <c r="K45" s="230">
        <f t="shared" si="18"/>
        <v>80988608.666666687</v>
      </c>
      <c r="L45" s="230">
        <f t="shared" si="18"/>
        <v>15454584</v>
      </c>
      <c r="M45" s="230">
        <f t="shared" si="17"/>
        <v>0</v>
      </c>
      <c r="N45" s="230">
        <f t="shared" si="18"/>
        <v>0</v>
      </c>
      <c r="O45" s="230">
        <f t="shared" si="18"/>
        <v>234396466.56</v>
      </c>
      <c r="P45" s="236"/>
    </row>
    <row r="46" spans="3:16" ht="15.75">
      <c r="C46" s="550">
        <v>36</v>
      </c>
      <c r="D46" s="556" t="s">
        <v>189</v>
      </c>
      <c r="E46" s="555">
        <f t="shared" si="20"/>
        <v>2019</v>
      </c>
      <c r="F46" s="230">
        <f t="shared" si="18"/>
        <v>83073292</v>
      </c>
      <c r="G46" s="230">
        <f t="shared" si="16"/>
        <v>31285142.80083333</v>
      </c>
      <c r="H46" s="230">
        <f t="shared" si="16"/>
        <v>22168168.710833333</v>
      </c>
      <c r="I46" s="230">
        <f t="shared" si="16"/>
        <v>1062409.75</v>
      </c>
      <c r="J46" s="230">
        <f t="shared" si="19"/>
        <v>54515721.261666663</v>
      </c>
      <c r="K46" s="230">
        <f t="shared" si="18"/>
        <v>80630275.333333358</v>
      </c>
      <c r="L46" s="230">
        <f t="shared" si="18"/>
        <v>15204584</v>
      </c>
      <c r="M46" s="230">
        <f t="shared" si="17"/>
        <v>0</v>
      </c>
      <c r="N46" s="230">
        <f t="shared" si="18"/>
        <v>0</v>
      </c>
      <c r="O46" s="230">
        <f t="shared" si="18"/>
        <v>233423872.59500003</v>
      </c>
      <c r="P46" s="236"/>
    </row>
    <row r="47" spans="3:16" ht="15.75">
      <c r="C47" s="550">
        <v>37</v>
      </c>
      <c r="D47" s="556" t="s">
        <v>190</v>
      </c>
      <c r="E47" s="555">
        <f t="shared" si="20"/>
        <v>2019</v>
      </c>
      <c r="F47" s="230">
        <f t="shared" si="18"/>
        <v>82859390</v>
      </c>
      <c r="G47" s="230">
        <f t="shared" si="16"/>
        <v>31192085.494999997</v>
      </c>
      <c r="H47" s="230">
        <f t="shared" si="16"/>
        <v>22115138.635000002</v>
      </c>
      <c r="I47" s="230">
        <f t="shared" si="16"/>
        <v>1058138.5</v>
      </c>
      <c r="J47" s="230">
        <f t="shared" si="19"/>
        <v>54365362.629999995</v>
      </c>
      <c r="K47" s="230">
        <f t="shared" si="18"/>
        <v>80271942.00000003</v>
      </c>
      <c r="L47" s="230">
        <f t="shared" si="18"/>
        <v>19418867</v>
      </c>
      <c r="M47" s="230">
        <f t="shared" si="17"/>
        <v>0</v>
      </c>
      <c r="N47" s="230">
        <f t="shared" si="18"/>
        <v>0</v>
      </c>
      <c r="O47" s="230">
        <f t="shared" si="18"/>
        <v>236915561.63000003</v>
      </c>
      <c r="P47" s="236"/>
    </row>
    <row r="48" spans="3:16" ht="15.75">
      <c r="C48" s="550">
        <v>38</v>
      </c>
      <c r="D48" s="556" t="s">
        <v>191</v>
      </c>
      <c r="E48" s="555">
        <f t="shared" si="20"/>
        <v>2019</v>
      </c>
      <c r="F48" s="230">
        <f t="shared" si="18"/>
        <v>82645488</v>
      </c>
      <c r="G48" s="230">
        <f t="shared" si="16"/>
        <v>31099028.189166661</v>
      </c>
      <c r="H48" s="230">
        <f t="shared" si="16"/>
        <v>22062108.559166666</v>
      </c>
      <c r="I48" s="230">
        <f t="shared" si="16"/>
        <v>1053867.25</v>
      </c>
      <c r="J48" s="230">
        <f t="shared" si="19"/>
        <v>54215003.998333327</v>
      </c>
      <c r="K48" s="230">
        <f t="shared" si="18"/>
        <v>79913608.666666701</v>
      </c>
      <c r="L48" s="230">
        <f t="shared" si="18"/>
        <v>19168867</v>
      </c>
      <c r="M48" s="230">
        <f t="shared" si="17"/>
        <v>0</v>
      </c>
      <c r="N48" s="230">
        <f t="shared" si="18"/>
        <v>0</v>
      </c>
      <c r="O48" s="230">
        <f t="shared" si="18"/>
        <v>235942967.66500002</v>
      </c>
      <c r="P48" s="236"/>
    </row>
    <row r="49" spans="3:16" ht="15.75">
      <c r="C49" s="550">
        <v>39</v>
      </c>
      <c r="D49" s="556" t="s">
        <v>192</v>
      </c>
      <c r="E49" s="555">
        <f t="shared" si="20"/>
        <v>2019</v>
      </c>
      <c r="F49" s="230">
        <f t="shared" si="18"/>
        <v>82431585</v>
      </c>
      <c r="G49" s="230">
        <f t="shared" si="16"/>
        <v>31005970.883333325</v>
      </c>
      <c r="H49" s="230">
        <f t="shared" si="16"/>
        <v>22009078.483333334</v>
      </c>
      <c r="I49" s="230">
        <f t="shared" si="16"/>
        <v>1049596</v>
      </c>
      <c r="J49" s="230">
        <f t="shared" si="19"/>
        <v>54064645.36666666</v>
      </c>
      <c r="K49" s="230">
        <f t="shared" si="18"/>
        <v>79555275.333333373</v>
      </c>
      <c r="L49" s="230">
        <f t="shared" si="18"/>
        <v>18918867</v>
      </c>
      <c r="M49" s="230">
        <f t="shared" si="17"/>
        <v>0</v>
      </c>
      <c r="N49" s="230">
        <f t="shared" si="18"/>
        <v>0</v>
      </c>
      <c r="O49" s="230">
        <f t="shared" si="18"/>
        <v>234970372.70000005</v>
      </c>
      <c r="P49" s="236"/>
    </row>
    <row r="50" spans="3:16" ht="15.75">
      <c r="C50" s="550">
        <v>40</v>
      </c>
      <c r="D50" s="556" t="s">
        <v>193</v>
      </c>
      <c r="E50" s="555">
        <f t="shared" si="20"/>
        <v>2019</v>
      </c>
      <c r="F50" s="230">
        <f t="shared" si="18"/>
        <v>82217683</v>
      </c>
      <c r="G50" s="230">
        <f t="shared" si="16"/>
        <v>30912913.577499993</v>
      </c>
      <c r="H50" s="230">
        <f t="shared" si="16"/>
        <v>21956048.407499999</v>
      </c>
      <c r="I50" s="230">
        <f t="shared" si="16"/>
        <v>1045324.75</v>
      </c>
      <c r="J50" s="230">
        <f t="shared" si="19"/>
        <v>53914286.734999992</v>
      </c>
      <c r="K50" s="230">
        <f t="shared" si="18"/>
        <v>79196942.000000045</v>
      </c>
      <c r="L50" s="230">
        <f t="shared" si="18"/>
        <v>18668867</v>
      </c>
      <c r="M50" s="230">
        <f t="shared" si="17"/>
        <v>0</v>
      </c>
      <c r="N50" s="230">
        <f t="shared" si="18"/>
        <v>0</v>
      </c>
      <c r="O50" s="230">
        <f t="shared" si="18"/>
        <v>233997778.73500001</v>
      </c>
      <c r="P50" s="236"/>
    </row>
    <row r="51" spans="3:16" ht="15.75">
      <c r="C51" s="550">
        <v>41</v>
      </c>
      <c r="D51" s="556" t="s">
        <v>194</v>
      </c>
      <c r="E51" s="555">
        <f t="shared" si="20"/>
        <v>2019</v>
      </c>
      <c r="F51" s="230">
        <f t="shared" si="18"/>
        <v>82003781</v>
      </c>
      <c r="G51" s="230">
        <f t="shared" si="16"/>
        <v>30819856.271666661</v>
      </c>
      <c r="H51" s="230">
        <f t="shared" si="16"/>
        <v>21903018.331666667</v>
      </c>
      <c r="I51" s="230">
        <f t="shared" si="16"/>
        <v>1041053.5</v>
      </c>
      <c r="J51" s="230">
        <f t="shared" si="19"/>
        <v>53763928.103333324</v>
      </c>
      <c r="K51" s="230">
        <f t="shared" si="18"/>
        <v>78838608.666666716</v>
      </c>
      <c r="L51" s="230">
        <f t="shared" si="18"/>
        <v>18418867</v>
      </c>
      <c r="M51" s="230">
        <f t="shared" si="17"/>
        <v>0</v>
      </c>
      <c r="N51" s="230">
        <f t="shared" si="18"/>
        <v>0</v>
      </c>
      <c r="O51" s="230">
        <f t="shared" si="18"/>
        <v>233025184.77000004</v>
      </c>
      <c r="P51" s="236"/>
    </row>
    <row r="52" spans="3:16" ht="15.75">
      <c r="C52" s="550">
        <v>42</v>
      </c>
      <c r="D52" s="556" t="s">
        <v>195</v>
      </c>
      <c r="E52" s="555">
        <f t="shared" si="20"/>
        <v>2019</v>
      </c>
      <c r="F52" s="230">
        <f t="shared" si="18"/>
        <v>81789879</v>
      </c>
      <c r="G52" s="230">
        <f t="shared" si="16"/>
        <v>30726798.965833325</v>
      </c>
      <c r="H52" s="230">
        <f t="shared" si="16"/>
        <v>21849988.255833335</v>
      </c>
      <c r="I52" s="230">
        <f t="shared" si="16"/>
        <v>1036782.25</v>
      </c>
      <c r="J52" s="230">
        <f t="shared" si="19"/>
        <v>53613569.471666664</v>
      </c>
      <c r="K52" s="230">
        <f t="shared" si="18"/>
        <v>78480275.333333388</v>
      </c>
      <c r="L52" s="230">
        <f t="shared" si="18"/>
        <v>18168867</v>
      </c>
      <c r="M52" s="230">
        <f t="shared" si="17"/>
        <v>0</v>
      </c>
      <c r="N52" s="230">
        <f t="shared" si="18"/>
        <v>0</v>
      </c>
      <c r="O52" s="230">
        <f t="shared" si="18"/>
        <v>232052590.80500007</v>
      </c>
      <c r="P52" s="236"/>
    </row>
    <row r="53" spans="3:16" ht="15.75">
      <c r="C53" s="550">
        <v>43</v>
      </c>
      <c r="D53" s="556" t="s">
        <v>196</v>
      </c>
      <c r="E53" s="555">
        <f t="shared" si="20"/>
        <v>2019</v>
      </c>
      <c r="F53" s="559">
        <f t="shared" si="18"/>
        <v>81575977</v>
      </c>
      <c r="G53" s="559">
        <f t="shared" si="16"/>
        <v>30633741.659999989</v>
      </c>
      <c r="H53" s="559">
        <f t="shared" si="16"/>
        <v>21796958.18</v>
      </c>
      <c r="I53" s="559">
        <f t="shared" si="16"/>
        <v>1032511</v>
      </c>
      <c r="J53" s="559">
        <f t="shared" si="19"/>
        <v>53463210.839999989</v>
      </c>
      <c r="K53" s="559">
        <f t="shared" si="18"/>
        <v>78121942.00000006</v>
      </c>
      <c r="L53" s="559">
        <f t="shared" si="18"/>
        <v>17918867</v>
      </c>
      <c r="M53" s="559">
        <f t="shared" si="17"/>
        <v>0</v>
      </c>
      <c r="N53" s="559">
        <f t="shared" si="18"/>
        <v>0</v>
      </c>
      <c r="O53" s="559">
        <f t="shared" si="18"/>
        <v>231079996.84000003</v>
      </c>
      <c r="P53" s="236"/>
    </row>
    <row r="54" spans="3:16">
      <c r="C54" s="550">
        <v>44</v>
      </c>
      <c r="D54" s="259"/>
      <c r="E54" s="259"/>
      <c r="F54" s="259"/>
      <c r="G54" s="259"/>
      <c r="H54" s="259"/>
      <c r="I54" s="259"/>
      <c r="J54" s="259"/>
      <c r="K54" s="259"/>
      <c r="L54" s="259"/>
      <c r="M54" s="259"/>
      <c r="N54" s="259"/>
      <c r="O54" s="259"/>
      <c r="P54" s="236"/>
    </row>
    <row r="55" spans="3:16" ht="17.25">
      <c r="C55" s="550">
        <v>45</v>
      </c>
      <c r="D55" s="557" t="s">
        <v>208</v>
      </c>
      <c r="E55" s="558"/>
      <c r="F55" s="260">
        <f>SUM(F41:F53)/13</f>
        <v>82859389.692307696</v>
      </c>
      <c r="G55" s="260">
        <f t="shared" ref="G55:J55" si="21">SUM(G41:G53)/13</f>
        <v>31192085.49499999</v>
      </c>
      <c r="H55" s="260">
        <f t="shared" si="21"/>
        <v>22115138.634999998</v>
      </c>
      <c r="I55" s="260">
        <f t="shared" ref="I55" si="22">SUM(I41:I53)/13</f>
        <v>1058138.5</v>
      </c>
      <c r="J55" s="260">
        <f t="shared" si="21"/>
        <v>54365362.630000003</v>
      </c>
      <c r="K55" s="260">
        <f t="shared" ref="K55:O55" si="23">SUM(K41:K53)/13</f>
        <v>80271942.00000003</v>
      </c>
      <c r="L55" s="260">
        <f t="shared" si="23"/>
        <v>17358428.692307692</v>
      </c>
      <c r="M55" s="260">
        <f t="shared" si="23"/>
        <v>0</v>
      </c>
      <c r="N55" s="260">
        <f t="shared" si="23"/>
        <v>0</v>
      </c>
      <c r="O55" s="260">
        <f t="shared" si="23"/>
        <v>234855123.01461542</v>
      </c>
      <c r="P55" s="236"/>
    </row>
    <row r="56" spans="3:16">
      <c r="C56" s="259"/>
      <c r="D56" s="259"/>
      <c r="E56" s="259"/>
      <c r="F56" s="259"/>
      <c r="G56" s="259"/>
      <c r="H56" s="259"/>
      <c r="I56" s="259"/>
      <c r="J56" s="259"/>
      <c r="K56" s="259"/>
      <c r="L56" s="259"/>
      <c r="M56" s="259"/>
      <c r="N56" s="259"/>
      <c r="O56" s="259"/>
      <c r="P56" s="236"/>
    </row>
    <row r="57" spans="3:16">
      <c r="C57" s="259"/>
      <c r="D57" s="259"/>
      <c r="E57" s="259"/>
      <c r="F57" s="259"/>
      <c r="G57" s="259"/>
      <c r="H57" s="259"/>
      <c r="I57" s="259"/>
      <c r="J57" s="259"/>
      <c r="K57" s="259"/>
      <c r="L57" s="259"/>
      <c r="M57" s="259"/>
      <c r="N57" s="259"/>
      <c r="O57" s="259"/>
      <c r="P57" s="236"/>
    </row>
    <row r="58" spans="3:16" ht="15.75" thickBot="1">
      <c r="C58" s="259"/>
      <c r="D58" s="259"/>
      <c r="E58" s="259"/>
      <c r="F58" s="259"/>
      <c r="G58" s="259"/>
      <c r="H58" s="259"/>
      <c r="I58" s="259"/>
      <c r="J58" s="259"/>
      <c r="K58" s="259"/>
      <c r="L58" s="259"/>
      <c r="M58" s="259"/>
      <c r="N58" s="259"/>
      <c r="O58" s="259"/>
      <c r="P58" s="236"/>
    </row>
    <row r="59" spans="3:16" ht="15.75" thickBot="1">
      <c r="C59" s="259"/>
      <c r="D59" s="560" t="str">
        <f>Coversheet!$E$41&amp;" Att GG Transmission Depreciation"</f>
        <v>2019 Att GG Transmission Depreciation</v>
      </c>
      <c r="E59" s="561"/>
      <c r="F59" s="561"/>
      <c r="G59" s="561"/>
      <c r="H59" s="562">
        <f>H36-H24</f>
        <v>636360.90999999875</v>
      </c>
      <c r="I59" s="563"/>
      <c r="J59" s="259"/>
      <c r="K59" s="259"/>
      <c r="L59" s="259"/>
      <c r="M59" s="259"/>
      <c r="N59" s="259"/>
      <c r="O59" s="259"/>
      <c r="P59" s="236"/>
    </row>
    <row r="60" spans="3:16">
      <c r="C60" s="259"/>
      <c r="D60" s="259"/>
      <c r="E60" s="259"/>
      <c r="F60" s="259"/>
      <c r="G60" s="259"/>
      <c r="H60" s="259"/>
      <c r="I60" s="259"/>
      <c r="J60" s="259"/>
      <c r="K60" s="259"/>
      <c r="L60" s="259"/>
      <c r="M60" s="259"/>
      <c r="N60" s="259"/>
      <c r="O60" s="259"/>
    </row>
    <row r="61" spans="3:16">
      <c r="C61" s="259"/>
      <c r="D61" s="564" t="s">
        <v>454</v>
      </c>
      <c r="E61" s="564"/>
      <c r="F61" s="564"/>
      <c r="G61" s="564"/>
      <c r="H61" s="564"/>
      <c r="I61" s="564"/>
      <c r="J61" s="259"/>
      <c r="K61" s="259"/>
      <c r="L61" s="259"/>
      <c r="M61" s="259"/>
      <c r="N61" s="259"/>
      <c r="O61" s="259"/>
    </row>
    <row r="62" spans="3:16">
      <c r="C62" s="259"/>
      <c r="D62" s="564"/>
      <c r="E62" s="259"/>
      <c r="F62" s="564"/>
      <c r="G62" s="565" t="s">
        <v>450</v>
      </c>
      <c r="H62" s="566">
        <v>1590071</v>
      </c>
      <c r="I62" s="564"/>
      <c r="J62" s="259"/>
      <c r="K62" s="259"/>
      <c r="L62" s="259"/>
      <c r="M62" s="259"/>
      <c r="N62" s="259"/>
      <c r="O62" s="259"/>
    </row>
    <row r="63" spans="3:16">
      <c r="C63" s="259"/>
      <c r="D63" s="564"/>
      <c r="E63" s="259"/>
      <c r="F63" s="564"/>
      <c r="G63" s="565" t="s">
        <v>451</v>
      </c>
      <c r="H63" s="567">
        <v>338280</v>
      </c>
      <c r="I63" s="564"/>
      <c r="J63" s="259"/>
      <c r="K63" s="259"/>
      <c r="L63" s="259"/>
      <c r="M63" s="259"/>
      <c r="N63" s="259"/>
      <c r="O63" s="259"/>
    </row>
    <row r="64" spans="3:16">
      <c r="C64" s="259"/>
      <c r="D64" s="564"/>
      <c r="E64" s="564"/>
      <c r="F64" s="564"/>
      <c r="G64" s="564"/>
      <c r="H64" s="568">
        <f>SUM(H62:H63)</f>
        <v>1928351</v>
      </c>
      <c r="I64" s="564"/>
      <c r="J64" s="259"/>
      <c r="K64" s="259"/>
      <c r="L64" s="259"/>
      <c r="M64" s="259"/>
      <c r="N64" s="259"/>
      <c r="O64" s="259"/>
    </row>
    <row r="65" spans="4:9">
      <c r="D65" s="569" t="s">
        <v>564</v>
      </c>
      <c r="E65" s="570"/>
    </row>
    <row r="66" spans="4:9">
      <c r="G66" s="571" t="s">
        <v>565</v>
      </c>
      <c r="H66" s="566">
        <f>J38</f>
        <v>17900460.370000005</v>
      </c>
    </row>
    <row r="67" spans="4:9">
      <c r="G67" s="571" t="s">
        <v>566</v>
      </c>
      <c r="H67" s="567">
        <f>I38</f>
        <v>870212.5</v>
      </c>
    </row>
    <row r="68" spans="4:9">
      <c r="H68" s="568">
        <f>H66-H67</f>
        <v>17030247.870000005</v>
      </c>
      <c r="I68" s="572" t="s">
        <v>567</v>
      </c>
    </row>
    <row r="70" spans="4:9">
      <c r="G70" s="573" t="str">
        <f>Coversheet!$E$40&amp;" Depreciation expense related to CIAC"</f>
        <v>2018 Depreciation expense related to CIAC</v>
      </c>
      <c r="H70" s="566">
        <f>I36-I24</f>
        <v>51255</v>
      </c>
    </row>
  </sheetData>
  <mergeCells count="3">
    <mergeCell ref="C1:O1"/>
    <mergeCell ref="C2:O2"/>
    <mergeCell ref="C3:O3"/>
  </mergeCells>
  <printOptions horizontalCentered="1" verticalCentered="1"/>
  <pageMargins left="0.2" right="0.2" top="0.25" bottom="0.25" header="0.3" footer="0.3"/>
  <pageSetup scale="60" orientation="portrait" r:id="rId1"/>
  <headerFooter>
    <oddHeader>&amp;L&amp;"Arial MT,Bold"Rochester Public Utilities
2019 Work Papers&amp;R&amp;"Arial MT,Bold"Exhibit RPU-8
Page 7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E19"/>
  <sheetViews>
    <sheetView workbookViewId="0"/>
  </sheetViews>
  <sheetFormatPr defaultColWidth="8.88671875" defaultRowHeight="15"/>
  <cols>
    <col min="1" max="1" width="8.88671875" style="182"/>
    <col min="2" max="2" width="26.88671875" style="182" customWidth="1"/>
    <col min="3" max="3" width="17.44140625" style="182" customWidth="1"/>
    <col min="4" max="4" width="6.6640625" style="182" customWidth="1"/>
    <col min="5" max="5" width="7.77734375" style="182" customWidth="1"/>
    <col min="6" max="16384" width="8.88671875" style="182"/>
  </cols>
  <sheetData>
    <row r="3" spans="1:5" ht="6" customHeight="1"/>
    <row r="4" spans="1:5" ht="6" customHeight="1"/>
    <row r="5" spans="1:5" ht="15.75">
      <c r="A5" s="660" t="str">
        <f>Coversheet!B3</f>
        <v>Rochester Public Utilities</v>
      </c>
      <c r="B5" s="660"/>
      <c r="C5" s="660"/>
      <c r="D5" s="660"/>
      <c r="E5" s="660"/>
    </row>
    <row r="6" spans="1:5" ht="15.75">
      <c r="A6" s="660" t="s">
        <v>511</v>
      </c>
      <c r="B6" s="660"/>
      <c r="C6" s="660"/>
      <c r="D6" s="660"/>
      <c r="E6" s="660"/>
    </row>
    <row r="7" spans="1:5" ht="15.75">
      <c r="A7" s="660" t="str">
        <f>IF('True-up Interest'!$J$12&lt;0.5,CONCATENATE("FLTY Forecast for 12 Months Ended December 31, ",Coversheet!E41),CONCATENATE("True-up Actual for 12 Months Ended December 31, ",Coversheet!E41))</f>
        <v>FLTY Forecast for 12 Months Ended December 31, 2019</v>
      </c>
      <c r="B7" s="660"/>
      <c r="C7" s="660"/>
      <c r="D7" s="660"/>
      <c r="E7" s="660"/>
    </row>
    <row r="10" spans="1:5" ht="18.75" customHeight="1">
      <c r="A10" s="308"/>
      <c r="B10" s="313" t="s">
        <v>223</v>
      </c>
      <c r="C10" s="308"/>
    </row>
    <row r="11" spans="1:5" ht="15.75">
      <c r="A11" s="308"/>
      <c r="B11" s="314" t="s">
        <v>224</v>
      </c>
      <c r="C11" s="311">
        <v>0</v>
      </c>
    </row>
    <row r="12" spans="1:5" ht="15.75">
      <c r="A12" s="308"/>
      <c r="B12" s="314" t="s">
        <v>225</v>
      </c>
      <c r="C12" s="311">
        <v>0</v>
      </c>
    </row>
    <row r="13" spans="1:5" ht="15.75">
      <c r="A13" s="308"/>
      <c r="B13" s="314" t="s">
        <v>226</v>
      </c>
      <c r="C13" s="311">
        <v>0</v>
      </c>
    </row>
    <row r="14" spans="1:5" ht="15.75">
      <c r="A14" s="308"/>
      <c r="B14" s="314" t="s">
        <v>227</v>
      </c>
      <c r="C14" s="311">
        <v>0</v>
      </c>
    </row>
    <row r="15" spans="1:5" ht="15.75">
      <c r="A15" s="308"/>
      <c r="B15" s="314" t="s">
        <v>228</v>
      </c>
      <c r="C15" s="312">
        <v>0</v>
      </c>
    </row>
    <row r="16" spans="1:5" ht="15.75">
      <c r="A16" s="308"/>
      <c r="B16" s="308"/>
      <c r="C16" s="311"/>
    </row>
    <row r="17" spans="1:3" ht="15.75">
      <c r="A17" s="308"/>
      <c r="B17" s="314" t="s">
        <v>229</v>
      </c>
      <c r="C17" s="311">
        <f>SUM(C11:C15)</f>
        <v>0</v>
      </c>
    </row>
    <row r="18" spans="1:3" ht="5.25" customHeight="1">
      <c r="A18" s="308"/>
      <c r="B18" s="308"/>
      <c r="C18" s="308"/>
    </row>
    <row r="19" spans="1:3" ht="5.25" customHeight="1"/>
  </sheetData>
  <mergeCells count="3">
    <mergeCell ref="A5:E5"/>
    <mergeCell ref="A6:E6"/>
    <mergeCell ref="A7:E7"/>
  </mergeCells>
  <pageMargins left="0.7" right="0.7" top="0.75" bottom="0.75" header="0.55000000000000004" footer="0.3"/>
  <pageSetup orientation="landscape" r:id="rId1"/>
  <headerFooter>
    <oddHeader>&amp;L&amp;"Arial MT,Bold"Rochester Public Utilities
2019 Work Papers&amp;R&amp;"Arial MT,Bold"Exhibit RPU-8
Page 8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3:F23"/>
  <sheetViews>
    <sheetView workbookViewId="0"/>
  </sheetViews>
  <sheetFormatPr defaultColWidth="8.88671875" defaultRowHeight="15"/>
  <cols>
    <col min="1" max="1" width="6.21875" style="182" customWidth="1"/>
    <col min="2" max="2" width="8.88671875" style="182"/>
    <col min="3" max="3" width="19.109375" style="182" customWidth="1"/>
    <col min="4" max="4" width="6.21875" style="182" customWidth="1"/>
    <col min="5" max="5" width="23.33203125" style="182" customWidth="1"/>
    <col min="6" max="16384" width="8.88671875" style="182"/>
  </cols>
  <sheetData>
    <row r="3" spans="2:6" ht="15.75">
      <c r="B3" s="660" t="str">
        <f>Coversheet!B3</f>
        <v>Rochester Public Utilities</v>
      </c>
      <c r="C3" s="660"/>
      <c r="D3" s="660"/>
      <c r="E3" s="660"/>
      <c r="F3" s="660"/>
    </row>
    <row r="4" spans="2:6" ht="15.75">
      <c r="B4" s="660" t="s">
        <v>507</v>
      </c>
      <c r="C4" s="660"/>
      <c r="D4" s="660"/>
      <c r="E4" s="660"/>
      <c r="F4" s="660"/>
    </row>
    <row r="5" spans="2:6" ht="15.75">
      <c r="B5" s="660" t="str">
        <f>IF('True-up Interest'!$J$12&lt;0.5,CONCATENATE("FLTY Forecast for 12 Months Ended December 31, ",Coversheet!E41),CONCATENATE("True-up Actual for 12 Months Ended December 31, ",Coversheet!E41))</f>
        <v>FLTY Forecast for 12 Months Ended December 31, 2019</v>
      </c>
      <c r="C5" s="660"/>
      <c r="D5" s="660"/>
      <c r="E5" s="660"/>
      <c r="F5" s="660"/>
    </row>
    <row r="6" spans="2:6" ht="15.75">
      <c r="B6" s="183"/>
      <c r="C6" s="183"/>
      <c r="D6" s="183"/>
      <c r="E6" s="184"/>
    </row>
    <row r="7" spans="2:6" s="185" customFormat="1" ht="50.65" customHeight="1">
      <c r="B7" s="321" t="s">
        <v>198</v>
      </c>
      <c r="C7" s="321" t="s">
        <v>199</v>
      </c>
      <c r="D7" s="321" t="s">
        <v>200</v>
      </c>
      <c r="E7" s="321" t="s">
        <v>230</v>
      </c>
      <c r="F7" s="305"/>
    </row>
    <row r="8" spans="2:6" s="185" customFormat="1" ht="15.75">
      <c r="B8" s="306">
        <v>1</v>
      </c>
      <c r="C8" s="306" t="s">
        <v>196</v>
      </c>
      <c r="D8" s="303">
        <f>Coversheet!E40</f>
        <v>2018</v>
      </c>
      <c r="E8" s="307">
        <v>0</v>
      </c>
      <c r="F8" s="305"/>
    </row>
    <row r="9" spans="2:6" ht="15.75">
      <c r="B9" s="296">
        <v>2</v>
      </c>
      <c r="C9" s="296" t="s">
        <v>185</v>
      </c>
      <c r="D9" s="304">
        <f>Coversheet!E41</f>
        <v>2019</v>
      </c>
      <c r="E9" s="307">
        <v>0</v>
      </c>
      <c r="F9" s="308"/>
    </row>
    <row r="10" spans="2:6" ht="15.75">
      <c r="B10" s="296">
        <v>3</v>
      </c>
      <c r="C10" s="296" t="s">
        <v>186</v>
      </c>
      <c r="D10" s="304">
        <f>D9</f>
        <v>2019</v>
      </c>
      <c r="E10" s="307">
        <v>0</v>
      </c>
      <c r="F10" s="308"/>
    </row>
    <row r="11" spans="2:6" ht="15.75">
      <c r="B11" s="296">
        <v>4</v>
      </c>
      <c r="C11" s="296" t="s">
        <v>187</v>
      </c>
      <c r="D11" s="304">
        <f t="shared" ref="D11:D20" si="0">D10</f>
        <v>2019</v>
      </c>
      <c r="E11" s="307">
        <v>0</v>
      </c>
      <c r="F11" s="308"/>
    </row>
    <row r="12" spans="2:6" ht="15.75">
      <c r="B12" s="296">
        <v>5</v>
      </c>
      <c r="C12" s="296" t="s">
        <v>188</v>
      </c>
      <c r="D12" s="304">
        <f t="shared" si="0"/>
        <v>2019</v>
      </c>
      <c r="E12" s="307">
        <v>0</v>
      </c>
      <c r="F12" s="308"/>
    </row>
    <row r="13" spans="2:6" ht="15.75">
      <c r="B13" s="296">
        <v>6</v>
      </c>
      <c r="C13" s="296" t="s">
        <v>189</v>
      </c>
      <c r="D13" s="304">
        <f t="shared" si="0"/>
        <v>2019</v>
      </c>
      <c r="E13" s="307">
        <v>0</v>
      </c>
      <c r="F13" s="308"/>
    </row>
    <row r="14" spans="2:6" ht="15.75">
      <c r="B14" s="296">
        <v>7</v>
      </c>
      <c r="C14" s="296" t="s">
        <v>190</v>
      </c>
      <c r="D14" s="304">
        <f t="shared" si="0"/>
        <v>2019</v>
      </c>
      <c r="E14" s="307">
        <v>0</v>
      </c>
      <c r="F14" s="308"/>
    </row>
    <row r="15" spans="2:6" ht="15.75">
      <c r="B15" s="296">
        <v>8</v>
      </c>
      <c r="C15" s="296" t="s">
        <v>191</v>
      </c>
      <c r="D15" s="304">
        <f t="shared" si="0"/>
        <v>2019</v>
      </c>
      <c r="E15" s="307">
        <v>0</v>
      </c>
      <c r="F15" s="308"/>
    </row>
    <row r="16" spans="2:6" ht="15.75">
      <c r="B16" s="296">
        <v>9</v>
      </c>
      <c r="C16" s="296" t="s">
        <v>192</v>
      </c>
      <c r="D16" s="304">
        <f t="shared" si="0"/>
        <v>2019</v>
      </c>
      <c r="E16" s="307">
        <v>0</v>
      </c>
      <c r="F16" s="308"/>
    </row>
    <row r="17" spans="2:6" ht="15.75">
      <c r="B17" s="296">
        <v>10</v>
      </c>
      <c r="C17" s="296" t="s">
        <v>193</v>
      </c>
      <c r="D17" s="304">
        <f t="shared" si="0"/>
        <v>2019</v>
      </c>
      <c r="E17" s="307">
        <v>0</v>
      </c>
      <c r="F17" s="308"/>
    </row>
    <row r="18" spans="2:6" ht="15.75">
      <c r="B18" s="296">
        <v>11</v>
      </c>
      <c r="C18" s="296" t="s">
        <v>194</v>
      </c>
      <c r="D18" s="304">
        <f t="shared" si="0"/>
        <v>2019</v>
      </c>
      <c r="E18" s="307">
        <v>0</v>
      </c>
      <c r="F18" s="308"/>
    </row>
    <row r="19" spans="2:6" ht="15.75">
      <c r="B19" s="296">
        <v>12</v>
      </c>
      <c r="C19" s="296" t="s">
        <v>195</v>
      </c>
      <c r="D19" s="304">
        <f t="shared" si="0"/>
        <v>2019</v>
      </c>
      <c r="E19" s="307">
        <v>0</v>
      </c>
      <c r="F19" s="308"/>
    </row>
    <row r="20" spans="2:6" ht="15.75">
      <c r="B20" s="296">
        <v>13</v>
      </c>
      <c r="C20" s="296" t="s">
        <v>196</v>
      </c>
      <c r="D20" s="304">
        <f t="shared" si="0"/>
        <v>2019</v>
      </c>
      <c r="E20" s="309">
        <v>0</v>
      </c>
      <c r="F20" s="308"/>
    </row>
    <row r="21" spans="2:6" ht="15.75">
      <c r="B21" s="296">
        <v>14</v>
      </c>
      <c r="C21" s="308"/>
      <c r="D21" s="308"/>
      <c r="E21" s="308"/>
      <c r="F21" s="308"/>
    </row>
    <row r="22" spans="2:6" ht="15.75">
      <c r="B22" s="296">
        <v>15</v>
      </c>
      <c r="C22" s="297" t="s">
        <v>208</v>
      </c>
      <c r="D22" s="290"/>
      <c r="E22" s="310">
        <f>SUM(E8:E20)/13</f>
        <v>0</v>
      </c>
      <c r="F22" s="308"/>
    </row>
    <row r="23" spans="2:6" ht="15.75">
      <c r="B23" s="308"/>
      <c r="C23" s="308"/>
      <c r="D23" s="308"/>
      <c r="E23" s="308"/>
      <c r="F23" s="308"/>
    </row>
  </sheetData>
  <mergeCells count="3">
    <mergeCell ref="B3:F3"/>
    <mergeCell ref="B4:F4"/>
    <mergeCell ref="B5:F5"/>
  </mergeCells>
  <pageMargins left="0.7" right="0.7" top="1" bottom="0.5" header="0.55000000000000004" footer="0.3"/>
  <pageSetup orientation="landscape" r:id="rId1"/>
  <headerFooter>
    <oddHeader>&amp;L&amp;"Arial MT,Bold"Rochester Public Utilities
2019 Work Papers&amp;R&amp;"Arial MT,Bold"Exhibit RPU-8
Page 9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3:J24"/>
  <sheetViews>
    <sheetView topLeftCell="A4" workbookViewId="0"/>
  </sheetViews>
  <sheetFormatPr defaultColWidth="8.88671875" defaultRowHeight="15"/>
  <cols>
    <col min="1" max="1" width="4.5546875" style="182" customWidth="1"/>
    <col min="2" max="2" width="7.109375" style="182" bestFit="1" customWidth="1"/>
    <col min="3" max="3" width="14.88671875" style="182" bestFit="1" customWidth="1"/>
    <col min="4" max="4" width="4.21875" style="182" bestFit="1" customWidth="1"/>
    <col min="5" max="6" width="9.88671875" style="182" bestFit="1" customWidth="1"/>
    <col min="7" max="7" width="15.44140625" style="182" customWidth="1"/>
    <col min="8" max="8" width="15.109375" style="182" customWidth="1"/>
    <col min="9" max="16384" width="8.88671875" style="182"/>
  </cols>
  <sheetData>
    <row r="3" spans="2:10" ht="15.75">
      <c r="B3" s="660" t="str">
        <f>Coversheet!B3</f>
        <v>Rochester Public Utilities</v>
      </c>
      <c r="C3" s="660"/>
      <c r="D3" s="660"/>
      <c r="E3" s="660"/>
      <c r="F3" s="660"/>
      <c r="G3" s="660"/>
      <c r="H3" s="660"/>
    </row>
    <row r="4" spans="2:10" ht="15.75">
      <c r="B4" s="660" t="s">
        <v>280</v>
      </c>
      <c r="C4" s="660"/>
      <c r="D4" s="660"/>
      <c r="E4" s="660"/>
      <c r="F4" s="660"/>
      <c r="G4" s="660"/>
      <c r="H4" s="660"/>
    </row>
    <row r="5" spans="2:10" ht="15.75">
      <c r="B5" s="660" t="str">
        <f>IF('True-up Interest'!$J$12&lt;0.5,CONCATENATE("FLTY Forecast for 12 Months Ended December 31, ",Coversheet!E41),CONCATENATE("True-up Actual for 12 Months Ended December 31, ",Coversheet!E41))</f>
        <v>FLTY Forecast for 12 Months Ended December 31, 2019</v>
      </c>
      <c r="C5" s="660"/>
      <c r="D5" s="660"/>
      <c r="E5" s="660"/>
      <c r="F5" s="660"/>
      <c r="G5" s="660"/>
      <c r="H5" s="660"/>
    </row>
    <row r="6" spans="2:10" ht="15.75">
      <c r="B6" s="290"/>
      <c r="C6" s="290"/>
      <c r="D6" s="290"/>
      <c r="E6" s="290"/>
      <c r="F6" s="290"/>
      <c r="G6" s="291"/>
      <c r="H6" s="292"/>
      <c r="J6" s="225"/>
    </row>
    <row r="7" spans="2:10" s="185" customFormat="1" ht="46.5" customHeight="1">
      <c r="B7" s="293" t="s">
        <v>198</v>
      </c>
      <c r="C7" s="293" t="s">
        <v>199</v>
      </c>
      <c r="D7" s="293" t="s">
        <v>200</v>
      </c>
      <c r="E7" s="478" t="s">
        <v>553</v>
      </c>
      <c r="F7" s="478" t="s">
        <v>554</v>
      </c>
      <c r="G7" s="293" t="s">
        <v>281</v>
      </c>
      <c r="H7" s="293" t="s">
        <v>282</v>
      </c>
    </row>
    <row r="8" spans="2:10" s="185" customFormat="1">
      <c r="B8" s="294">
        <v>1</v>
      </c>
      <c r="C8" s="294" t="s">
        <v>196</v>
      </c>
      <c r="D8" s="301">
        <f>Coversheet!E40</f>
        <v>2018</v>
      </c>
      <c r="E8" s="479">
        <v>6049200</v>
      </c>
      <c r="F8" s="479">
        <v>5629200</v>
      </c>
      <c r="G8" s="479">
        <v>420000</v>
      </c>
      <c r="H8" s="479">
        <v>750000</v>
      </c>
      <c r="I8" s="547"/>
    </row>
    <row r="9" spans="2:10">
      <c r="B9" s="295">
        <v>2</v>
      </c>
      <c r="C9" s="295" t="s">
        <v>185</v>
      </c>
      <c r="D9" s="302">
        <f>Coversheet!E41</f>
        <v>2019</v>
      </c>
      <c r="E9" s="476">
        <v>5941125</v>
      </c>
      <c r="F9" s="476">
        <v>5516125</v>
      </c>
      <c r="G9" s="476">
        <v>425000</v>
      </c>
      <c r="H9" s="476">
        <v>768100</v>
      </c>
      <c r="I9" s="548"/>
    </row>
    <row r="10" spans="2:10" ht="15.75">
      <c r="B10" s="295">
        <v>3</v>
      </c>
      <c r="C10" s="296" t="s">
        <v>186</v>
      </c>
      <c r="D10" s="302">
        <f>D9</f>
        <v>2019</v>
      </c>
      <c r="E10" s="476">
        <v>5833050</v>
      </c>
      <c r="F10" s="476">
        <v>5408050</v>
      </c>
      <c r="G10" s="476">
        <v>425000</v>
      </c>
      <c r="H10" s="476">
        <v>786200</v>
      </c>
      <c r="I10" s="548"/>
    </row>
    <row r="11" spans="2:10" ht="15.75">
      <c r="B11" s="295">
        <v>4</v>
      </c>
      <c r="C11" s="296" t="s">
        <v>187</v>
      </c>
      <c r="D11" s="302">
        <f t="shared" ref="D11:D20" si="0">D10</f>
        <v>2019</v>
      </c>
      <c r="E11" s="476">
        <v>5724975</v>
      </c>
      <c r="F11" s="476">
        <v>5299975</v>
      </c>
      <c r="G11" s="476">
        <v>425000</v>
      </c>
      <c r="H11" s="476">
        <v>804300</v>
      </c>
      <c r="I11" s="548"/>
    </row>
    <row r="12" spans="2:10" ht="15.75">
      <c r="B12" s="295">
        <v>5</v>
      </c>
      <c r="C12" s="296" t="s">
        <v>188</v>
      </c>
      <c r="D12" s="302">
        <f t="shared" si="0"/>
        <v>2019</v>
      </c>
      <c r="E12" s="476">
        <v>5616900</v>
      </c>
      <c r="F12" s="476">
        <v>5191900</v>
      </c>
      <c r="G12" s="476">
        <v>425000</v>
      </c>
      <c r="H12" s="476">
        <v>822400</v>
      </c>
      <c r="I12" s="548"/>
    </row>
    <row r="13" spans="2:10" ht="15.75">
      <c r="B13" s="295">
        <v>6</v>
      </c>
      <c r="C13" s="296" t="s">
        <v>189</v>
      </c>
      <c r="D13" s="302">
        <f t="shared" si="0"/>
        <v>2019</v>
      </c>
      <c r="E13" s="476">
        <v>5508825</v>
      </c>
      <c r="F13" s="476">
        <v>5083825</v>
      </c>
      <c r="G13" s="476">
        <v>425000</v>
      </c>
      <c r="H13" s="476">
        <v>840500</v>
      </c>
      <c r="I13" s="548"/>
    </row>
    <row r="14" spans="2:10" ht="15.75">
      <c r="B14" s="295">
        <v>7</v>
      </c>
      <c r="C14" s="296" t="s">
        <v>190</v>
      </c>
      <c r="D14" s="302">
        <f t="shared" si="0"/>
        <v>2019</v>
      </c>
      <c r="E14" s="476">
        <v>5400750</v>
      </c>
      <c r="F14" s="476">
        <v>4975750</v>
      </c>
      <c r="G14" s="476">
        <v>425000</v>
      </c>
      <c r="H14" s="476">
        <v>858600</v>
      </c>
      <c r="I14" s="548"/>
    </row>
    <row r="15" spans="2:10" ht="15.75">
      <c r="B15" s="295">
        <v>8</v>
      </c>
      <c r="C15" s="296" t="s">
        <v>191</v>
      </c>
      <c r="D15" s="302">
        <f t="shared" si="0"/>
        <v>2019</v>
      </c>
      <c r="E15" s="476">
        <v>5292675</v>
      </c>
      <c r="F15" s="476">
        <v>4867675</v>
      </c>
      <c r="G15" s="476">
        <v>425000</v>
      </c>
      <c r="H15" s="476">
        <v>876700</v>
      </c>
      <c r="I15" s="548"/>
    </row>
    <row r="16" spans="2:10" ht="15.75">
      <c r="B16" s="295">
        <v>9</v>
      </c>
      <c r="C16" s="296" t="s">
        <v>192</v>
      </c>
      <c r="D16" s="302">
        <f t="shared" si="0"/>
        <v>2019</v>
      </c>
      <c r="E16" s="476">
        <v>5184600</v>
      </c>
      <c r="F16" s="476">
        <v>4759600</v>
      </c>
      <c r="G16" s="476">
        <v>425000</v>
      </c>
      <c r="H16" s="476">
        <v>894800</v>
      </c>
      <c r="I16" s="548"/>
    </row>
    <row r="17" spans="2:9" ht="15.75">
      <c r="B17" s="295">
        <v>10</v>
      </c>
      <c r="C17" s="296" t="s">
        <v>193</v>
      </c>
      <c r="D17" s="302">
        <f t="shared" si="0"/>
        <v>2019</v>
      </c>
      <c r="E17" s="476">
        <v>5076525</v>
      </c>
      <c r="F17" s="476">
        <v>4651525</v>
      </c>
      <c r="G17" s="476">
        <v>425000</v>
      </c>
      <c r="H17" s="476">
        <v>912900</v>
      </c>
      <c r="I17" s="548"/>
    </row>
    <row r="18" spans="2:9" ht="15.75">
      <c r="B18" s="295">
        <v>11</v>
      </c>
      <c r="C18" s="296" t="s">
        <v>194</v>
      </c>
      <c r="D18" s="302">
        <f t="shared" si="0"/>
        <v>2019</v>
      </c>
      <c r="E18" s="476">
        <v>4968450</v>
      </c>
      <c r="F18" s="476">
        <v>4543450</v>
      </c>
      <c r="G18" s="476">
        <v>425000</v>
      </c>
      <c r="H18" s="476">
        <v>931000</v>
      </c>
      <c r="I18" s="548"/>
    </row>
    <row r="19" spans="2:9" ht="15.75">
      <c r="B19" s="295">
        <v>12</v>
      </c>
      <c r="C19" s="296" t="s">
        <v>195</v>
      </c>
      <c r="D19" s="302">
        <f t="shared" si="0"/>
        <v>2019</v>
      </c>
      <c r="E19" s="476">
        <v>4860375</v>
      </c>
      <c r="F19" s="476">
        <v>4435375</v>
      </c>
      <c r="G19" s="476">
        <v>425000</v>
      </c>
      <c r="H19" s="476">
        <v>949100</v>
      </c>
      <c r="I19" s="548"/>
    </row>
    <row r="20" spans="2:9" ht="15.75">
      <c r="B20" s="295">
        <v>13</v>
      </c>
      <c r="C20" s="296" t="s">
        <v>196</v>
      </c>
      <c r="D20" s="302">
        <f t="shared" si="0"/>
        <v>2019</v>
      </c>
      <c r="E20" s="476">
        <f>'Balance sheet Sched 2'!C41</f>
        <v>4698900</v>
      </c>
      <c r="F20" s="476">
        <v>4327300</v>
      </c>
      <c r="G20" s="476">
        <f t="shared" ref="G20" si="1">G19</f>
        <v>425000</v>
      </c>
      <c r="H20" s="476">
        <f>'Balance sheet Sched 2'!C43</f>
        <v>967700</v>
      </c>
      <c r="I20" s="548"/>
    </row>
    <row r="21" spans="2:9">
      <c r="B21" s="295">
        <v>14</v>
      </c>
      <c r="C21" s="292"/>
      <c r="D21" s="292"/>
      <c r="E21" s="475"/>
      <c r="F21" s="475"/>
      <c r="G21" s="295"/>
      <c r="H21" s="295"/>
    </row>
    <row r="22" spans="2:9" ht="16.5">
      <c r="B22" s="295">
        <v>15</v>
      </c>
      <c r="C22" s="297" t="s">
        <v>208</v>
      </c>
      <c r="D22" s="298"/>
      <c r="E22" s="474"/>
      <c r="F22" s="474"/>
      <c r="G22" s="382">
        <f>SUM(G8:G20)/13</f>
        <v>424615.38461538462</v>
      </c>
      <c r="H22" s="382">
        <f t="shared" ref="H22" si="2">SUM(H8:H20)/13</f>
        <v>858638.4615384615</v>
      </c>
    </row>
    <row r="23" spans="2:9">
      <c r="B23" s="292"/>
      <c r="C23" s="292"/>
      <c r="D23" s="292"/>
      <c r="E23" s="292"/>
      <c r="F23" s="292"/>
      <c r="G23" s="292"/>
      <c r="H23" s="292"/>
    </row>
    <row r="24" spans="2:9">
      <c r="B24" s="292"/>
      <c r="C24" s="403" t="s">
        <v>209</v>
      </c>
      <c r="D24" s="403"/>
      <c r="E24" s="403"/>
      <c r="F24" s="403"/>
      <c r="G24" s="403" t="s">
        <v>231</v>
      </c>
      <c r="H24" s="403" t="s">
        <v>232</v>
      </c>
    </row>
  </sheetData>
  <mergeCells count="3">
    <mergeCell ref="B3:H3"/>
    <mergeCell ref="B4:H4"/>
    <mergeCell ref="B5:H5"/>
  </mergeCells>
  <pageMargins left="0.7" right="0.7" top="1" bottom="0.75" header="0.55000000000000004" footer="0.3"/>
  <pageSetup orientation="landscape" r:id="rId1"/>
  <headerFooter>
    <oddHeader>&amp;L&amp;"Arial MT,Bold"Rochester Public Utilities
2019 Work Papers&amp;R&amp;"Arial MT,Bold"Exhibit RPU-8
Page 10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E3:AA39"/>
  <sheetViews>
    <sheetView topLeftCell="G8" workbookViewId="0">
      <selection activeCell="J10" sqref="J10"/>
    </sheetView>
  </sheetViews>
  <sheetFormatPr defaultColWidth="8.88671875" defaultRowHeight="15"/>
  <cols>
    <col min="1" max="2" width="8.88671875" style="182"/>
    <col min="3" max="4" width="1.33203125" style="182" customWidth="1"/>
    <col min="5" max="5" width="8.88671875" style="182"/>
    <col min="6" max="6" width="14.5546875" style="182" customWidth="1"/>
    <col min="7" max="7" width="10.33203125" style="182" customWidth="1"/>
    <col min="8" max="8" width="13.5546875" style="182" bestFit="1" customWidth="1"/>
    <col min="9" max="9" width="12.44140625" style="182" bestFit="1" customWidth="1"/>
    <col min="10" max="11" width="13.109375" style="182" bestFit="1" customWidth="1"/>
    <col min="12" max="12" width="14.109375" style="182" bestFit="1" customWidth="1"/>
    <col min="13" max="14" width="12.5546875" style="182" bestFit="1" customWidth="1"/>
    <col min="15" max="15" width="11" style="182" bestFit="1" customWidth="1"/>
    <col min="16" max="16" width="11.77734375" style="182" bestFit="1" customWidth="1"/>
    <col min="17" max="17" width="10.77734375" style="182" bestFit="1" customWidth="1"/>
    <col min="18" max="26" width="10" style="182" bestFit="1" customWidth="1"/>
    <col min="27" max="16384" width="8.88671875" style="182"/>
  </cols>
  <sheetData>
    <row r="3" spans="5:12" ht="5.25" customHeight="1"/>
    <row r="4" spans="5:12" ht="5.25" customHeight="1"/>
    <row r="5" spans="5:12" ht="15.75">
      <c r="E5" s="660" t="str">
        <f>Coversheet!B3</f>
        <v>Rochester Public Utilities</v>
      </c>
      <c r="F5" s="660"/>
      <c r="G5" s="660"/>
      <c r="H5" s="660"/>
      <c r="I5" s="660"/>
      <c r="J5" s="660"/>
      <c r="K5" s="660"/>
      <c r="L5" s="660"/>
    </row>
    <row r="6" spans="5:12" ht="15.75">
      <c r="E6" s="660" t="s">
        <v>233</v>
      </c>
      <c r="F6" s="660"/>
      <c r="G6" s="660"/>
      <c r="H6" s="660"/>
      <c r="I6" s="660"/>
      <c r="J6" s="660"/>
      <c r="K6" s="660"/>
      <c r="L6" s="660"/>
    </row>
    <row r="7" spans="5:12" ht="15.75">
      <c r="E7" s="660" t="str">
        <f>IF('True-up Interest'!$J$12&lt;0.5,CONCATENATE("FLTY Forecast for 12 Months Ended December 31, ",Coversheet!E41),CONCATENATE("True-up Actual for 12 Months Ended December 31, ",Coversheet!E41))</f>
        <v>FLTY Forecast for 12 Months Ended December 31, 2019</v>
      </c>
      <c r="F7" s="660"/>
      <c r="G7" s="660"/>
      <c r="H7" s="660"/>
      <c r="I7" s="660"/>
      <c r="J7" s="660"/>
      <c r="K7" s="660"/>
      <c r="L7" s="660"/>
    </row>
    <row r="8" spans="5:12" ht="15.75">
      <c r="E8" s="290"/>
      <c r="F8" s="290"/>
      <c r="G8" s="290"/>
      <c r="H8" s="291"/>
      <c r="I8" s="291"/>
      <c r="J8" s="291"/>
      <c r="K8" s="291"/>
      <c r="L8" s="292"/>
    </row>
    <row r="9" spans="5:12" s="185" customFormat="1" ht="62.25" customHeight="1">
      <c r="E9" s="293" t="s">
        <v>198</v>
      </c>
      <c r="F9" s="293" t="s">
        <v>199</v>
      </c>
      <c r="G9" s="293" t="s">
        <v>200</v>
      </c>
      <c r="H9" s="293" t="s">
        <v>234</v>
      </c>
      <c r="I9" s="293" t="s">
        <v>573</v>
      </c>
      <c r="J9" s="293" t="s">
        <v>464</v>
      </c>
      <c r="K9" s="293" t="s">
        <v>465</v>
      </c>
      <c r="L9" s="293" t="s">
        <v>381</v>
      </c>
    </row>
    <row r="10" spans="5:12" s="185" customFormat="1">
      <c r="E10" s="294">
        <v>1</v>
      </c>
      <c r="F10" s="294" t="s">
        <v>196</v>
      </c>
      <c r="G10" s="301">
        <f>Coversheet!E40</f>
        <v>2018</v>
      </c>
      <c r="H10" s="541">
        <v>176865000</v>
      </c>
      <c r="I10" s="541">
        <v>0</v>
      </c>
      <c r="J10" s="542">
        <v>20982130</v>
      </c>
      <c r="K10" s="542">
        <v>81790</v>
      </c>
      <c r="L10" s="542">
        <v>137988314</v>
      </c>
    </row>
    <row r="11" spans="5:12">
      <c r="E11" s="295">
        <v>2</v>
      </c>
      <c r="F11" s="295" t="s">
        <v>185</v>
      </c>
      <c r="G11" s="302">
        <f>Coversheet!E41</f>
        <v>2019</v>
      </c>
      <c r="H11" s="543">
        <f>H10</f>
        <v>176865000</v>
      </c>
      <c r="I11" s="543">
        <v>0</v>
      </c>
      <c r="J11" s="544">
        <v>20821626</v>
      </c>
      <c r="K11" s="544">
        <v>81332</v>
      </c>
      <c r="L11" s="544">
        <v>138959625</v>
      </c>
    </row>
    <row r="12" spans="5:12" ht="15.75">
      <c r="E12" s="295">
        <v>3</v>
      </c>
      <c r="F12" s="296" t="s">
        <v>186</v>
      </c>
      <c r="G12" s="302">
        <f>G11</f>
        <v>2019</v>
      </c>
      <c r="H12" s="543">
        <f t="shared" ref="H12:H21" si="0">H11</f>
        <v>176865000</v>
      </c>
      <c r="I12" s="543">
        <v>0</v>
      </c>
      <c r="J12" s="544">
        <v>20661122</v>
      </c>
      <c r="K12" s="544">
        <v>80874</v>
      </c>
      <c r="L12" s="544">
        <v>139930936</v>
      </c>
    </row>
    <row r="13" spans="5:12" ht="15.75">
      <c r="E13" s="295">
        <v>4</v>
      </c>
      <c r="F13" s="296" t="s">
        <v>187</v>
      </c>
      <c r="G13" s="302">
        <f t="shared" ref="G13:G22" si="1">G12</f>
        <v>2019</v>
      </c>
      <c r="H13" s="543">
        <f t="shared" si="0"/>
        <v>176865000</v>
      </c>
      <c r="I13" s="543">
        <v>0</v>
      </c>
      <c r="J13" s="544">
        <v>20500618</v>
      </c>
      <c r="K13" s="544">
        <v>80416</v>
      </c>
      <c r="L13" s="544">
        <v>140902247</v>
      </c>
    </row>
    <row r="14" spans="5:12" ht="15.75">
      <c r="E14" s="295">
        <v>5</v>
      </c>
      <c r="F14" s="296" t="s">
        <v>188</v>
      </c>
      <c r="G14" s="302">
        <f t="shared" si="1"/>
        <v>2019</v>
      </c>
      <c r="H14" s="543">
        <f t="shared" si="0"/>
        <v>176865000</v>
      </c>
      <c r="I14" s="543">
        <v>0</v>
      </c>
      <c r="J14" s="544">
        <v>20340114</v>
      </c>
      <c r="K14" s="544">
        <v>79958</v>
      </c>
      <c r="L14" s="544">
        <v>141873558</v>
      </c>
    </row>
    <row r="15" spans="5:12" ht="15.75">
      <c r="E15" s="295">
        <v>6</v>
      </c>
      <c r="F15" s="296" t="s">
        <v>189</v>
      </c>
      <c r="G15" s="302">
        <f t="shared" si="1"/>
        <v>2019</v>
      </c>
      <c r="H15" s="543">
        <f t="shared" si="0"/>
        <v>176865000</v>
      </c>
      <c r="I15" s="543">
        <v>0</v>
      </c>
      <c r="J15" s="544">
        <v>20179610</v>
      </c>
      <c r="K15" s="544">
        <v>79500</v>
      </c>
      <c r="L15" s="544">
        <v>142844869</v>
      </c>
    </row>
    <row r="16" spans="5:12" ht="15.75">
      <c r="E16" s="295">
        <v>7</v>
      </c>
      <c r="F16" s="296" t="s">
        <v>190</v>
      </c>
      <c r="G16" s="302">
        <f t="shared" si="1"/>
        <v>2019</v>
      </c>
      <c r="H16" s="543">
        <f t="shared" si="0"/>
        <v>176865000</v>
      </c>
      <c r="I16" s="543">
        <v>0</v>
      </c>
      <c r="J16" s="544">
        <v>20019106</v>
      </c>
      <c r="K16" s="544">
        <v>79042</v>
      </c>
      <c r="L16" s="544">
        <v>143816180</v>
      </c>
    </row>
    <row r="17" spans="5:27" ht="15.75">
      <c r="E17" s="295">
        <v>8</v>
      </c>
      <c r="F17" s="296" t="s">
        <v>191</v>
      </c>
      <c r="G17" s="302">
        <f t="shared" si="1"/>
        <v>2019</v>
      </c>
      <c r="H17" s="543">
        <f t="shared" si="0"/>
        <v>176865000</v>
      </c>
      <c r="I17" s="543">
        <v>0</v>
      </c>
      <c r="J17" s="544">
        <v>19858602</v>
      </c>
      <c r="K17" s="544">
        <v>78584</v>
      </c>
      <c r="L17" s="544">
        <v>144787491</v>
      </c>
    </row>
    <row r="18" spans="5:27" ht="15.75">
      <c r="E18" s="295">
        <v>9</v>
      </c>
      <c r="F18" s="296" t="s">
        <v>192</v>
      </c>
      <c r="G18" s="302">
        <f t="shared" si="1"/>
        <v>2019</v>
      </c>
      <c r="H18" s="543">
        <f t="shared" si="0"/>
        <v>176865000</v>
      </c>
      <c r="I18" s="543">
        <v>0</v>
      </c>
      <c r="J18" s="544">
        <v>19698098</v>
      </c>
      <c r="K18" s="544">
        <v>78126</v>
      </c>
      <c r="L18" s="544">
        <v>145758802</v>
      </c>
    </row>
    <row r="19" spans="5:27" ht="15.75">
      <c r="E19" s="295">
        <v>10</v>
      </c>
      <c r="F19" s="296" t="s">
        <v>193</v>
      </c>
      <c r="G19" s="302">
        <f t="shared" si="1"/>
        <v>2019</v>
      </c>
      <c r="H19" s="543">
        <f t="shared" si="0"/>
        <v>176865000</v>
      </c>
      <c r="I19" s="543">
        <v>0</v>
      </c>
      <c r="J19" s="544">
        <v>19537594</v>
      </c>
      <c r="K19" s="544">
        <v>77668</v>
      </c>
      <c r="L19" s="544">
        <v>146730113</v>
      </c>
    </row>
    <row r="20" spans="5:27" ht="15.75">
      <c r="E20" s="295">
        <v>11</v>
      </c>
      <c r="F20" s="296" t="s">
        <v>194</v>
      </c>
      <c r="G20" s="302">
        <f t="shared" si="1"/>
        <v>2019</v>
      </c>
      <c r="H20" s="543">
        <f t="shared" si="0"/>
        <v>176865000</v>
      </c>
      <c r="I20" s="543">
        <v>0</v>
      </c>
      <c r="J20" s="544">
        <v>19377090</v>
      </c>
      <c r="K20" s="544">
        <v>77210</v>
      </c>
      <c r="L20" s="544">
        <v>147701424</v>
      </c>
    </row>
    <row r="21" spans="5:27" ht="15.75">
      <c r="E21" s="295">
        <v>12</v>
      </c>
      <c r="F21" s="296" t="s">
        <v>195</v>
      </c>
      <c r="G21" s="302">
        <f t="shared" si="1"/>
        <v>2019</v>
      </c>
      <c r="H21" s="543">
        <f t="shared" si="0"/>
        <v>176865000</v>
      </c>
      <c r="I21" s="543">
        <v>0</v>
      </c>
      <c r="J21" s="544">
        <v>19216586</v>
      </c>
      <c r="K21" s="544">
        <v>76752</v>
      </c>
      <c r="L21" s="544">
        <v>148672735</v>
      </c>
    </row>
    <row r="22" spans="5:27" ht="15.75">
      <c r="E22" s="295">
        <v>13</v>
      </c>
      <c r="F22" s="296" t="s">
        <v>196</v>
      </c>
      <c r="G22" s="302">
        <f t="shared" si="1"/>
        <v>2019</v>
      </c>
      <c r="H22" s="545">
        <f>'Balance sheet Sched 2'!F20</f>
        <v>171180000</v>
      </c>
      <c r="I22" s="545">
        <f>'Balance sheet Sched 2'!F22</f>
        <v>0</v>
      </c>
      <c r="J22" s="546">
        <f>'Balance sheet Sched 2'!F24</f>
        <v>19056084</v>
      </c>
      <c r="K22" s="546">
        <f>'Balance sheet Sched 2'!F26</f>
        <v>76291</v>
      </c>
      <c r="L22" s="546">
        <f>'Balance sheet Sched 2'!F16</f>
        <v>149644047</v>
      </c>
    </row>
    <row r="23" spans="5:27">
      <c r="E23" s="295">
        <v>14</v>
      </c>
      <c r="F23" s="235" t="s">
        <v>361</v>
      </c>
      <c r="G23" s="235"/>
      <c r="H23" s="403" t="s">
        <v>362</v>
      </c>
      <c r="I23" s="403" t="s">
        <v>574</v>
      </c>
      <c r="J23" s="404" t="s">
        <v>405</v>
      </c>
      <c r="K23" s="404" t="s">
        <v>363</v>
      </c>
      <c r="L23" s="403" t="s">
        <v>406</v>
      </c>
      <c r="M23" s="186"/>
      <c r="N23" s="186"/>
      <c r="O23" s="186"/>
      <c r="P23" s="186"/>
      <c r="Q23" s="186"/>
      <c r="R23" s="186"/>
      <c r="S23" s="186"/>
    </row>
    <row r="24" spans="5:27" ht="16.5">
      <c r="E24" s="295">
        <v>15</v>
      </c>
      <c r="F24" s="297" t="s">
        <v>208</v>
      </c>
      <c r="G24" s="298"/>
      <c r="H24" s="299">
        <f>SUM(H10:H22)/13</f>
        <v>176427692.30769232</v>
      </c>
      <c r="I24" s="299">
        <f>SUM(I10:I22)/13</f>
        <v>0</v>
      </c>
      <c r="J24" s="299">
        <f>SUM(J10:J22)/13</f>
        <v>20019106.153846152</v>
      </c>
      <c r="K24" s="299">
        <f>SUM(K10:K22)/13</f>
        <v>79041.769230769234</v>
      </c>
      <c r="L24" s="299">
        <f t="shared" ref="L24" si="2">SUM(L10:L22)/13</f>
        <v>143816180.07692307</v>
      </c>
    </row>
    <row r="25" spans="5:27">
      <c r="E25" s="292"/>
      <c r="F25" s="292"/>
      <c r="G25" s="292"/>
      <c r="H25" s="292"/>
      <c r="I25" s="292"/>
      <c r="J25" s="292"/>
      <c r="K25" s="292"/>
      <c r="L25" s="300"/>
    </row>
    <row r="26" spans="5:27" s="495" customFormat="1" ht="25.5">
      <c r="F26" s="403"/>
      <c r="G26" s="403"/>
      <c r="H26" s="403"/>
      <c r="I26" s="494" t="s">
        <v>577</v>
      </c>
      <c r="J26" s="403"/>
      <c r="K26" s="403"/>
      <c r="L26" s="489" t="s">
        <v>576</v>
      </c>
      <c r="M26" s="496"/>
      <c r="N26" s="496"/>
      <c r="O26" s="496"/>
      <c r="P26" s="496"/>
      <c r="Q26" s="496"/>
      <c r="R26" s="496"/>
      <c r="S26" s="496"/>
    </row>
    <row r="27" spans="5:27" s="495" customFormat="1" ht="12.75">
      <c r="H27" s="490" t="str">
        <f>H9</f>
        <v>Outstanding Long-term Debt</v>
      </c>
      <c r="I27" s="491">
        <f>H24</f>
        <v>176427692.30769232</v>
      </c>
      <c r="J27" s="491"/>
      <c r="K27" s="491"/>
      <c r="L27" s="491"/>
      <c r="M27" s="491"/>
      <c r="N27" s="491"/>
      <c r="O27" s="491"/>
      <c r="P27" s="491"/>
      <c r="Q27" s="491"/>
      <c r="R27" s="491"/>
    </row>
    <row r="28" spans="5:27" s="495" customFormat="1" ht="12.75">
      <c r="H28" s="490" t="str">
        <f>I9</f>
        <v>Other Long-term Debt</v>
      </c>
      <c r="I28" s="491">
        <f>I24</f>
        <v>0</v>
      </c>
    </row>
    <row r="29" spans="5:27" s="495" customFormat="1" ht="12.75">
      <c r="H29" s="492" t="str">
        <f>J9</f>
        <v>Unamortized Premium on Long-term Debt</v>
      </c>
      <c r="I29" s="491">
        <f>J24</f>
        <v>20019106.153846152</v>
      </c>
    </row>
    <row r="30" spans="5:27" s="495" customFormat="1" ht="12.75">
      <c r="H30" s="492" t="str">
        <f>K9</f>
        <v>Unamortized Discount on Long-term Debt</v>
      </c>
      <c r="I30" s="491">
        <f>-K24</f>
        <v>-79041.769230769234</v>
      </c>
    </row>
    <row r="31" spans="5:27" s="495" customFormat="1" ht="12.75">
      <c r="H31" s="488" t="s">
        <v>575</v>
      </c>
      <c r="I31" s="493">
        <f>SUM(I27:I30)</f>
        <v>196367756.69230768</v>
      </c>
      <c r="N31" s="234"/>
      <c r="O31" s="234"/>
      <c r="P31" s="234"/>
      <c r="Q31" s="234"/>
      <c r="R31" s="234"/>
      <c r="S31" s="234"/>
      <c r="T31" s="234"/>
      <c r="U31" s="234"/>
      <c r="V31" s="234"/>
      <c r="W31" s="234"/>
      <c r="X31" s="234"/>
      <c r="Y31" s="234"/>
      <c r="Z31" s="234"/>
      <c r="AA31" s="234"/>
    </row>
    <row r="32" spans="5:27">
      <c r="N32"/>
      <c r="O32"/>
      <c r="P32"/>
      <c r="Q32"/>
      <c r="R32"/>
      <c r="S32"/>
      <c r="T32"/>
      <c r="U32"/>
      <c r="V32"/>
      <c r="W32"/>
      <c r="X32"/>
      <c r="Y32"/>
      <c r="Z32"/>
      <c r="AA32"/>
    </row>
    <row r="33" spans="8:27">
      <c r="N33"/>
      <c r="O33"/>
      <c r="P33"/>
      <c r="Q33"/>
      <c r="R33"/>
      <c r="S33"/>
      <c r="T33"/>
      <c r="U33"/>
      <c r="V33"/>
      <c r="W33"/>
      <c r="X33"/>
      <c r="Y33"/>
      <c r="Z33"/>
      <c r="AA33"/>
    </row>
    <row r="34" spans="8:27">
      <c r="N34"/>
      <c r="O34"/>
      <c r="P34"/>
      <c r="Q34"/>
      <c r="R34"/>
      <c r="S34"/>
      <c r="T34"/>
      <c r="U34"/>
      <c r="V34"/>
      <c r="W34"/>
      <c r="X34"/>
      <c r="Y34"/>
      <c r="Z34"/>
      <c r="AA34"/>
    </row>
    <row r="35" spans="8:27">
      <c r="N35"/>
      <c r="O35"/>
      <c r="P35"/>
      <c r="Q35"/>
      <c r="R35"/>
      <c r="S35"/>
      <c r="T35"/>
      <c r="U35"/>
      <c r="V35"/>
      <c r="W35"/>
      <c r="X35"/>
      <c r="Y35"/>
      <c r="Z35"/>
      <c r="AA35"/>
    </row>
    <row r="36" spans="8:27">
      <c r="N36"/>
      <c r="O36"/>
      <c r="P36"/>
      <c r="Q36"/>
      <c r="R36"/>
      <c r="S36"/>
      <c r="T36"/>
      <c r="U36"/>
      <c r="V36"/>
      <c r="W36"/>
      <c r="X36"/>
      <c r="Y36"/>
      <c r="Z36"/>
      <c r="AA36"/>
    </row>
    <row r="37" spans="8:27">
      <c r="N37"/>
      <c r="O37"/>
      <c r="P37"/>
      <c r="Q37"/>
      <c r="R37"/>
      <c r="S37"/>
      <c r="T37"/>
      <c r="U37"/>
      <c r="V37"/>
      <c r="W37"/>
      <c r="X37"/>
      <c r="Y37"/>
      <c r="Z37"/>
      <c r="AA37"/>
    </row>
    <row r="39" spans="8:27">
      <c r="H39" s="229"/>
      <c r="I39" s="229"/>
    </row>
  </sheetData>
  <mergeCells count="3">
    <mergeCell ref="E5:L5"/>
    <mergeCell ref="E6:L6"/>
    <mergeCell ref="E7:L7"/>
  </mergeCells>
  <pageMargins left="0.2" right="0.45" top="0.75" bottom="0.5" header="0.55000000000000004" footer="0.3"/>
  <pageSetup orientation="landscape" r:id="rId1"/>
  <headerFooter>
    <oddHeader>&amp;L&amp;"Arial MT,Bold"Rochester Public Utilities
2019 Work Papers&amp;R&amp;"Arial MT,Bold"Exhibit RPU-8
Page 11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75"/>
  <sheetViews>
    <sheetView workbookViewId="0">
      <selection activeCell="C9" sqref="C9:C11"/>
    </sheetView>
  </sheetViews>
  <sheetFormatPr defaultColWidth="8.88671875" defaultRowHeight="15"/>
  <cols>
    <col min="1" max="1" width="61.77734375" style="181" customWidth="1"/>
    <col min="2" max="2" width="7.88671875" style="181" customWidth="1"/>
    <col min="3" max="3" width="12.44140625" style="526" bestFit="1" customWidth="1"/>
    <col min="4" max="16384" width="8.88671875" style="181"/>
  </cols>
  <sheetData>
    <row r="1" spans="1:4" ht="18.75">
      <c r="A1" s="663" t="str">
        <f>Coversheet!B3</f>
        <v>Rochester Public Utilities</v>
      </c>
      <c r="B1" s="663"/>
      <c r="C1" s="663"/>
      <c r="D1" s="201"/>
    </row>
    <row r="2" spans="1:4" ht="18.75">
      <c r="A2" s="663" t="s">
        <v>512</v>
      </c>
      <c r="B2" s="663"/>
      <c r="C2" s="663"/>
      <c r="D2" s="201"/>
    </row>
    <row r="3" spans="1:4" ht="18.75">
      <c r="A3" s="663" t="str">
        <f>'Capital Structure'!E7</f>
        <v>FLTY Forecast for 12 Months Ended December 31, 2019</v>
      </c>
      <c r="B3" s="663"/>
      <c r="C3" s="663"/>
      <c r="D3" s="201"/>
    </row>
    <row r="5" spans="1:4" ht="15.75">
      <c r="A5" s="187" t="s">
        <v>513</v>
      </c>
      <c r="C5" s="533" t="s">
        <v>3</v>
      </c>
    </row>
    <row r="6" spans="1:4" ht="15.75">
      <c r="A6" s="189" t="s">
        <v>152</v>
      </c>
      <c r="B6" s="190"/>
    </row>
    <row r="7" spans="1:4" ht="15.75">
      <c r="A7" s="191" t="s">
        <v>235</v>
      </c>
      <c r="B7" s="190"/>
      <c r="C7" s="517">
        <v>75100</v>
      </c>
    </row>
    <row r="8" spans="1:4" ht="15.75">
      <c r="A8" s="191" t="s">
        <v>236</v>
      </c>
      <c r="B8" s="190"/>
      <c r="C8" s="528">
        <v>0</v>
      </c>
    </row>
    <row r="9" spans="1:4" ht="15.75">
      <c r="A9" s="191" t="s">
        <v>237</v>
      </c>
      <c r="B9" s="190"/>
      <c r="C9" s="528">
        <v>67800</v>
      </c>
      <c r="D9" s="383" t="s">
        <v>238</v>
      </c>
    </row>
    <row r="10" spans="1:4" ht="15.75">
      <c r="A10" s="191" t="s">
        <v>239</v>
      </c>
      <c r="B10" s="190"/>
      <c r="C10" s="528">
        <v>227200</v>
      </c>
      <c r="D10" s="383" t="s">
        <v>238</v>
      </c>
    </row>
    <row r="11" spans="1:4" ht="15.75">
      <c r="A11" s="191" t="s">
        <v>240</v>
      </c>
      <c r="B11" s="190"/>
      <c r="C11" s="528">
        <v>11100</v>
      </c>
      <c r="D11" s="383" t="s">
        <v>238</v>
      </c>
    </row>
    <row r="12" spans="1:4" ht="15.75">
      <c r="A12" s="191" t="s">
        <v>241</v>
      </c>
      <c r="B12" s="190"/>
      <c r="C12" s="528">
        <v>0</v>
      </c>
      <c r="D12" s="383" t="s">
        <v>242</v>
      </c>
    </row>
    <row r="13" spans="1:4" ht="15.75">
      <c r="A13" s="191" t="s">
        <v>243</v>
      </c>
      <c r="B13" s="190"/>
      <c r="C13" s="528">
        <v>311600</v>
      </c>
      <c r="D13" s="383"/>
    </row>
    <row r="14" spans="1:4" ht="15.75">
      <c r="A14" s="191" t="s">
        <v>244</v>
      </c>
      <c r="B14" s="190"/>
      <c r="C14" s="528">
        <v>0</v>
      </c>
      <c r="D14" s="383"/>
    </row>
    <row r="15" spans="1:4" ht="15.75">
      <c r="A15" s="191" t="s">
        <v>245</v>
      </c>
      <c r="B15" s="190"/>
      <c r="C15" s="528">
        <v>0</v>
      </c>
      <c r="D15" s="383"/>
    </row>
    <row r="16" spans="1:4" ht="15.75">
      <c r="A16" s="191" t="s">
        <v>246</v>
      </c>
      <c r="B16" s="190"/>
      <c r="C16" s="528">
        <v>0</v>
      </c>
      <c r="D16" s="383" t="s">
        <v>242</v>
      </c>
    </row>
    <row r="17" spans="1:4" ht="15.75">
      <c r="A17" s="191" t="s">
        <v>247</v>
      </c>
      <c r="B17" s="190"/>
      <c r="C17" s="528">
        <v>20000</v>
      </c>
      <c r="D17" s="383"/>
    </row>
    <row r="18" spans="1:4" ht="15.75">
      <c r="A18" s="191" t="s">
        <v>248</v>
      </c>
      <c r="B18" s="190"/>
      <c r="C18" s="528">
        <v>60000</v>
      </c>
      <c r="D18" s="383"/>
    </row>
    <row r="19" spans="1:4" ht="15.75">
      <c r="A19" s="191" t="s">
        <v>249</v>
      </c>
      <c r="B19" s="190"/>
      <c r="C19" s="528">
        <v>0</v>
      </c>
      <c r="D19" s="383"/>
    </row>
    <row r="20" spans="1:4" ht="15.75">
      <c r="A20" s="191" t="s">
        <v>250</v>
      </c>
      <c r="B20" s="190"/>
      <c r="C20" s="528">
        <v>8135000</v>
      </c>
      <c r="D20" s="383" t="s">
        <v>251</v>
      </c>
    </row>
    <row r="21" spans="1:4" ht="15.75">
      <c r="A21" s="191" t="s">
        <v>252</v>
      </c>
      <c r="B21" s="190"/>
      <c r="C21" s="528">
        <v>30400</v>
      </c>
      <c r="D21" s="383"/>
    </row>
    <row r="22" spans="1:4" ht="15" customHeight="1" thickBot="1">
      <c r="A22" s="191" t="s">
        <v>253</v>
      </c>
      <c r="B22" s="190"/>
      <c r="C22" s="534">
        <v>0</v>
      </c>
      <c r="D22" s="383"/>
    </row>
    <row r="23" spans="1:4" ht="15" customHeight="1">
      <c r="A23" s="208" t="s">
        <v>359</v>
      </c>
      <c r="B23" s="190"/>
      <c r="C23" s="528">
        <f>SUM(C7:C22)</f>
        <v>8938200</v>
      </c>
      <c r="D23" s="383"/>
    </row>
    <row r="24" spans="1:4" ht="15.75">
      <c r="A24" s="189" t="s">
        <v>153</v>
      </c>
      <c r="B24" s="190"/>
      <c r="C24" s="528"/>
      <c r="D24" s="383"/>
    </row>
    <row r="25" spans="1:4" ht="15.75">
      <c r="A25" s="191" t="s">
        <v>254</v>
      </c>
      <c r="B25" s="190"/>
      <c r="C25" s="528">
        <v>20000</v>
      </c>
      <c r="D25" s="383"/>
    </row>
    <row r="26" spans="1:4" ht="15.75">
      <c r="A26" s="191" t="s">
        <v>255</v>
      </c>
      <c r="B26" s="190"/>
      <c r="C26" s="528">
        <v>0</v>
      </c>
      <c r="D26" s="383"/>
    </row>
    <row r="27" spans="1:4" ht="15.75">
      <c r="A27" s="191" t="s">
        <v>256</v>
      </c>
      <c r="B27" s="190"/>
      <c r="C27" s="528">
        <v>0</v>
      </c>
      <c r="D27" s="383"/>
    </row>
    <row r="28" spans="1:4" ht="15.75">
      <c r="A28" s="191" t="s">
        <v>257</v>
      </c>
      <c r="B28" s="190"/>
      <c r="C28" s="528">
        <v>0</v>
      </c>
      <c r="D28" s="383"/>
    </row>
    <row r="29" spans="1:4" ht="15.75">
      <c r="A29" s="191" t="s">
        <v>258</v>
      </c>
      <c r="B29" s="190"/>
      <c r="C29" s="528">
        <v>0</v>
      </c>
      <c r="D29" s="383"/>
    </row>
    <row r="30" spans="1:4" ht="15.75">
      <c r="A30" s="191" t="s">
        <v>259</v>
      </c>
      <c r="B30" s="190"/>
      <c r="C30" s="528">
        <v>0</v>
      </c>
      <c r="D30" s="383"/>
    </row>
    <row r="31" spans="1:4" ht="15.75">
      <c r="A31" s="191" t="s">
        <v>260</v>
      </c>
      <c r="B31" s="190"/>
      <c r="C31" s="528">
        <v>0</v>
      </c>
      <c r="D31" s="383"/>
    </row>
    <row r="32" spans="1:4" ht="15.75">
      <c r="A32" s="191" t="s">
        <v>261</v>
      </c>
      <c r="B32" s="190"/>
      <c r="C32" s="528">
        <v>98700</v>
      </c>
      <c r="D32" s="383"/>
    </row>
    <row r="33" spans="1:4" ht="15.75">
      <c r="A33" s="191" t="s">
        <v>262</v>
      </c>
      <c r="B33" s="190"/>
      <c r="C33" s="528">
        <v>87000</v>
      </c>
      <c r="D33" s="383"/>
    </row>
    <row r="34" spans="1:4" ht="15.75">
      <c r="A34" s="191" t="s">
        <v>263</v>
      </c>
      <c r="B34" s="190"/>
      <c r="C34" s="535">
        <v>0</v>
      </c>
      <c r="D34" s="383"/>
    </row>
    <row r="35" spans="1:4" ht="15.75">
      <c r="A35" s="208" t="s">
        <v>360</v>
      </c>
      <c r="B35" s="190"/>
      <c r="C35" s="536">
        <f>SUM(C25:C34)</f>
        <v>205700</v>
      </c>
      <c r="D35" s="383"/>
    </row>
    <row r="36" spans="1:4" ht="18">
      <c r="A36" s="191"/>
      <c r="B36" s="190"/>
      <c r="C36" s="537"/>
      <c r="D36" s="383"/>
    </row>
    <row r="37" spans="1:4">
      <c r="C37" s="393"/>
      <c r="D37" s="383"/>
    </row>
    <row r="38" spans="1:4" ht="15.75">
      <c r="A38" s="191" t="s">
        <v>283</v>
      </c>
      <c r="C38" s="289">
        <f>C23+C35</f>
        <v>9143900</v>
      </c>
      <c r="D38" s="383" t="s">
        <v>264</v>
      </c>
    </row>
    <row r="41" spans="1:4">
      <c r="A41" s="192" t="s">
        <v>284</v>
      </c>
    </row>
    <row r="42" spans="1:4">
      <c r="A42" s="193" t="s">
        <v>285</v>
      </c>
      <c r="C42" s="538" t="s">
        <v>402</v>
      </c>
    </row>
    <row r="43" spans="1:4">
      <c r="A43" s="193" t="s">
        <v>286</v>
      </c>
    </row>
    <row r="44" spans="1:4">
      <c r="A44" s="193" t="s">
        <v>287</v>
      </c>
    </row>
    <row r="45" spans="1:4">
      <c r="A45" s="194" t="s">
        <v>288</v>
      </c>
    </row>
    <row r="46" spans="1:4">
      <c r="A46" s="193" t="s">
        <v>289</v>
      </c>
    </row>
    <row r="47" spans="1:4">
      <c r="A47" s="194" t="s">
        <v>288</v>
      </c>
    </row>
    <row r="48" spans="1:4">
      <c r="A48" s="195" t="s">
        <v>290</v>
      </c>
    </row>
    <row r="49" spans="1:3" ht="15.75">
      <c r="A49" s="226" t="s">
        <v>403</v>
      </c>
      <c r="B49" s="211"/>
      <c r="C49" s="539">
        <f>574560*12</f>
        <v>6894720</v>
      </c>
    </row>
    <row r="50" spans="1:3" ht="15.75">
      <c r="A50" s="226" t="s">
        <v>404</v>
      </c>
      <c r="B50" s="211"/>
      <c r="C50" s="539">
        <f>C20-C49</f>
        <v>1240280</v>
      </c>
    </row>
    <row r="51" spans="1:3" ht="15.75">
      <c r="A51" s="227"/>
      <c r="B51" s="211"/>
      <c r="C51" s="540">
        <f>SUM(C49:C50)</f>
        <v>8135000</v>
      </c>
    </row>
    <row r="52" spans="1:3" ht="15.75">
      <c r="A52" s="191"/>
    </row>
    <row r="53" spans="1:3" ht="15.75">
      <c r="A53" s="191"/>
    </row>
    <row r="54" spans="1:3" ht="15.75">
      <c r="A54" s="191"/>
    </row>
    <row r="55" spans="1:3" ht="15.75">
      <c r="A55" s="191"/>
    </row>
    <row r="56" spans="1:3" ht="15.75">
      <c r="A56" s="196"/>
    </row>
    <row r="57" spans="1:3" ht="15.75">
      <c r="A57" s="191"/>
    </row>
    <row r="58" spans="1:3" ht="15.75">
      <c r="A58" s="191"/>
    </row>
    <row r="59" spans="1:3" ht="15.75">
      <c r="A59" s="191"/>
    </row>
    <row r="60" spans="1:3" ht="15.75">
      <c r="A60" s="191"/>
    </row>
    <row r="61" spans="1:3" ht="15.75">
      <c r="A61" s="196"/>
    </row>
    <row r="62" spans="1:3" ht="15.75">
      <c r="A62" s="191"/>
    </row>
    <row r="63" spans="1:3" ht="15.75">
      <c r="A63" s="191"/>
    </row>
    <row r="64" spans="1:3" ht="15.75">
      <c r="A64" s="191"/>
    </row>
    <row r="65" spans="1:1" ht="15.75">
      <c r="A65" s="191"/>
    </row>
    <row r="66" spans="1:1" ht="15.75">
      <c r="A66" s="191"/>
    </row>
    <row r="67" spans="1:1" ht="15.75">
      <c r="A67" s="191"/>
    </row>
    <row r="68" spans="1:1" ht="15.75">
      <c r="A68" s="191"/>
    </row>
    <row r="69" spans="1:1" ht="15.75">
      <c r="A69" s="191"/>
    </row>
    <row r="70" spans="1:1" ht="15.75">
      <c r="A70" s="191"/>
    </row>
    <row r="71" spans="1:1" ht="15.75">
      <c r="A71" s="191"/>
    </row>
    <row r="72" spans="1:1" ht="15.75">
      <c r="A72" s="191"/>
    </row>
    <row r="73" spans="1:1" ht="15.75">
      <c r="A73" s="191"/>
    </row>
    <row r="74" spans="1:1" ht="15.75">
      <c r="A74" s="191"/>
    </row>
    <row r="75" spans="1:1" ht="15.75">
      <c r="A75" s="191"/>
    </row>
  </sheetData>
  <mergeCells count="3">
    <mergeCell ref="A3:C3"/>
    <mergeCell ref="A1:C1"/>
    <mergeCell ref="A2:C2"/>
  </mergeCells>
  <pageMargins left="0.2" right="0.2" top="0.75" bottom="0.5" header="0.3" footer="0.3"/>
  <pageSetup orientation="portrait" r:id="rId1"/>
  <headerFooter>
    <oddHeader>&amp;L&amp;"Arial MT,Bold"Rochester Public Utilities
2019 Work Papers&amp;R&amp;"Arial MT,Bold"Exhibit RPU-8
Page 12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80"/>
  <sheetViews>
    <sheetView topLeftCell="A22" workbookViewId="0">
      <selection sqref="A1:C1"/>
    </sheetView>
  </sheetViews>
  <sheetFormatPr defaultColWidth="8.88671875" defaultRowHeight="15"/>
  <cols>
    <col min="1" max="1" width="54.88671875" style="181" customWidth="1"/>
    <col min="2" max="2" width="10.33203125" style="181" customWidth="1"/>
    <col min="3" max="3" width="14.5546875" style="526" bestFit="1" customWidth="1"/>
    <col min="4" max="16384" width="8.88671875" style="181"/>
  </cols>
  <sheetData>
    <row r="1" spans="1:4" ht="18.75">
      <c r="A1" s="663" t="str">
        <f>Coversheet!B3</f>
        <v>Rochester Public Utilities</v>
      </c>
      <c r="B1" s="663"/>
      <c r="C1" s="663"/>
      <c r="D1" s="201"/>
    </row>
    <row r="2" spans="1:4" ht="18.75">
      <c r="A2" s="663" t="s">
        <v>515</v>
      </c>
      <c r="B2" s="663"/>
      <c r="C2" s="663"/>
      <c r="D2" s="201"/>
    </row>
    <row r="3" spans="1:4" ht="18.75">
      <c r="A3" s="663" t="str">
        <f>'Transmission O&amp;M'!A3</f>
        <v>FLTY Forecast for 12 Months Ended December 31, 2019</v>
      </c>
      <c r="B3" s="663"/>
      <c r="C3" s="663"/>
      <c r="D3" s="201"/>
    </row>
    <row r="4" spans="1:4" ht="18.75">
      <c r="A4" s="179"/>
    </row>
    <row r="5" spans="1:4" ht="18.75">
      <c r="A5" s="179"/>
    </row>
    <row r="6" spans="1:4" ht="15.75">
      <c r="A6" s="187" t="s">
        <v>514</v>
      </c>
      <c r="C6" s="527" t="s">
        <v>3</v>
      </c>
    </row>
    <row r="7" spans="1:4" ht="15.75">
      <c r="A7" s="187"/>
      <c r="C7" s="393"/>
      <c r="D7" s="188"/>
    </row>
    <row r="8" spans="1:4" ht="15.75">
      <c r="A8" s="196" t="s">
        <v>291</v>
      </c>
      <c r="B8" s="190"/>
      <c r="C8" s="517"/>
    </row>
    <row r="9" spans="1:4" ht="15.75">
      <c r="A9" s="191" t="s">
        <v>292</v>
      </c>
      <c r="B9" s="190"/>
      <c r="C9" s="517">
        <v>34700</v>
      </c>
    </row>
    <row r="10" spans="1:4" ht="15.75">
      <c r="A10" s="191" t="s">
        <v>293</v>
      </c>
      <c r="B10" s="190"/>
      <c r="C10" s="528">
        <v>126000</v>
      </c>
    </row>
    <row r="11" spans="1:4" ht="15.75">
      <c r="A11" s="191" t="s">
        <v>294</v>
      </c>
      <c r="B11" s="190"/>
      <c r="C11" s="528">
        <v>1601600</v>
      </c>
    </row>
    <row r="12" spans="1:4" ht="15.75">
      <c r="A12" s="191" t="s">
        <v>295</v>
      </c>
      <c r="B12" s="190"/>
      <c r="C12" s="528">
        <v>204100</v>
      </c>
    </row>
    <row r="13" spans="1:4" ht="15.75">
      <c r="A13" s="191" t="s">
        <v>296</v>
      </c>
      <c r="B13" s="190"/>
      <c r="C13" s="528">
        <v>0</v>
      </c>
    </row>
    <row r="14" spans="1:4" ht="15.75">
      <c r="A14" s="197" t="s">
        <v>297</v>
      </c>
      <c r="B14" s="190"/>
      <c r="C14" s="529">
        <f>SUM(C8:C13)</f>
        <v>1966400</v>
      </c>
      <c r="D14" s="383" t="s">
        <v>298</v>
      </c>
    </row>
    <row r="15" spans="1:4" ht="15.75">
      <c r="A15" s="191"/>
      <c r="B15" s="190"/>
      <c r="C15" s="530"/>
    </row>
    <row r="16" spans="1:4" ht="15.75">
      <c r="A16" s="196" t="s">
        <v>299</v>
      </c>
      <c r="B16" s="190"/>
      <c r="C16" s="530"/>
    </row>
    <row r="17" spans="1:4" ht="15.75">
      <c r="A17" s="191" t="s">
        <v>300</v>
      </c>
      <c r="B17" s="190"/>
      <c r="C17" s="517">
        <v>0</v>
      </c>
    </row>
    <row r="18" spans="1:4" ht="15.75">
      <c r="A18" s="191" t="s">
        <v>301</v>
      </c>
      <c r="B18" s="190"/>
      <c r="C18" s="528">
        <v>910500</v>
      </c>
    </row>
    <row r="19" spans="1:4" ht="15.75">
      <c r="A19" s="191" t="s">
        <v>302</v>
      </c>
      <c r="B19" s="190"/>
      <c r="C19" s="528">
        <v>331700</v>
      </c>
    </row>
    <row r="20" spans="1:4" ht="15.75">
      <c r="A20" s="191" t="s">
        <v>303</v>
      </c>
      <c r="B20" s="190"/>
      <c r="C20" s="528">
        <v>54200</v>
      </c>
    </row>
    <row r="21" spans="1:4" ht="15.75">
      <c r="A21" s="197" t="s">
        <v>304</v>
      </c>
      <c r="B21" s="190"/>
      <c r="C21" s="529">
        <f>SUM(C17:C20)</f>
        <v>1296400</v>
      </c>
      <c r="D21" s="383" t="s">
        <v>305</v>
      </c>
    </row>
    <row r="22" spans="1:4" ht="18" customHeight="1">
      <c r="A22" s="191"/>
      <c r="B22" s="190"/>
      <c r="C22" s="530"/>
    </row>
    <row r="23" spans="1:4" ht="15.75">
      <c r="A23" s="196" t="s">
        <v>306</v>
      </c>
      <c r="B23" s="190"/>
      <c r="C23" s="530"/>
    </row>
    <row r="24" spans="1:4" ht="15.75">
      <c r="A24" s="191" t="s">
        <v>307</v>
      </c>
      <c r="B24" s="190"/>
      <c r="C24" s="517">
        <v>0</v>
      </c>
    </row>
    <row r="25" spans="1:4" ht="15.75">
      <c r="A25" s="191" t="s">
        <v>308</v>
      </c>
      <c r="B25" s="190"/>
      <c r="C25" s="528">
        <v>329800</v>
      </c>
    </row>
    <row r="26" spans="1:4" ht="15.75">
      <c r="A26" s="191" t="s">
        <v>309</v>
      </c>
      <c r="B26" s="190"/>
      <c r="C26" s="528">
        <v>180100</v>
      </c>
    </row>
    <row r="27" spans="1:4" ht="15.75">
      <c r="A27" s="191" t="s">
        <v>310</v>
      </c>
      <c r="B27" s="190"/>
      <c r="C27" s="528">
        <v>65700</v>
      </c>
    </row>
    <row r="28" spans="1:4" ht="15.75">
      <c r="A28" s="196" t="s">
        <v>306</v>
      </c>
      <c r="B28" s="190"/>
      <c r="C28" s="529">
        <f>SUM(C24:C27)</f>
        <v>575600</v>
      </c>
      <c r="D28" s="383" t="s">
        <v>311</v>
      </c>
    </row>
    <row r="29" spans="1:4" ht="15.75">
      <c r="A29" s="191"/>
      <c r="B29" s="190"/>
      <c r="C29" s="530"/>
    </row>
    <row r="30" spans="1:4" ht="15.75">
      <c r="A30" s="196" t="s">
        <v>279</v>
      </c>
      <c r="B30" s="190"/>
      <c r="C30" s="530"/>
    </row>
    <row r="31" spans="1:4" ht="15.75">
      <c r="A31" s="191" t="s">
        <v>265</v>
      </c>
      <c r="B31" s="190"/>
      <c r="C31" s="517">
        <v>2644400</v>
      </c>
    </row>
    <row r="32" spans="1:4" ht="15.75">
      <c r="A32" s="191" t="s">
        <v>266</v>
      </c>
      <c r="B32" s="190"/>
      <c r="C32" s="528">
        <v>1870400</v>
      </c>
    </row>
    <row r="33" spans="1:4" ht="15.75">
      <c r="A33" s="191" t="s">
        <v>267</v>
      </c>
      <c r="B33" s="190"/>
      <c r="C33" s="530">
        <v>0</v>
      </c>
    </row>
    <row r="34" spans="1:4" ht="15.75">
      <c r="A34" s="191" t="s">
        <v>268</v>
      </c>
      <c r="B34" s="190"/>
      <c r="C34" s="528">
        <v>1238700</v>
      </c>
    </row>
    <row r="35" spans="1:4" ht="15.75">
      <c r="A35" s="191" t="s">
        <v>269</v>
      </c>
      <c r="B35" s="190"/>
      <c r="C35" s="528">
        <v>346900</v>
      </c>
    </row>
    <row r="36" spans="1:4" ht="15.75">
      <c r="A36" s="191" t="s">
        <v>270</v>
      </c>
      <c r="B36" s="190"/>
      <c r="C36" s="528">
        <v>922300</v>
      </c>
    </row>
    <row r="37" spans="1:4" ht="15.75">
      <c r="A37" s="191" t="s">
        <v>271</v>
      </c>
      <c r="B37" s="190"/>
      <c r="C37" s="528">
        <v>4136300</v>
      </c>
    </row>
    <row r="38" spans="1:4" ht="15.75">
      <c r="A38" s="191" t="s">
        <v>272</v>
      </c>
      <c r="B38" s="190"/>
      <c r="C38" s="528">
        <v>0</v>
      </c>
    </row>
    <row r="39" spans="1:4" ht="15.75">
      <c r="A39" s="191" t="s">
        <v>273</v>
      </c>
      <c r="B39" s="190"/>
      <c r="C39" s="528">
        <v>940900</v>
      </c>
    </row>
    <row r="40" spans="1:4" ht="15.75">
      <c r="A40" s="191" t="s">
        <v>274</v>
      </c>
      <c r="B40" s="190"/>
      <c r="C40" s="528">
        <v>0</v>
      </c>
    </row>
    <row r="41" spans="1:4" ht="15.75">
      <c r="A41" s="191" t="s">
        <v>275</v>
      </c>
      <c r="B41" s="190"/>
      <c r="C41" s="528">
        <v>79000</v>
      </c>
    </row>
    <row r="42" spans="1:4" ht="15.75">
      <c r="A42" s="191" t="s">
        <v>276</v>
      </c>
      <c r="C42" s="528">
        <v>237700</v>
      </c>
    </row>
    <row r="43" spans="1:4" ht="15.75">
      <c r="A43" s="191" t="s">
        <v>277</v>
      </c>
      <c r="C43" s="528">
        <v>0</v>
      </c>
    </row>
    <row r="44" spans="1:4" ht="15.75">
      <c r="A44" s="191" t="s">
        <v>278</v>
      </c>
      <c r="C44" s="528">
        <v>1106000</v>
      </c>
    </row>
    <row r="45" spans="1:4" ht="15.75">
      <c r="A45" s="196" t="s">
        <v>279</v>
      </c>
      <c r="B45" s="487"/>
      <c r="C45" s="288">
        <f>SUM(C31:C44)</f>
        <v>13522600</v>
      </c>
      <c r="D45" s="383" t="s">
        <v>312</v>
      </c>
    </row>
    <row r="47" spans="1:4">
      <c r="C47" s="531"/>
    </row>
    <row r="48" spans="1:4">
      <c r="A48" s="192" t="s">
        <v>284</v>
      </c>
    </row>
    <row r="49" spans="1:5">
      <c r="A49" s="198" t="s">
        <v>313</v>
      </c>
      <c r="B49" s="211" t="s">
        <v>400</v>
      </c>
    </row>
    <row r="50" spans="1:5">
      <c r="A50" s="198" t="s">
        <v>286</v>
      </c>
    </row>
    <row r="51" spans="1:5" ht="15.75">
      <c r="A51" s="191"/>
    </row>
    <row r="52" spans="1:5">
      <c r="A52" s="198" t="s">
        <v>314</v>
      </c>
      <c r="B52" s="198"/>
      <c r="C52" s="532"/>
      <c r="D52" s="198"/>
      <c r="E52" s="211" t="s">
        <v>401</v>
      </c>
    </row>
    <row r="53" spans="1:5">
      <c r="A53" s="198" t="s">
        <v>286</v>
      </c>
    </row>
    <row r="54" spans="1:5" ht="15.75">
      <c r="A54" s="191"/>
    </row>
    <row r="55" spans="1:5" ht="15.75">
      <c r="A55" s="191"/>
    </row>
    <row r="56" spans="1:5" ht="15.75">
      <c r="A56" s="196"/>
    </row>
    <row r="57" spans="1:5" ht="15.75">
      <c r="A57" s="191"/>
    </row>
    <row r="58" spans="1:5" ht="15.75">
      <c r="A58" s="191"/>
    </row>
    <row r="59" spans="1:5" ht="15.75">
      <c r="A59" s="191"/>
    </row>
    <row r="60" spans="1:5" ht="15.75">
      <c r="A60" s="191"/>
    </row>
    <row r="61" spans="1:5" ht="15.75">
      <c r="A61" s="196"/>
    </row>
    <row r="62" spans="1:5" ht="15.75">
      <c r="A62" s="191"/>
    </row>
    <row r="63" spans="1:5" ht="15.75">
      <c r="A63" s="191"/>
    </row>
    <row r="64" spans="1:5" ht="15.75">
      <c r="A64" s="191"/>
    </row>
    <row r="65" spans="1:1" ht="15.75">
      <c r="A65" s="191"/>
    </row>
    <row r="66" spans="1:1" ht="15.75">
      <c r="A66" s="196"/>
    </row>
    <row r="67" spans="1:1" ht="15.75">
      <c r="A67" s="191"/>
    </row>
    <row r="68" spans="1:1" ht="15.75">
      <c r="A68" s="191"/>
    </row>
    <row r="69" spans="1:1" ht="15.75">
      <c r="A69" s="191"/>
    </row>
    <row r="70" spans="1:1" ht="15.75">
      <c r="A70" s="191"/>
    </row>
    <row r="71" spans="1:1" ht="15.75">
      <c r="A71" s="191"/>
    </row>
    <row r="72" spans="1:1" ht="15.75">
      <c r="A72" s="191"/>
    </row>
    <row r="73" spans="1:1" ht="15.75">
      <c r="A73" s="191"/>
    </row>
    <row r="74" spans="1:1" ht="15.75">
      <c r="A74" s="191"/>
    </row>
    <row r="75" spans="1:1" ht="15.75">
      <c r="A75" s="191"/>
    </row>
    <row r="76" spans="1:1" ht="15.75">
      <c r="A76" s="191"/>
    </row>
    <row r="77" spans="1:1" ht="15.75">
      <c r="A77" s="191"/>
    </row>
    <row r="78" spans="1:1" ht="15.75">
      <c r="A78" s="191"/>
    </row>
    <row r="79" spans="1:1" ht="15.75">
      <c r="A79" s="191"/>
    </row>
    <row r="80" spans="1:1" ht="15.75">
      <c r="A80" s="191"/>
    </row>
  </sheetData>
  <mergeCells count="3">
    <mergeCell ref="A3:C3"/>
    <mergeCell ref="A1:C1"/>
    <mergeCell ref="A2:C2"/>
  </mergeCells>
  <conditionalFormatting sqref="B45">
    <cfRule type="cellIs" dxfId="0" priority="1" operator="greaterThanOrEqual">
      <formula>0.2</formula>
    </cfRule>
  </conditionalFormatting>
  <pageMargins left="0.2" right="0.2" top="0.5" bottom="0.5" header="0.05" footer="0.05"/>
  <pageSetup scale="98" orientation="portrait" r:id="rId1"/>
  <headerFooter>
    <oddHeader>&amp;L&amp;"Arial MT,Bold"Rochester Public Utilities
2019 Work Papers&amp;R&amp;"Arial MT,Bold"Exhibit RPU-8
Page 13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workbookViewId="0">
      <selection activeCell="B25" sqref="B25"/>
    </sheetView>
  </sheetViews>
  <sheetFormatPr defaultColWidth="8.88671875" defaultRowHeight="15"/>
  <cols>
    <col min="1" max="1" width="33.109375" style="209" customWidth="1"/>
    <col min="2" max="2" width="13.109375" style="209" customWidth="1"/>
    <col min="3" max="3" width="10.33203125" style="209" customWidth="1"/>
    <col min="4" max="4" width="11" style="209" customWidth="1"/>
    <col min="5" max="7" width="8.88671875" style="209"/>
    <col min="8" max="8" width="5.44140625" style="209" customWidth="1"/>
    <col min="9" max="16384" width="8.88671875" style="209"/>
  </cols>
  <sheetData>
    <row r="1" spans="1:9" ht="15.75">
      <c r="A1" s="665" t="str">
        <f>Coversheet!B3</f>
        <v>Rochester Public Utilities</v>
      </c>
      <c r="B1" s="665"/>
      <c r="C1" s="665"/>
      <c r="D1" s="665"/>
      <c r="E1" s="372"/>
      <c r="F1" s="372"/>
    </row>
    <row r="2" spans="1:9" ht="15.75">
      <c r="A2" s="665" t="s">
        <v>516</v>
      </c>
      <c r="B2" s="665"/>
      <c r="C2" s="665"/>
      <c r="D2" s="665"/>
      <c r="E2" s="372"/>
      <c r="F2" s="372"/>
    </row>
    <row r="3" spans="1:9" ht="15.75">
      <c r="A3" s="666" t="str">
        <f>IF('True-up Interest'!$J$12&lt;0.5,CONCATENATE("FLTY Forecast for 12 Months Ended December 31, ",Coversheet!E41),CONCATENATE("True-up Actual for 12 Months Ended December 31, ",Coversheet!E41))</f>
        <v>FLTY Forecast for 12 Months Ended December 31, 2019</v>
      </c>
      <c r="B3" s="666"/>
      <c r="C3" s="666"/>
      <c r="D3" s="666"/>
      <c r="E3" s="372"/>
      <c r="F3" s="372"/>
    </row>
    <row r="4" spans="1:9" ht="15.75">
      <c r="A4" s="271"/>
      <c r="B4" s="271"/>
      <c r="C4" s="271"/>
      <c r="D4" s="271"/>
      <c r="E4" s="271"/>
      <c r="F4" s="271"/>
    </row>
    <row r="5" spans="1:9" ht="15.75">
      <c r="A5" s="664" t="s">
        <v>517</v>
      </c>
      <c r="B5" s="664"/>
      <c r="C5" s="664"/>
      <c r="D5" s="271"/>
      <c r="E5" s="271"/>
      <c r="F5" s="271"/>
    </row>
    <row r="6" spans="1:9" ht="15.75">
      <c r="A6" s="271"/>
      <c r="B6" s="271"/>
      <c r="C6" s="271"/>
      <c r="D6" s="271"/>
      <c r="E6" s="271"/>
      <c r="F6" s="271"/>
    </row>
    <row r="7" spans="1:9" ht="15.75">
      <c r="A7" s="271"/>
      <c r="B7" s="271"/>
      <c r="C7" s="271"/>
      <c r="D7" s="271"/>
      <c r="E7" s="271"/>
      <c r="F7" s="271"/>
    </row>
    <row r="8" spans="1:9" ht="15.75">
      <c r="A8" s="372" t="s">
        <v>203</v>
      </c>
      <c r="C8" s="282">
        <f>C29</f>
        <v>1145690</v>
      </c>
      <c r="E8" s="384" t="s">
        <v>365</v>
      </c>
      <c r="F8" s="271"/>
      <c r="I8" s="210"/>
    </row>
    <row r="9" spans="1:9" ht="15.75">
      <c r="A9" s="372" t="s">
        <v>6</v>
      </c>
      <c r="C9" s="279">
        <f>C31</f>
        <v>606342</v>
      </c>
      <c r="E9" s="384" t="s">
        <v>366</v>
      </c>
      <c r="F9" s="271"/>
    </row>
    <row r="10" spans="1:9" ht="15.75">
      <c r="A10" s="372" t="s">
        <v>184</v>
      </c>
      <c r="C10" s="279">
        <f>C33</f>
        <v>4262972</v>
      </c>
      <c r="E10" s="384" t="s">
        <v>367</v>
      </c>
      <c r="F10" s="271"/>
    </row>
    <row r="11" spans="1:9" ht="15.75">
      <c r="A11" s="372" t="s">
        <v>368</v>
      </c>
      <c r="C11" s="283">
        <f>C38</f>
        <v>1433968</v>
      </c>
      <c r="E11" s="384" t="s">
        <v>369</v>
      </c>
      <c r="F11" s="271"/>
    </row>
    <row r="12" spans="1:9" ht="15.75">
      <c r="A12" s="271"/>
      <c r="C12" s="270">
        <f>SUM(C8:C11)</f>
        <v>7448972</v>
      </c>
      <c r="E12" s="384" t="s">
        <v>370</v>
      </c>
      <c r="F12" s="271"/>
    </row>
    <row r="13" spans="1:9" ht="15.75">
      <c r="A13" s="271"/>
      <c r="B13" s="271"/>
      <c r="C13" s="271"/>
      <c r="E13" s="384" t="s">
        <v>371</v>
      </c>
      <c r="F13" s="271"/>
    </row>
    <row r="14" spans="1:9" ht="15.75">
      <c r="A14" s="271"/>
      <c r="B14" s="271"/>
      <c r="C14" s="271"/>
      <c r="E14" s="385" t="s">
        <v>372</v>
      </c>
      <c r="F14" s="271"/>
    </row>
    <row r="15" spans="1:9" ht="15.75">
      <c r="A15" s="271"/>
      <c r="B15" s="271"/>
      <c r="C15" s="271"/>
      <c r="D15" s="272"/>
      <c r="E15" s="271"/>
      <c r="F15" s="271"/>
    </row>
    <row r="16" spans="1:9" ht="15.75">
      <c r="A16" s="271"/>
      <c r="B16" s="271"/>
      <c r="C16" s="271"/>
      <c r="D16" s="271"/>
      <c r="E16" s="271"/>
      <c r="F16" s="271"/>
    </row>
    <row r="17" spans="1:6" ht="15.75">
      <c r="A17" s="271" t="s">
        <v>460</v>
      </c>
      <c r="B17" s="271"/>
      <c r="C17" s="273"/>
      <c r="D17" s="271"/>
      <c r="E17" s="271"/>
      <c r="F17" s="271"/>
    </row>
    <row r="18" spans="1:6" ht="15.75">
      <c r="A18" s="271" t="s">
        <v>461</v>
      </c>
      <c r="B18" s="271"/>
      <c r="C18" s="271"/>
      <c r="D18" s="271"/>
      <c r="E18" s="271"/>
      <c r="F18" s="271"/>
    </row>
    <row r="19" spans="1:6" ht="15.75">
      <c r="A19" s="274"/>
      <c r="B19" s="271"/>
      <c r="C19" s="271"/>
      <c r="D19" s="271"/>
      <c r="E19" s="271"/>
      <c r="F19" s="271"/>
    </row>
    <row r="20" spans="1:6" ht="15.75">
      <c r="A20" s="271" t="s">
        <v>373</v>
      </c>
      <c r="B20" s="271"/>
      <c r="C20" s="271"/>
      <c r="D20" s="271"/>
      <c r="E20" s="271"/>
      <c r="F20" s="271"/>
    </row>
    <row r="21" spans="1:6" ht="15.75">
      <c r="A21" s="275" t="s">
        <v>374</v>
      </c>
      <c r="B21" s="271"/>
      <c r="C21" s="271"/>
      <c r="D21" s="271"/>
      <c r="E21" s="271"/>
      <c r="F21" s="271"/>
    </row>
    <row r="22" spans="1:6" ht="15.75">
      <c r="A22" s="271"/>
      <c r="B22" s="271"/>
      <c r="C22" s="271"/>
      <c r="D22" s="271"/>
      <c r="E22" s="271"/>
      <c r="F22" s="271"/>
    </row>
    <row r="23" spans="1:6" ht="15.75">
      <c r="A23" s="277"/>
      <c r="B23" s="278" t="s">
        <v>375</v>
      </c>
      <c r="C23" s="278" t="s">
        <v>376</v>
      </c>
      <c r="D23" s="278" t="s">
        <v>377</v>
      </c>
      <c r="E23" s="271"/>
      <c r="F23" s="271"/>
    </row>
    <row r="24" spans="1:6" ht="15.75">
      <c r="A24" s="277"/>
      <c r="B24" s="277"/>
      <c r="C24" s="277"/>
      <c r="D24" s="277"/>
      <c r="E24" s="271"/>
      <c r="F24" s="271"/>
    </row>
    <row r="25" spans="1:6" ht="15.75">
      <c r="A25" s="277" t="s">
        <v>154</v>
      </c>
      <c r="B25" s="279">
        <f>D25-C25</f>
        <v>0</v>
      </c>
      <c r="C25" s="279">
        <v>0</v>
      </c>
      <c r="D25" s="279">
        <f>'Op &amp; Maint Sched 7'!F10</f>
        <v>0</v>
      </c>
      <c r="E25" s="276"/>
      <c r="F25" s="271"/>
    </row>
    <row r="26" spans="1:6" ht="15.75">
      <c r="A26" s="277" t="s">
        <v>157</v>
      </c>
      <c r="B26" s="279">
        <f>D26-C26</f>
        <v>136467</v>
      </c>
      <c r="C26" s="279">
        <v>74733</v>
      </c>
      <c r="D26" s="279">
        <f>'Op &amp; Maint Sched 7'!F13</f>
        <v>211200</v>
      </c>
      <c r="E26" s="276"/>
      <c r="F26" s="271"/>
    </row>
    <row r="27" spans="1:6" ht="15.75">
      <c r="A27" s="277" t="s">
        <v>159</v>
      </c>
      <c r="B27" s="279">
        <f>D27-C27</f>
        <v>2311943</v>
      </c>
      <c r="C27" s="279">
        <v>1070957</v>
      </c>
      <c r="D27" s="279">
        <f>'Op &amp; Maint Sched 7'!F15</f>
        <v>3382900</v>
      </c>
      <c r="E27" s="276"/>
      <c r="F27" s="271"/>
    </row>
    <row r="28" spans="1:6" ht="15.75">
      <c r="A28" s="277" t="s">
        <v>378</v>
      </c>
      <c r="B28" s="279">
        <f>D28-C28</f>
        <v>86929000</v>
      </c>
      <c r="C28" s="279">
        <v>0</v>
      </c>
      <c r="D28" s="279">
        <f>'Op &amp; Maint Sched 7'!F16</f>
        <v>86929000</v>
      </c>
      <c r="E28" s="276"/>
      <c r="F28" s="271"/>
    </row>
    <row r="29" spans="1:6" ht="15.75">
      <c r="A29" s="277" t="s">
        <v>164</v>
      </c>
      <c r="B29" s="280">
        <f t="shared" ref="B29:C29" si="0">SUM(B25:B28)</f>
        <v>89377410</v>
      </c>
      <c r="C29" s="516">
        <f t="shared" si="0"/>
        <v>1145690</v>
      </c>
      <c r="D29" s="280">
        <f>SUM(D25:D28)</f>
        <v>90523100</v>
      </c>
      <c r="E29" s="276"/>
      <c r="F29" s="271"/>
    </row>
    <row r="30" spans="1:6" ht="15.75">
      <c r="A30" s="277"/>
      <c r="B30" s="277"/>
      <c r="C30" s="281"/>
      <c r="D30" s="277"/>
      <c r="E30" s="276"/>
      <c r="F30" s="271"/>
    </row>
    <row r="31" spans="1:6" ht="15.75">
      <c r="A31" s="277" t="s">
        <v>165</v>
      </c>
      <c r="B31" s="279">
        <f>D31-C31</f>
        <v>8537558</v>
      </c>
      <c r="C31" s="279">
        <v>606342</v>
      </c>
      <c r="D31" s="279">
        <f>'Op &amp; Maint Sched 7'!F21</f>
        <v>9143900</v>
      </c>
      <c r="E31" s="276"/>
      <c r="F31" s="271"/>
    </row>
    <row r="32" spans="1:6" ht="15.75">
      <c r="A32" s="277"/>
      <c r="B32" s="277"/>
      <c r="C32" s="281"/>
      <c r="D32" s="277"/>
      <c r="E32" s="276"/>
      <c r="F32" s="271"/>
    </row>
    <row r="33" spans="1:6" ht="15.75">
      <c r="A33" s="277" t="s">
        <v>168</v>
      </c>
      <c r="B33" s="279">
        <f>D33-C33</f>
        <v>2596928</v>
      </c>
      <c r="C33" s="279">
        <v>4262972</v>
      </c>
      <c r="D33" s="279">
        <f>'Op &amp; Maint Sched 7'!F23</f>
        <v>6859900</v>
      </c>
      <c r="E33" s="276"/>
      <c r="F33" s="271"/>
    </row>
    <row r="34" spans="1:6" ht="15.75">
      <c r="A34" s="277"/>
      <c r="B34" s="277"/>
      <c r="C34" s="281"/>
      <c r="D34" s="277"/>
      <c r="E34" s="276"/>
      <c r="F34" s="271"/>
    </row>
    <row r="35" spans="1:6" ht="15.75">
      <c r="A35" s="277" t="s">
        <v>170</v>
      </c>
      <c r="B35" s="279">
        <f t="shared" ref="B35:B37" si="1">D35-C35</f>
        <v>1206624</v>
      </c>
      <c r="C35" s="279">
        <v>759776</v>
      </c>
      <c r="D35" s="279">
        <f>'Op &amp; Maint Sched 7'!F25</f>
        <v>1966400</v>
      </c>
      <c r="E35" s="276"/>
      <c r="F35" s="271"/>
    </row>
    <row r="36" spans="1:6" ht="15.75">
      <c r="A36" s="277" t="s">
        <v>379</v>
      </c>
      <c r="B36" s="279">
        <f t="shared" si="1"/>
        <v>842703</v>
      </c>
      <c r="C36" s="279">
        <v>453697</v>
      </c>
      <c r="D36" s="279">
        <f>'Op &amp; Maint Sched 7'!F27</f>
        <v>1296400</v>
      </c>
      <c r="E36" s="276"/>
      <c r="F36" s="271"/>
    </row>
    <row r="37" spans="1:6" ht="15.75">
      <c r="A37" s="277" t="s">
        <v>306</v>
      </c>
      <c r="B37" s="279">
        <f t="shared" si="1"/>
        <v>355105</v>
      </c>
      <c r="C37" s="279">
        <v>220495</v>
      </c>
      <c r="D37" s="279">
        <f>'Op &amp; Maint Sched 7'!F28</f>
        <v>575600</v>
      </c>
      <c r="E37" s="276"/>
      <c r="F37" s="271"/>
    </row>
    <row r="38" spans="1:6" ht="15.75">
      <c r="A38" s="277" t="s">
        <v>380</v>
      </c>
      <c r="B38" s="280">
        <f t="shared" ref="B38:C38" si="2">SUM(B35:B37)</f>
        <v>2404432</v>
      </c>
      <c r="C38" s="280">
        <f t="shared" si="2"/>
        <v>1433968</v>
      </c>
      <c r="D38" s="280">
        <f>SUM(D35:D37)</f>
        <v>3838400</v>
      </c>
      <c r="E38" s="276"/>
      <c r="F38" s="271"/>
    </row>
    <row r="39" spans="1:6">
      <c r="E39" s="212"/>
    </row>
  </sheetData>
  <mergeCells count="4">
    <mergeCell ref="A5:C5"/>
    <mergeCell ref="A2:D2"/>
    <mergeCell ref="A1:D1"/>
    <mergeCell ref="A3:D3"/>
  </mergeCells>
  <pageMargins left="0.7" right="0.7" top="1.2" bottom="0.5" header="0.55000000000000004" footer="0.3"/>
  <pageSetup orientation="landscape" r:id="rId1"/>
  <headerFooter>
    <oddHeader>&amp;L&amp;"Arial MT,Bold"Rochester Public Utilities
2019 Work Papers&amp;R&amp;"Arial MT,Bold"Exhibit RPU-8
Page 14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abSelected="1" topLeftCell="C13" zoomScale="80" zoomScaleNormal="80" workbookViewId="0">
      <selection activeCell="D25" sqref="D25"/>
    </sheetView>
  </sheetViews>
  <sheetFormatPr defaultRowHeight="15.75"/>
  <cols>
    <col min="1" max="1" width="4" style="599" customWidth="1"/>
    <col min="2" max="2" width="24.77734375" style="582" customWidth="1"/>
    <col min="3" max="3" width="37.21875" style="582" customWidth="1"/>
    <col min="4" max="4" width="58.88671875" style="582" bestFit="1" customWidth="1"/>
    <col min="5" max="5" width="1.77734375" style="582" bestFit="1" customWidth="1"/>
    <col min="6" max="6" width="7.44140625" style="582" bestFit="1" customWidth="1"/>
  </cols>
  <sheetData>
    <row r="1" spans="1:7" s="583" customFormat="1" ht="19.149999999999999" customHeight="1">
      <c r="A1" s="582" t="s">
        <v>0</v>
      </c>
      <c r="B1" s="582"/>
      <c r="C1" s="582"/>
      <c r="D1" s="582"/>
      <c r="E1" s="582"/>
      <c r="F1" s="582"/>
      <c r="G1" s="582"/>
    </row>
    <row r="2" spans="1:7" s="583" customFormat="1" ht="19.149999999999999" customHeight="1">
      <c r="A2" s="582"/>
      <c r="B2" s="582"/>
      <c r="C2" s="582"/>
      <c r="D2" s="582"/>
      <c r="E2" s="582"/>
      <c r="F2" s="582"/>
      <c r="G2" s="582"/>
    </row>
    <row r="3" spans="1:7" s="583" customFormat="1" ht="19.149999999999999" customHeight="1">
      <c r="A3" s="582"/>
      <c r="B3" s="582"/>
      <c r="C3" s="582"/>
      <c r="D3" s="582"/>
      <c r="E3" s="582"/>
      <c r="F3" s="582"/>
      <c r="G3" s="582"/>
    </row>
    <row r="4" spans="1:7" s="583" customFormat="1" ht="19.149999999999999" customHeight="1">
      <c r="A4" s="582"/>
      <c r="B4" s="582"/>
      <c r="C4" s="582"/>
      <c r="D4" s="582"/>
      <c r="E4" s="582"/>
      <c r="F4" s="582"/>
      <c r="G4" s="582"/>
    </row>
    <row r="5" spans="1:7" ht="21">
      <c r="B5" s="584" t="s">
        <v>582</v>
      </c>
    </row>
    <row r="7" spans="1:7">
      <c r="A7" s="599">
        <v>1</v>
      </c>
      <c r="B7" s="582" t="s">
        <v>583</v>
      </c>
      <c r="C7" s="585" t="s">
        <v>364</v>
      </c>
    </row>
    <row r="8" spans="1:7">
      <c r="A8" s="599">
        <f t="shared" ref="A8:A39" si="0">1+A7</f>
        <v>2</v>
      </c>
      <c r="C8" s="586"/>
    </row>
    <row r="9" spans="1:7">
      <c r="A9" s="599">
        <f t="shared" si="0"/>
        <v>3</v>
      </c>
      <c r="B9" s="582" t="s">
        <v>584</v>
      </c>
      <c r="C9" s="600">
        <v>2019</v>
      </c>
    </row>
    <row r="10" spans="1:7" ht="17.25">
      <c r="A10" s="599">
        <f t="shared" si="0"/>
        <v>4</v>
      </c>
      <c r="B10" s="582" t="s">
        <v>585</v>
      </c>
      <c r="C10" s="600">
        <v>2017</v>
      </c>
    </row>
    <row r="11" spans="1:7">
      <c r="A11" s="599">
        <f t="shared" si="0"/>
        <v>5</v>
      </c>
      <c r="C11" s="588"/>
    </row>
    <row r="12" spans="1:7">
      <c r="A12" s="599">
        <f t="shared" si="0"/>
        <v>6</v>
      </c>
      <c r="B12" s="582" t="s">
        <v>586</v>
      </c>
      <c r="C12" s="587" t="s">
        <v>587</v>
      </c>
    </row>
    <row r="13" spans="1:7">
      <c r="A13" s="599">
        <f t="shared" si="0"/>
        <v>7</v>
      </c>
    </row>
    <row r="14" spans="1:7">
      <c r="A14" s="599">
        <f t="shared" si="0"/>
        <v>8</v>
      </c>
      <c r="B14" s="589" t="s">
        <v>423</v>
      </c>
      <c r="C14" s="590"/>
      <c r="D14" s="589" t="s">
        <v>424</v>
      </c>
      <c r="E14" s="590"/>
      <c r="F14" s="589" t="s">
        <v>588</v>
      </c>
    </row>
    <row r="15" spans="1:7">
      <c r="A15" s="599">
        <f t="shared" si="0"/>
        <v>9</v>
      </c>
      <c r="B15" s="591"/>
      <c r="C15" s="591"/>
      <c r="D15" s="591"/>
      <c r="E15" s="591"/>
      <c r="F15" s="591"/>
    </row>
    <row r="16" spans="1:7" ht="17.25">
      <c r="A16" s="599">
        <f t="shared" si="0"/>
        <v>10</v>
      </c>
      <c r="B16" s="582" t="s">
        <v>589</v>
      </c>
      <c r="D16" s="592" t="s">
        <v>590</v>
      </c>
      <c r="E16" s="593" t="s">
        <v>591</v>
      </c>
      <c r="F16" s="594">
        <f>'Transmission O&amp;M'!C9</f>
        <v>67800</v>
      </c>
    </row>
    <row r="17" spans="1:6">
      <c r="A17" s="599">
        <f t="shared" si="0"/>
        <v>11</v>
      </c>
      <c r="B17" s="582" t="s">
        <v>592</v>
      </c>
      <c r="D17" s="595" t="s">
        <v>593</v>
      </c>
      <c r="E17" s="593"/>
      <c r="F17" s="594">
        <f>'Transmission O&amp;M'!C10</f>
        <v>227200</v>
      </c>
    </row>
    <row r="18" spans="1:6">
      <c r="A18" s="599">
        <f t="shared" si="0"/>
        <v>12</v>
      </c>
      <c r="B18" s="582" t="s">
        <v>594</v>
      </c>
      <c r="D18" s="595" t="s">
        <v>593</v>
      </c>
      <c r="E18" s="593"/>
      <c r="F18" s="594">
        <f>'Transmission O&amp;M'!C11</f>
        <v>11100</v>
      </c>
    </row>
    <row r="19" spans="1:6">
      <c r="A19" s="599">
        <f t="shared" si="0"/>
        <v>13</v>
      </c>
      <c r="B19" s="582" t="s">
        <v>595</v>
      </c>
      <c r="D19" s="582" t="str">
        <f>"(Line "&amp;A16&amp;"+ Line "&amp;A17&amp;"+ Line "&amp;A18&amp;")"</f>
        <v>(Line 10+ Line 11+ Line 12)</v>
      </c>
      <c r="E19" s="582" t="s">
        <v>591</v>
      </c>
      <c r="F19" s="596">
        <f>SUM(F16:F18)</f>
        <v>306100</v>
      </c>
    </row>
    <row r="20" spans="1:6">
      <c r="A20" s="599">
        <f t="shared" si="0"/>
        <v>14</v>
      </c>
    </row>
    <row r="21" spans="1:6">
      <c r="A21" s="599">
        <f t="shared" si="0"/>
        <v>15</v>
      </c>
      <c r="B21" s="582" t="s">
        <v>596</v>
      </c>
      <c r="D21" s="592"/>
      <c r="E21" s="593"/>
      <c r="F21" s="594"/>
    </row>
    <row r="22" spans="1:6">
      <c r="A22" s="599">
        <f t="shared" si="0"/>
        <v>16</v>
      </c>
    </row>
    <row r="23" spans="1:6">
      <c r="A23" s="599">
        <f t="shared" si="0"/>
        <v>17</v>
      </c>
      <c r="B23" s="597" t="s">
        <v>597</v>
      </c>
      <c r="D23" s="582" t="str">
        <f>"(Line "&amp;A19&amp;" - Line "&amp;A21&amp;")"</f>
        <v>(Line 13 - Line 15)</v>
      </c>
      <c r="E23" s="582" t="s">
        <v>591</v>
      </c>
      <c r="F23" s="598">
        <f>+F19-F21</f>
        <v>306100</v>
      </c>
    </row>
    <row r="24" spans="1:6">
      <c r="A24" s="599">
        <f t="shared" si="0"/>
        <v>18</v>
      </c>
    </row>
    <row r="25" spans="1:6" ht="17.25">
      <c r="A25" s="599">
        <f t="shared" si="0"/>
        <v>19</v>
      </c>
      <c r="B25" s="597" t="s">
        <v>598</v>
      </c>
      <c r="D25" s="592" t="s">
        <v>607</v>
      </c>
      <c r="E25" s="593"/>
      <c r="F25" s="594">
        <v>43653</v>
      </c>
    </row>
    <row r="26" spans="1:6">
      <c r="A26" s="599">
        <f t="shared" si="0"/>
        <v>20</v>
      </c>
    </row>
    <row r="27" spans="1:6">
      <c r="A27" s="599">
        <f t="shared" si="0"/>
        <v>21</v>
      </c>
      <c r="B27" s="597" t="s">
        <v>599</v>
      </c>
      <c r="D27" s="592"/>
      <c r="E27" s="582" t="s">
        <v>591</v>
      </c>
      <c r="F27" s="594"/>
    </row>
    <row r="28" spans="1:6">
      <c r="A28" s="599">
        <f t="shared" si="0"/>
        <v>22</v>
      </c>
    </row>
    <row r="29" spans="1:6">
      <c r="A29" s="599">
        <f t="shared" si="0"/>
        <v>23</v>
      </c>
      <c r="B29" s="597" t="s">
        <v>600</v>
      </c>
      <c r="D29" s="582" t="str">
        <f>"(Line "&amp;A23&amp;" + Line "&amp;A25&amp;" - Line "&amp;A27&amp;")"</f>
        <v>(Line 17 + Line 19 - Line 21)</v>
      </c>
      <c r="E29" s="582" t="s">
        <v>591</v>
      </c>
      <c r="F29" s="598">
        <f>+F23+F25-F27</f>
        <v>349753</v>
      </c>
    </row>
    <row r="30" spans="1:6">
      <c r="A30" s="599">
        <f t="shared" si="0"/>
        <v>24</v>
      </c>
    </row>
    <row r="31" spans="1:6">
      <c r="A31" s="599">
        <f>1+A30</f>
        <v>25</v>
      </c>
      <c r="B31" s="582" t="str">
        <f>"Note 1:  Utilized by forward-looking Transmission Owners.  Line "&amp;A25&amp;" will be supported by a True-Up Worksheet."</f>
        <v>Note 1:  Utilized by forward-looking Transmission Owners.  Line 19 will be supported by a True-Up Worksheet.</v>
      </c>
    </row>
    <row r="32" spans="1:6">
      <c r="A32" s="599">
        <f t="shared" si="0"/>
        <v>26</v>
      </c>
    </row>
    <row r="33" spans="1:2">
      <c r="A33" s="599">
        <f t="shared" si="0"/>
        <v>27</v>
      </c>
      <c r="B33" s="582" t="s">
        <v>601</v>
      </c>
    </row>
    <row r="34" spans="1:2">
      <c r="A34" s="599">
        <f t="shared" si="0"/>
        <v>28</v>
      </c>
      <c r="B34" s="582" t="s">
        <v>602</v>
      </c>
    </row>
    <row r="35" spans="1:2">
      <c r="A35" s="599">
        <f t="shared" si="0"/>
        <v>29</v>
      </c>
    </row>
    <row r="36" spans="1:2">
      <c r="A36" s="599">
        <f t="shared" si="0"/>
        <v>30</v>
      </c>
      <c r="B36" s="582" t="s">
        <v>603</v>
      </c>
    </row>
    <row r="37" spans="1:2">
      <c r="A37" s="599">
        <f t="shared" si="0"/>
        <v>31</v>
      </c>
      <c r="B37" s="582" t="s">
        <v>604</v>
      </c>
    </row>
    <row r="38" spans="1:2">
      <c r="A38" s="599">
        <f t="shared" si="0"/>
        <v>32</v>
      </c>
      <c r="B38" s="582" t="s">
        <v>605</v>
      </c>
    </row>
    <row r="39" spans="1:2">
      <c r="A39" s="599">
        <f t="shared" si="0"/>
        <v>33</v>
      </c>
      <c r="B39" s="582" t="s">
        <v>606</v>
      </c>
    </row>
  </sheetData>
  <pageMargins left="0.7" right="0.7" top="0.75" bottom="0.75" header="0.3" footer="0.3"/>
  <pageSetup scale="7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18"/>
  <sheetViews>
    <sheetView workbookViewId="0">
      <selection sqref="A1:C1"/>
    </sheetView>
  </sheetViews>
  <sheetFormatPr defaultColWidth="8.88671875" defaultRowHeight="15"/>
  <cols>
    <col min="1" max="1" width="56.109375" style="181" bestFit="1" customWidth="1"/>
    <col min="2" max="2" width="8.109375" style="181" customWidth="1"/>
    <col min="3" max="3" width="8.44140625" style="181" customWidth="1"/>
    <col min="4" max="16384" width="8.88671875" style="181"/>
  </cols>
  <sheetData>
    <row r="1" spans="1:7" ht="18.75">
      <c r="A1" s="663" t="str">
        <f>Coversheet!B3</f>
        <v>Rochester Public Utilities</v>
      </c>
      <c r="B1" s="663"/>
      <c r="C1" s="663"/>
      <c r="D1" s="190"/>
      <c r="E1" s="190"/>
      <c r="F1" s="190"/>
      <c r="G1" s="190"/>
    </row>
    <row r="2" spans="1:7" ht="18.75">
      <c r="A2" s="663" t="s">
        <v>519</v>
      </c>
      <c r="B2" s="663"/>
      <c r="C2" s="663"/>
      <c r="D2" s="190"/>
      <c r="E2" s="190"/>
      <c r="F2" s="190"/>
      <c r="G2" s="190"/>
    </row>
    <row r="3" spans="1:7" ht="18.75">
      <c r="A3" s="663" t="str">
        <f>'Admin &amp; General'!A3</f>
        <v>FLTY Forecast for 12 Months Ended December 31, 2019</v>
      </c>
      <c r="B3" s="663"/>
      <c r="C3" s="663"/>
      <c r="D3" s="190"/>
      <c r="E3" s="190"/>
      <c r="F3" s="190"/>
      <c r="G3" s="190"/>
    </row>
    <row r="5" spans="1:7" ht="15.75">
      <c r="A5" s="667" t="s">
        <v>518</v>
      </c>
      <c r="B5" s="667"/>
      <c r="C5" s="667"/>
      <c r="D5" s="192"/>
    </row>
    <row r="6" spans="1:7">
      <c r="E6" s="225"/>
    </row>
    <row r="7" spans="1:7" ht="15.75">
      <c r="A7" s="339"/>
      <c r="B7" s="339" t="s">
        <v>315</v>
      </c>
      <c r="C7" s="330"/>
      <c r="D7" s="199"/>
    </row>
    <row r="8" spans="1:7" ht="15.75">
      <c r="A8" s="187" t="s">
        <v>316</v>
      </c>
      <c r="B8" s="187" t="s">
        <v>317</v>
      </c>
      <c r="C8" s="187" t="s">
        <v>3</v>
      </c>
    </row>
    <row r="9" spans="1:7" ht="15.75">
      <c r="A9" s="330"/>
      <c r="B9" s="330"/>
      <c r="C9" s="330"/>
    </row>
    <row r="10" spans="1:7" ht="15.75">
      <c r="A10" s="189" t="s">
        <v>318</v>
      </c>
      <c r="B10" s="386">
        <v>0</v>
      </c>
      <c r="C10" s="287">
        <v>0</v>
      </c>
    </row>
    <row r="11" spans="1:7" ht="15.75">
      <c r="A11" s="189" t="s">
        <v>319</v>
      </c>
      <c r="B11" s="386">
        <v>0</v>
      </c>
      <c r="C11" s="287">
        <v>0</v>
      </c>
    </row>
    <row r="12" spans="1:7" ht="18">
      <c r="A12" s="189" t="s">
        <v>320</v>
      </c>
      <c r="B12" s="387">
        <v>0</v>
      </c>
      <c r="C12" s="388">
        <v>0</v>
      </c>
    </row>
    <row r="13" spans="1:7" ht="15.75">
      <c r="A13" s="330"/>
      <c r="B13" s="330"/>
      <c r="C13" s="330"/>
    </row>
    <row r="14" spans="1:7" ht="15.75">
      <c r="A14" s="189" t="s">
        <v>4</v>
      </c>
      <c r="B14" s="389">
        <f>SUM(B10:B13)</f>
        <v>0</v>
      </c>
      <c r="C14" s="390">
        <f>SUM(C10:C13)</f>
        <v>0</v>
      </c>
    </row>
    <row r="17" spans="1:1">
      <c r="A17" s="193"/>
    </row>
    <row r="18" spans="1:1">
      <c r="A18" s="193"/>
    </row>
  </sheetData>
  <mergeCells count="4">
    <mergeCell ref="A1:C1"/>
    <mergeCell ref="A3:C3"/>
    <mergeCell ref="A5:C5"/>
    <mergeCell ref="A2:C2"/>
  </mergeCells>
  <pageMargins left="0.7" right="0.7" top="1" bottom="0.75" header="0.55000000000000004" footer="0.3"/>
  <pageSetup orientation="landscape" r:id="rId1"/>
  <headerFooter>
    <oddHeader>&amp;L&amp;"Arial MT,Bold"Rochester Public Utilities
2019 Work Papers&amp;R&amp;"Arial MT,Bold"Exhibit RPU-8
Page 15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29"/>
  <sheetViews>
    <sheetView topLeftCell="A4" workbookViewId="0">
      <selection activeCell="A23" sqref="A23"/>
    </sheetView>
  </sheetViews>
  <sheetFormatPr defaultColWidth="8.88671875" defaultRowHeight="15"/>
  <cols>
    <col min="1" max="1" width="70.44140625" style="181" customWidth="1"/>
    <col min="2" max="2" width="9.77734375" style="181" bestFit="1" customWidth="1"/>
    <col min="3" max="3" width="9" style="181" bestFit="1" customWidth="1"/>
    <col min="4" max="4" width="2.21875" style="181" customWidth="1"/>
    <col min="5" max="5" width="8.21875" style="181" bestFit="1" customWidth="1"/>
    <col min="6" max="16384" width="8.88671875" style="181"/>
  </cols>
  <sheetData>
    <row r="1" spans="1:9" ht="18.75">
      <c r="A1" s="663" t="str">
        <f>Coversheet!B3</f>
        <v>Rochester Public Utilities</v>
      </c>
      <c r="B1" s="663"/>
      <c r="C1" s="486"/>
      <c r="D1" s="190"/>
      <c r="E1" s="190"/>
      <c r="F1" s="190"/>
      <c r="G1" s="190"/>
      <c r="H1" s="190"/>
    </row>
    <row r="2" spans="1:9" ht="18.75">
      <c r="A2" s="663" t="s">
        <v>521</v>
      </c>
      <c r="B2" s="663"/>
      <c r="C2" s="486"/>
      <c r="D2" s="190"/>
      <c r="E2" s="190"/>
      <c r="F2" s="190"/>
      <c r="G2" s="190"/>
      <c r="H2" s="190"/>
    </row>
    <row r="3" spans="1:9" ht="18.75">
      <c r="A3" s="663" t="str">
        <f>'FERC Fees'!A3</f>
        <v>FLTY Forecast for 12 Months Ended December 31, 2019</v>
      </c>
      <c r="B3" s="663"/>
      <c r="C3" s="486"/>
      <c r="D3" s="190"/>
      <c r="E3" s="190"/>
      <c r="F3" s="190"/>
      <c r="G3" s="190"/>
      <c r="H3" s="190"/>
      <c r="I3" s="190"/>
    </row>
    <row r="5" spans="1:9" ht="18.75">
      <c r="A5" s="663" t="s">
        <v>520</v>
      </c>
      <c r="B5" s="663"/>
      <c r="C5" s="486"/>
      <c r="D5" s="192"/>
      <c r="E5" s="192"/>
    </row>
    <row r="8" spans="1:9" ht="15.75">
      <c r="A8" s="330" t="s">
        <v>321</v>
      </c>
      <c r="B8" s="287">
        <v>0</v>
      </c>
      <c r="D8" s="375" t="s">
        <v>457</v>
      </c>
      <c r="E8" s="330"/>
      <c r="F8" s="330"/>
    </row>
    <row r="9" spans="1:9" ht="15.75">
      <c r="A9" s="330"/>
      <c r="B9" s="330"/>
      <c r="D9" s="375"/>
      <c r="E9" s="330"/>
      <c r="F9" s="330"/>
    </row>
    <row r="10" spans="1:9" ht="15.75">
      <c r="A10" s="330"/>
      <c r="B10" s="330"/>
      <c r="D10" s="375"/>
      <c r="E10" s="330"/>
      <c r="F10" s="330"/>
    </row>
    <row r="11" spans="1:9" ht="15.75">
      <c r="A11" s="330"/>
      <c r="B11" s="330"/>
      <c r="D11" s="375"/>
      <c r="E11" s="330"/>
      <c r="F11" s="330"/>
    </row>
    <row r="12" spans="1:9" ht="15.75">
      <c r="A12" s="330"/>
      <c r="B12" s="330"/>
      <c r="D12" s="375"/>
      <c r="E12" s="330"/>
      <c r="F12" s="330"/>
    </row>
    <row r="13" spans="1:9" ht="15.75">
      <c r="A13" s="330" t="s">
        <v>524</v>
      </c>
      <c r="B13" s="330"/>
      <c r="D13" s="375"/>
      <c r="E13" s="375" t="s">
        <v>525</v>
      </c>
      <c r="F13" s="330"/>
    </row>
    <row r="14" spans="1:9" ht="15.75">
      <c r="A14" s="466" t="s">
        <v>456</v>
      </c>
      <c r="B14" s="517">
        <v>940900</v>
      </c>
      <c r="D14" s="375" t="s">
        <v>526</v>
      </c>
      <c r="E14" s="330"/>
      <c r="F14" s="330"/>
    </row>
    <row r="15" spans="1:9" ht="31.5">
      <c r="A15" s="465" t="s">
        <v>544</v>
      </c>
      <c r="B15" s="464">
        <v>0</v>
      </c>
      <c r="D15" s="375" t="s">
        <v>458</v>
      </c>
      <c r="E15" s="330"/>
      <c r="F15" s="330"/>
    </row>
    <row r="16" spans="1:9" ht="15.75">
      <c r="A16" s="330"/>
      <c r="B16" s="391">
        <f>SUM(B14:B15)</f>
        <v>940900</v>
      </c>
      <c r="D16" s="375"/>
      <c r="E16" s="330"/>
      <c r="F16" s="330"/>
    </row>
    <row r="17" spans="1:6" ht="15.75">
      <c r="A17" s="330"/>
      <c r="B17" s="330"/>
      <c r="D17" s="375"/>
      <c r="E17" s="330"/>
      <c r="F17" s="330"/>
    </row>
    <row r="18" spans="1:6" ht="15.75">
      <c r="A18" s="330"/>
      <c r="B18" s="330"/>
      <c r="D18" s="375"/>
      <c r="E18" s="330"/>
      <c r="F18" s="330"/>
    </row>
    <row r="19" spans="1:6" ht="15.75">
      <c r="A19" s="330" t="s">
        <v>322</v>
      </c>
      <c r="B19" s="330"/>
      <c r="D19" s="375"/>
      <c r="E19" s="330"/>
      <c r="F19" s="330"/>
    </row>
    <row r="20" spans="1:6" ht="15.75">
      <c r="A20" s="272" t="s">
        <v>391</v>
      </c>
      <c r="B20" s="517">
        <v>79000</v>
      </c>
      <c r="D20" s="384" t="s">
        <v>392</v>
      </c>
      <c r="E20" s="330"/>
      <c r="F20" s="330"/>
    </row>
    <row r="21" spans="1:6" ht="15.75">
      <c r="A21" s="189" t="s">
        <v>323</v>
      </c>
      <c r="B21" s="267">
        <v>0</v>
      </c>
      <c r="D21" s="375" t="s">
        <v>459</v>
      </c>
      <c r="E21" s="330"/>
      <c r="F21" s="330"/>
    </row>
    <row r="22" spans="1:6" ht="18" customHeight="1">
      <c r="A22" s="330"/>
      <c r="B22" s="268">
        <f>SUM(B20:B21)</f>
        <v>79000</v>
      </c>
      <c r="C22" s="330"/>
      <c r="D22" s="330"/>
      <c r="E22" s="330"/>
      <c r="F22" s="330"/>
    </row>
    <row r="23" spans="1:6" ht="15.75">
      <c r="A23" s="330"/>
      <c r="B23" s="330"/>
      <c r="C23" s="330"/>
      <c r="D23" s="330"/>
      <c r="E23" s="330"/>
      <c r="F23" s="330"/>
    </row>
    <row r="24" spans="1:6" ht="15.75">
      <c r="A24" s="330"/>
      <c r="B24" s="330"/>
      <c r="C24" s="330"/>
      <c r="D24" s="330"/>
      <c r="E24" s="330"/>
      <c r="F24" s="330"/>
    </row>
    <row r="25" spans="1:6" ht="15.75">
      <c r="A25" s="196" t="s">
        <v>505</v>
      </c>
      <c r="B25" s="196"/>
      <c r="C25" s="196"/>
      <c r="D25" s="196"/>
      <c r="E25" s="196"/>
      <c r="F25" s="196"/>
    </row>
    <row r="26" spans="1:6" ht="15.75">
      <c r="A26" s="330"/>
      <c r="B26" s="330"/>
      <c r="C26" s="330"/>
      <c r="D26" s="330"/>
      <c r="E26" s="330"/>
      <c r="F26" s="330"/>
    </row>
    <row r="27" spans="1:6" ht="15.75">
      <c r="A27" s="330"/>
      <c r="B27" s="330"/>
      <c r="C27" s="330"/>
      <c r="D27" s="330"/>
      <c r="E27" s="330"/>
      <c r="F27" s="330"/>
    </row>
    <row r="28" spans="1:6" ht="15.75">
      <c r="A28" s="271" t="s">
        <v>399</v>
      </c>
      <c r="B28" s="330"/>
      <c r="C28" s="330"/>
      <c r="D28" s="330"/>
      <c r="E28" s="330"/>
      <c r="F28" s="330"/>
    </row>
    <row r="29" spans="1:6" ht="15.75">
      <c r="A29" s="330"/>
      <c r="B29" s="330"/>
      <c r="C29" s="330"/>
      <c r="D29" s="330"/>
      <c r="E29" s="330"/>
    </row>
  </sheetData>
  <mergeCells count="4">
    <mergeCell ref="A2:B2"/>
    <mergeCell ref="A1:B1"/>
    <mergeCell ref="A3:B3"/>
    <mergeCell ref="A5:B5"/>
  </mergeCells>
  <pageMargins left="0.45" right="0.7" top="1" bottom="0.5" header="0.3" footer="0.3"/>
  <pageSetup orientation="landscape" r:id="rId1"/>
  <headerFooter>
    <oddHeader>&amp;L&amp;"Arial MT,Bold"Rochester Public Utilities
2019 Work Papers&amp;R&amp;"Arial MT,Bold"Exhibit RPU-8
Page 16 of 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18"/>
  <sheetViews>
    <sheetView workbookViewId="0">
      <selection activeCell="D11" sqref="D11"/>
    </sheetView>
  </sheetViews>
  <sheetFormatPr defaultColWidth="8.88671875" defaultRowHeight="15"/>
  <cols>
    <col min="1" max="1" width="32.33203125" style="181" bestFit="1" customWidth="1"/>
    <col min="2" max="3" width="6.5546875" style="181" customWidth="1"/>
    <col min="4" max="4" width="11.5546875" style="181" bestFit="1" customWidth="1"/>
    <col min="5" max="5" width="2.109375" style="181" customWidth="1"/>
    <col min="6" max="16384" width="8.88671875" style="181"/>
  </cols>
  <sheetData>
    <row r="1" spans="1:7" ht="22.5">
      <c r="A1" s="663" t="str">
        <f>Coversheet!B3</f>
        <v>Rochester Public Utilities</v>
      </c>
      <c r="B1" s="663"/>
      <c r="C1" s="663"/>
      <c r="D1" s="663"/>
      <c r="E1" s="392"/>
      <c r="F1" s="392"/>
      <c r="G1" s="392"/>
    </row>
    <row r="2" spans="1:7" ht="22.5">
      <c r="A2" s="663" t="s">
        <v>522</v>
      </c>
      <c r="B2" s="663"/>
      <c r="C2" s="663"/>
      <c r="D2" s="663"/>
      <c r="E2" s="392"/>
      <c r="F2" s="392"/>
      <c r="G2" s="392"/>
    </row>
    <row r="3" spans="1:7" ht="22.5">
      <c r="A3" s="668" t="str">
        <f>'EPRI Reg Comm Non Safety'!A3</f>
        <v>FLTY Forecast for 12 Months Ended December 31, 2019</v>
      </c>
      <c r="B3" s="668"/>
      <c r="C3" s="668"/>
      <c r="D3" s="668"/>
      <c r="E3" s="392"/>
      <c r="F3" s="392"/>
      <c r="G3" s="392"/>
    </row>
    <row r="4" spans="1:7">
      <c r="A4" s="266"/>
      <c r="B4" s="266"/>
      <c r="C4" s="266"/>
      <c r="D4" s="266"/>
      <c r="E4" s="266"/>
      <c r="F4" s="266"/>
      <c r="G4" s="266"/>
    </row>
    <row r="5" spans="1:7" ht="15.75">
      <c r="A5" s="668" t="s">
        <v>324</v>
      </c>
      <c r="B5" s="668"/>
      <c r="C5" s="668"/>
      <c r="D5" s="668"/>
      <c r="E5" s="266"/>
      <c r="F5" s="266"/>
      <c r="G5" s="266"/>
    </row>
    <row r="6" spans="1:7">
      <c r="A6" s="266"/>
      <c r="B6" s="266"/>
      <c r="C6" s="266"/>
      <c r="D6" s="266"/>
      <c r="E6" s="266"/>
      <c r="F6" s="266"/>
      <c r="G6" s="266"/>
    </row>
    <row r="7" spans="1:7" ht="15.75">
      <c r="A7" s="393" t="s">
        <v>325</v>
      </c>
      <c r="B7" s="266"/>
      <c r="C7" s="266"/>
      <c r="D7" s="517">
        <v>1048000</v>
      </c>
      <c r="E7" s="266"/>
      <c r="F7" s="396" t="s">
        <v>326</v>
      </c>
      <c r="G7" s="396"/>
    </row>
    <row r="8" spans="1:7" ht="15.75">
      <c r="A8" s="266" t="s">
        <v>327</v>
      </c>
      <c r="B8" s="266"/>
      <c r="C8" s="266"/>
      <c r="D8" s="518">
        <v>0</v>
      </c>
      <c r="E8" s="266"/>
      <c r="F8" s="396" t="s">
        <v>328</v>
      </c>
      <c r="G8" s="396"/>
    </row>
    <row r="9" spans="1:7" ht="15.75">
      <c r="A9" s="266" t="s">
        <v>329</v>
      </c>
      <c r="B9" s="266"/>
      <c r="C9" s="266"/>
      <c r="D9" s="518">
        <v>0</v>
      </c>
      <c r="E9" s="266"/>
      <c r="F9" s="396" t="s">
        <v>330</v>
      </c>
      <c r="G9" s="396"/>
    </row>
    <row r="10" spans="1:7" ht="15.75">
      <c r="A10" s="266" t="s">
        <v>331</v>
      </c>
      <c r="B10" s="266"/>
      <c r="C10" s="266"/>
      <c r="D10" s="518">
        <v>0</v>
      </c>
      <c r="E10" s="266"/>
      <c r="F10" s="396" t="s">
        <v>332</v>
      </c>
      <c r="G10" s="396"/>
    </row>
    <row r="11" spans="1:7" ht="15.75">
      <c r="A11" s="394" t="s">
        <v>183</v>
      </c>
      <c r="B11" s="266"/>
      <c r="C11" s="266"/>
      <c r="D11" s="519">
        <v>8801000</v>
      </c>
      <c r="E11" s="266"/>
      <c r="F11" s="396" t="s">
        <v>568</v>
      </c>
      <c r="G11" s="396"/>
    </row>
    <row r="12" spans="1:7" ht="15.75">
      <c r="A12" s="266" t="s">
        <v>333</v>
      </c>
      <c r="B12" s="266"/>
      <c r="C12" s="266"/>
      <c r="D12" s="395">
        <v>0</v>
      </c>
      <c r="E12" s="266"/>
      <c r="F12" s="396" t="s">
        <v>334</v>
      </c>
      <c r="G12" s="396"/>
    </row>
    <row r="13" spans="1:7" ht="15.75">
      <c r="A13" s="266" t="s">
        <v>4</v>
      </c>
      <c r="B13" s="266"/>
      <c r="C13" s="266"/>
      <c r="D13" s="287">
        <f>SUM(D7:D12)</f>
        <v>9849000</v>
      </c>
      <c r="E13" s="266"/>
      <c r="F13" s="396" t="s">
        <v>335</v>
      </c>
      <c r="G13" s="396"/>
    </row>
    <row r="14" spans="1:7">
      <c r="A14" s="266"/>
      <c r="B14" s="266"/>
      <c r="C14" s="266"/>
      <c r="D14" s="266"/>
      <c r="E14" s="266"/>
      <c r="F14" s="396" t="s">
        <v>336</v>
      </c>
      <c r="G14" s="396"/>
    </row>
    <row r="15" spans="1:7">
      <c r="A15" s="266"/>
      <c r="B15" s="266"/>
      <c r="C15" s="266"/>
      <c r="D15" s="266"/>
      <c r="E15" s="266"/>
      <c r="F15" s="396" t="s">
        <v>337</v>
      </c>
      <c r="G15" s="396"/>
    </row>
    <row r="16" spans="1:7">
      <c r="A16" s="266"/>
      <c r="B16" s="266"/>
      <c r="C16" s="266"/>
      <c r="D16" s="266"/>
      <c r="E16" s="266"/>
      <c r="F16" s="396" t="s">
        <v>338</v>
      </c>
      <c r="G16" s="396"/>
    </row>
    <row r="18" spans="4:4">
      <c r="D18" s="473"/>
    </row>
  </sheetData>
  <mergeCells count="4">
    <mergeCell ref="A1:D1"/>
    <mergeCell ref="A3:D3"/>
    <mergeCell ref="A5:D5"/>
    <mergeCell ref="A2:D2"/>
  </mergeCells>
  <pageMargins left="0.95" right="0.7" top="1" bottom="0.75" header="0.55000000000000004" footer="0.3"/>
  <pageSetup orientation="landscape" r:id="rId1"/>
  <headerFooter>
    <oddHeader>&amp;L&amp;"Arial MT,Bold"Rochester Public Utilities
2019 Work Papers&amp;R&amp;"Arial MT,Bold"Exhibit RPU-8
Page 17 of 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23"/>
  <sheetViews>
    <sheetView workbookViewId="0">
      <selection activeCell="C20" sqref="C20"/>
    </sheetView>
  </sheetViews>
  <sheetFormatPr defaultColWidth="8.88671875" defaultRowHeight="15"/>
  <cols>
    <col min="1" max="1" width="5.5546875" style="181" customWidth="1"/>
    <col min="2" max="2" width="62.109375" style="181" customWidth="1"/>
    <col min="3" max="3" width="8.77734375" style="181" customWidth="1"/>
    <col min="4" max="4" width="0.6640625" style="181" customWidth="1"/>
    <col min="5" max="5" width="57.21875" style="181" bestFit="1" customWidth="1"/>
    <col min="6" max="16384" width="8.88671875" style="181"/>
  </cols>
  <sheetData>
    <row r="1" spans="1:5" ht="15.75">
      <c r="B1" s="339" t="str">
        <f>Coversheet!B3</f>
        <v>Rochester Public Utilities</v>
      </c>
      <c r="C1" s="332"/>
      <c r="D1" s="332"/>
      <c r="E1" s="332"/>
    </row>
    <row r="2" spans="1:5" ht="15.4" customHeight="1">
      <c r="A2" s="668" t="s">
        <v>546</v>
      </c>
      <c r="B2" s="668"/>
      <c r="C2" s="668"/>
      <c r="D2" s="332"/>
      <c r="E2" s="332"/>
    </row>
    <row r="3" spans="1:5" ht="15.75">
      <c r="B3" s="660" t="str">
        <f>IF('True-up Interest'!$J$12&lt;0.5,CONCATENATE("FLTY Forecast for 12 Months Ended December 31, ",Coversheet!E41),CONCATENATE("True-up Actual for 12 Months Ended December 31, ",Coversheet!E41))</f>
        <v>FLTY Forecast for 12 Months Ended December 31, 2019</v>
      </c>
      <c r="C3" s="660"/>
      <c r="D3" s="660"/>
      <c r="E3" s="333"/>
    </row>
    <row r="4" spans="1:5">
      <c r="B4" s="334"/>
      <c r="C4" s="332"/>
      <c r="D4" s="332"/>
    </row>
    <row r="5" spans="1:5">
      <c r="B5" s="352" t="s">
        <v>339</v>
      </c>
      <c r="C5" s="266"/>
      <c r="D5" s="266"/>
      <c r="E5" s="266"/>
    </row>
    <row r="6" spans="1:5">
      <c r="C6" s="335"/>
      <c r="D6" s="335"/>
      <c r="E6" s="266"/>
    </row>
    <row r="7" spans="1:5" ht="18.75">
      <c r="B7" s="340" t="s">
        <v>506</v>
      </c>
      <c r="C7" s="266"/>
      <c r="D7" s="266"/>
      <c r="E7" s="266"/>
    </row>
    <row r="8" spans="1:5">
      <c r="B8" s="266"/>
      <c r="C8" s="266"/>
      <c r="D8" s="266"/>
      <c r="E8" s="266"/>
    </row>
    <row r="9" spans="1:5" ht="15.75">
      <c r="B9" s="286" t="s">
        <v>340</v>
      </c>
      <c r="C9" s="286" t="s">
        <v>3</v>
      </c>
      <c r="D9" s="266"/>
      <c r="E9" s="375" t="s">
        <v>342</v>
      </c>
    </row>
    <row r="10" spans="1:5" ht="15.75">
      <c r="A10" s="341" t="s">
        <v>181</v>
      </c>
      <c r="B10" s="336"/>
      <c r="C10" s="286"/>
      <c r="D10" s="266"/>
      <c r="E10" s="376" t="s">
        <v>343</v>
      </c>
    </row>
    <row r="11" spans="1:5" ht="15.75">
      <c r="A11" s="342" t="s">
        <v>2</v>
      </c>
      <c r="B11"/>
      <c r="C11" s="266"/>
      <c r="D11" s="266"/>
      <c r="E11" s="375" t="s">
        <v>344</v>
      </c>
    </row>
    <row r="12" spans="1:5" ht="15.75">
      <c r="A12" s="341">
        <v>1</v>
      </c>
      <c r="B12" s="274" t="s">
        <v>388</v>
      </c>
      <c r="C12" s="520">
        <v>250</v>
      </c>
      <c r="D12" s="266"/>
      <c r="E12" s="375" t="s">
        <v>547</v>
      </c>
    </row>
    <row r="13" spans="1:5" ht="15.75">
      <c r="A13" s="341">
        <f>A12+1</f>
        <v>2</v>
      </c>
      <c r="B13" s="271" t="s">
        <v>393</v>
      </c>
      <c r="C13" s="279">
        <v>36420</v>
      </c>
      <c r="D13" s="266"/>
      <c r="E13" s="375" t="s">
        <v>345</v>
      </c>
    </row>
    <row r="14" spans="1:5" ht="15.75">
      <c r="A14" s="341">
        <f t="shared" ref="A14:A16" si="0">A13+1</f>
        <v>3</v>
      </c>
      <c r="B14" s="330" t="s">
        <v>341</v>
      </c>
      <c r="C14" s="518">
        <v>0</v>
      </c>
      <c r="D14" s="266"/>
      <c r="E14" s="375" t="s">
        <v>346</v>
      </c>
    </row>
    <row r="15" spans="1:5" ht="15.75">
      <c r="A15" s="341">
        <f t="shared" si="0"/>
        <v>4</v>
      </c>
      <c r="B15" s="330" t="s">
        <v>341</v>
      </c>
      <c r="C15" s="521">
        <v>0</v>
      </c>
      <c r="D15" s="266"/>
    </row>
    <row r="16" spans="1:5" ht="15.75">
      <c r="A16" s="341">
        <f t="shared" si="0"/>
        <v>5</v>
      </c>
      <c r="B16" s="266" t="s">
        <v>504</v>
      </c>
      <c r="C16" s="522">
        <f>SUM(C12:C15)</f>
        <v>36670</v>
      </c>
      <c r="D16" s="266"/>
      <c r="E16" s="375" t="s">
        <v>556</v>
      </c>
    </row>
    <row r="17" spans="2:5" ht="15.75">
      <c r="B17" s="330"/>
      <c r="C17" s="331"/>
      <c r="D17" s="266"/>
    </row>
    <row r="18" spans="2:5" ht="15.75">
      <c r="B18" s="330"/>
      <c r="C18" s="331"/>
      <c r="D18" s="266"/>
      <c r="E18" s="330"/>
    </row>
    <row r="19" spans="2:5">
      <c r="B19" s="266"/>
      <c r="C19" s="393"/>
      <c r="D19" s="266"/>
    </row>
    <row r="20" spans="2:5" ht="15" customHeight="1">
      <c r="B20" s="337" t="s">
        <v>389</v>
      </c>
      <c r="C20" s="523">
        <v>199750</v>
      </c>
      <c r="D20" s="266"/>
    </row>
    <row r="21" spans="2:5" ht="15.75" thickBot="1">
      <c r="B21" s="338" t="s">
        <v>390</v>
      </c>
      <c r="C21" s="374">
        <f>C16+C20</f>
        <v>236420</v>
      </c>
      <c r="D21" s="266"/>
    </row>
    <row r="22" spans="2:5" ht="15.75" thickTop="1">
      <c r="B22" s="266"/>
      <c r="C22" s="266"/>
      <c r="D22" s="266"/>
    </row>
    <row r="23" spans="2:5">
      <c r="B23" s="266"/>
      <c r="C23" s="266"/>
      <c r="D23" s="266"/>
      <c r="E23" s="266"/>
    </row>
  </sheetData>
  <mergeCells count="2">
    <mergeCell ref="B3:D3"/>
    <mergeCell ref="A2:C2"/>
  </mergeCells>
  <pageMargins left="0.7" right="0.45" top="0.75" bottom="0.75" header="0.3" footer="0.3"/>
  <pageSetup orientation="landscape" r:id="rId1"/>
  <headerFooter>
    <oddHeader>&amp;L&amp;"Arial MT,Bold"Rochester Public Utilities
2019 Work Papers&amp;R&amp;"Arial MT,Bold"Exhibit RPU-8
Page 18 of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32"/>
  <sheetViews>
    <sheetView topLeftCell="C10" workbookViewId="0"/>
  </sheetViews>
  <sheetFormatPr defaultColWidth="8.88671875" defaultRowHeight="15"/>
  <cols>
    <col min="1" max="1" width="15.77734375" style="181" customWidth="1"/>
    <col min="2" max="2" width="5" style="181" customWidth="1"/>
    <col min="3" max="3" width="75.21875" style="181" customWidth="1"/>
    <col min="4" max="4" width="12.21875" style="181" bestFit="1" customWidth="1"/>
    <col min="5" max="5" width="1.5546875" style="181" customWidth="1"/>
    <col min="6" max="6" width="21.21875" style="181" bestFit="1" customWidth="1"/>
    <col min="7" max="16384" width="8.88671875" style="181"/>
  </cols>
  <sheetData>
    <row r="1" spans="1:9" ht="20.25" customHeight="1">
      <c r="B1" s="668" t="str">
        <f>Coversheet!B3</f>
        <v>Rochester Public Utilities</v>
      </c>
      <c r="C1" s="668"/>
      <c r="D1" s="668"/>
      <c r="E1" s="332"/>
      <c r="F1" s="190"/>
      <c r="G1" s="190"/>
      <c r="H1" s="190"/>
      <c r="I1" s="190"/>
    </row>
    <row r="2" spans="1:9" ht="20.25" customHeight="1">
      <c r="B2" s="668" t="s">
        <v>523</v>
      </c>
      <c r="C2" s="668"/>
      <c r="D2" s="668"/>
      <c r="E2" s="332"/>
      <c r="F2" s="190"/>
      <c r="G2" s="190"/>
      <c r="H2" s="190"/>
      <c r="I2" s="190"/>
    </row>
    <row r="3" spans="1:9" ht="15.75">
      <c r="B3" s="660" t="str">
        <f>IF('True-up Interest'!$J$12&lt;0.5,CONCATENATE("FLTY Forecast for 12 Months Ended December 31, ",Coversheet!E41),CONCATENATE("True-up Actual for 12 Months Ended December 31, ",Coversheet!E41))</f>
        <v>FLTY Forecast for 12 Months Ended December 31, 2019</v>
      </c>
      <c r="C3" s="660"/>
      <c r="D3" s="660"/>
      <c r="E3" s="371"/>
      <c r="F3" s="202"/>
      <c r="G3" s="202"/>
      <c r="H3" s="202"/>
    </row>
    <row r="4" spans="1:9" ht="15.75">
      <c r="A4" s="200"/>
      <c r="B4" s="190"/>
      <c r="D4" s="373"/>
      <c r="E4" s="343"/>
      <c r="F4" s="343"/>
    </row>
    <row r="5" spans="1:9" ht="15.75">
      <c r="A5" s="190"/>
      <c r="B5" s="190"/>
      <c r="C5" s="332"/>
      <c r="D5" s="343"/>
      <c r="E5" s="343"/>
      <c r="F5" s="343"/>
      <c r="G5" s="190"/>
      <c r="H5" s="190"/>
    </row>
    <row r="6" spans="1:9" ht="15.75">
      <c r="A6" s="190"/>
      <c r="B6" s="341" t="s">
        <v>1</v>
      </c>
      <c r="D6" s="344" t="s">
        <v>347</v>
      </c>
      <c r="E6" s="343"/>
      <c r="F6" s="350"/>
      <c r="G6" s="190"/>
      <c r="H6" s="190"/>
    </row>
    <row r="7" spans="1:9" ht="15.75">
      <c r="A7" s="190"/>
      <c r="B7" s="342" t="s">
        <v>2</v>
      </c>
      <c r="C7" s="398" t="s">
        <v>347</v>
      </c>
      <c r="D7" s="345" t="s">
        <v>348</v>
      </c>
      <c r="E7" s="330"/>
      <c r="F7" s="343"/>
      <c r="G7" s="190"/>
      <c r="H7" s="190"/>
    </row>
    <row r="8" spans="1:9" ht="15.75">
      <c r="A8" s="190"/>
      <c r="B8" s="341"/>
      <c r="C8" s="343"/>
      <c r="D8" s="343"/>
      <c r="E8" s="343"/>
      <c r="F8" s="343"/>
      <c r="G8" s="190"/>
      <c r="H8" s="190"/>
    </row>
    <row r="9" spans="1:9" ht="15.75">
      <c r="A9" s="190"/>
      <c r="B9" s="341">
        <v>1</v>
      </c>
      <c r="C9" s="343" t="s">
        <v>527</v>
      </c>
      <c r="D9" s="524">
        <v>433000</v>
      </c>
      <c r="E9" s="343"/>
      <c r="F9" s="343"/>
      <c r="G9" s="190"/>
      <c r="H9" s="190"/>
    </row>
    <row r="10" spans="1:9" ht="15.75">
      <c r="A10" s="190"/>
      <c r="B10" s="341">
        <f>+B9+1</f>
        <v>2</v>
      </c>
      <c r="C10" s="343" t="s">
        <v>528</v>
      </c>
      <c r="D10" s="525">
        <v>259000</v>
      </c>
      <c r="E10" s="343"/>
      <c r="F10" s="343"/>
      <c r="G10" s="190"/>
      <c r="H10" s="190"/>
    </row>
    <row r="11" spans="1:9" ht="15.75">
      <c r="A11" s="190"/>
      <c r="B11" s="341">
        <f t="shared" ref="B11:B18" si="0">+B10+1</f>
        <v>3</v>
      </c>
      <c r="C11" s="343" t="s">
        <v>349</v>
      </c>
      <c r="D11" s="525">
        <v>55000</v>
      </c>
      <c r="E11" s="343"/>
      <c r="F11" s="343"/>
      <c r="G11" s="190"/>
      <c r="H11" s="190"/>
    </row>
    <row r="12" spans="1:9" ht="15.75">
      <c r="A12" s="190"/>
      <c r="B12" s="341">
        <f t="shared" si="0"/>
        <v>4</v>
      </c>
      <c r="C12" s="343" t="s">
        <v>350</v>
      </c>
      <c r="D12" s="525">
        <v>0</v>
      </c>
      <c r="E12" s="343"/>
      <c r="F12" s="343"/>
      <c r="G12" s="190"/>
      <c r="H12" s="190"/>
    </row>
    <row r="13" spans="1:9" ht="15.75">
      <c r="A13" s="190"/>
      <c r="B13" s="341">
        <f t="shared" si="0"/>
        <v>5</v>
      </c>
      <c r="C13" s="343" t="s">
        <v>351</v>
      </c>
      <c r="D13" s="525">
        <v>0</v>
      </c>
      <c r="E13" s="343"/>
      <c r="F13" s="343"/>
      <c r="G13" s="190"/>
      <c r="H13" s="190"/>
    </row>
    <row r="14" spans="1:9" ht="15.75">
      <c r="A14" s="190"/>
      <c r="B14" s="341">
        <f t="shared" si="0"/>
        <v>6</v>
      </c>
      <c r="C14" s="343" t="s">
        <v>352</v>
      </c>
      <c r="D14" s="525">
        <v>3530000</v>
      </c>
      <c r="E14" s="343"/>
      <c r="F14" s="343"/>
      <c r="G14" s="190"/>
      <c r="H14" s="190"/>
    </row>
    <row r="15" spans="1:9" ht="15.75">
      <c r="A15" s="190"/>
      <c r="B15" s="452" t="s">
        <v>358</v>
      </c>
      <c r="C15" s="343" t="s">
        <v>539</v>
      </c>
      <c r="D15" s="525">
        <v>-52000</v>
      </c>
      <c r="E15" s="343"/>
      <c r="F15" s="460"/>
      <c r="G15" s="190"/>
      <c r="H15" s="190"/>
    </row>
    <row r="16" spans="1:9" ht="15.75">
      <c r="A16" s="190"/>
      <c r="B16" s="341">
        <f>+B14+1</f>
        <v>7</v>
      </c>
      <c r="C16" s="343" t="s">
        <v>353</v>
      </c>
      <c r="D16" s="525">
        <v>0</v>
      </c>
      <c r="E16" s="343"/>
      <c r="F16" s="351"/>
      <c r="G16" s="190"/>
      <c r="H16" s="190"/>
    </row>
    <row r="17" spans="1:8" ht="15.75">
      <c r="A17" s="190"/>
      <c r="B17" s="341">
        <f t="shared" si="0"/>
        <v>8</v>
      </c>
      <c r="C17" s="343" t="s">
        <v>463</v>
      </c>
      <c r="D17" s="525">
        <v>775000</v>
      </c>
      <c r="E17" s="343"/>
      <c r="F17" s="351"/>
      <c r="G17" s="190"/>
      <c r="H17" s="190"/>
    </row>
    <row r="18" spans="1:8" ht="15.75">
      <c r="A18" s="190"/>
      <c r="B18" s="341">
        <f t="shared" si="0"/>
        <v>9</v>
      </c>
      <c r="C18" s="343" t="s">
        <v>555</v>
      </c>
      <c r="D18" s="525">
        <v>0</v>
      </c>
      <c r="E18" s="468"/>
      <c r="F18" s="351"/>
      <c r="G18" s="190"/>
      <c r="H18" s="190"/>
    </row>
    <row r="19" spans="1:8" ht="15.75">
      <c r="A19" s="190"/>
      <c r="B19" s="190"/>
      <c r="C19" s="343" t="s">
        <v>354</v>
      </c>
      <c r="D19" s="346">
        <f>SUM(D9:D18)</f>
        <v>5000000</v>
      </c>
      <c r="E19" s="343"/>
      <c r="F19" s="351"/>
      <c r="G19" s="190"/>
      <c r="H19" s="190"/>
    </row>
    <row r="20" spans="1:8" ht="15.75">
      <c r="A20" s="190"/>
      <c r="B20" s="190"/>
      <c r="C20" s="190"/>
      <c r="D20" s="347"/>
      <c r="E20" s="343"/>
      <c r="F20" s="351"/>
      <c r="G20" s="190"/>
      <c r="H20" s="190"/>
    </row>
    <row r="21" spans="1:8" ht="15.75">
      <c r="A21" s="190"/>
      <c r="C21" s="190"/>
      <c r="D21" s="348"/>
      <c r="E21" s="343"/>
      <c r="F21" s="351"/>
      <c r="G21" s="190"/>
      <c r="H21" s="190"/>
    </row>
    <row r="22" spans="1:8" ht="15.75">
      <c r="A22" s="203"/>
      <c r="B22" s="203">
        <f>B18+1</f>
        <v>10</v>
      </c>
      <c r="C22" s="204" t="s">
        <v>7</v>
      </c>
      <c r="D22" s="348">
        <f>D19</f>
        <v>5000000</v>
      </c>
      <c r="E22" s="343"/>
      <c r="F22" s="397" t="s">
        <v>569</v>
      </c>
      <c r="G22" s="190"/>
      <c r="H22" s="190"/>
    </row>
    <row r="23" spans="1:8" ht="15.75">
      <c r="A23" s="203"/>
      <c r="B23" s="341">
        <f t="shared" ref="B23:B26" si="1">+B22+1</f>
        <v>11</v>
      </c>
      <c r="C23" s="205" t="s">
        <v>355</v>
      </c>
      <c r="D23" s="348">
        <f>D10+D11+D12+D13+D18</f>
        <v>314000</v>
      </c>
      <c r="E23" s="468"/>
      <c r="F23" s="397" t="s">
        <v>356</v>
      </c>
      <c r="G23" s="190"/>
      <c r="H23" s="190"/>
    </row>
    <row r="24" spans="1:8" ht="15.75">
      <c r="A24" s="206"/>
      <c r="B24" s="296">
        <f t="shared" si="1"/>
        <v>12</v>
      </c>
      <c r="C24" s="461" t="s">
        <v>548</v>
      </c>
      <c r="D24" s="462">
        <f>D14+D15</f>
        <v>3478000</v>
      </c>
      <c r="E24" s="308"/>
      <c r="F24" s="463" t="s">
        <v>570</v>
      </c>
      <c r="G24" s="190"/>
      <c r="H24" s="190"/>
    </row>
    <row r="25" spans="1:8" ht="15.75">
      <c r="A25" s="206"/>
      <c r="B25" s="341">
        <f t="shared" si="1"/>
        <v>13</v>
      </c>
      <c r="C25" s="207" t="s">
        <v>8</v>
      </c>
      <c r="D25" s="348">
        <f>D16</f>
        <v>0</v>
      </c>
      <c r="E25" s="343"/>
      <c r="F25" s="397" t="s">
        <v>571</v>
      </c>
      <c r="G25" s="190"/>
      <c r="H25" s="190"/>
    </row>
    <row r="26" spans="1:8" ht="15.75">
      <c r="A26" s="203"/>
      <c r="B26" s="341">
        <f t="shared" si="1"/>
        <v>14</v>
      </c>
      <c r="C26" s="207" t="s">
        <v>357</v>
      </c>
      <c r="D26" s="349">
        <f>D22-D23-D24-D25</f>
        <v>1208000</v>
      </c>
      <c r="E26" s="343"/>
      <c r="F26" s="397" t="s">
        <v>572</v>
      </c>
      <c r="G26" s="190"/>
      <c r="H26" s="190"/>
    </row>
    <row r="29" spans="1:8" ht="15.75">
      <c r="C29" s="669" t="s">
        <v>485</v>
      </c>
      <c r="D29" s="669"/>
    </row>
    <row r="30" spans="1:8" ht="15.75">
      <c r="C30" s="399" t="s">
        <v>542</v>
      </c>
      <c r="D30" s="330"/>
    </row>
    <row r="31" spans="1:8" ht="15.75">
      <c r="C31" s="399" t="s">
        <v>543</v>
      </c>
      <c r="D31" s="330"/>
    </row>
    <row r="32" spans="1:8" ht="15.75">
      <c r="C32" s="399"/>
    </row>
  </sheetData>
  <mergeCells count="4">
    <mergeCell ref="B1:D1"/>
    <mergeCell ref="B2:D2"/>
    <mergeCell ref="B3:D3"/>
    <mergeCell ref="C29:D29"/>
  </mergeCells>
  <pageMargins left="0.45" right="0.45" top="0.75" bottom="0.5" header="0.3" footer="0.3"/>
  <pageSetup orientation="landscape" r:id="rId1"/>
  <headerFooter>
    <oddHeader>&amp;L&amp;"Arial MT,Bold"Rochester Public Utilities
2019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pageSetUpPr fitToPage="1"/>
  </sheetPr>
  <dimension ref="A1:CF187"/>
  <sheetViews>
    <sheetView topLeftCell="A64" zoomScaleNormal="100" workbookViewId="0">
      <selection activeCell="J12" sqref="J12"/>
    </sheetView>
  </sheetViews>
  <sheetFormatPr defaultRowHeight="15"/>
  <cols>
    <col min="1" max="1" width="4.44140625" customWidth="1"/>
    <col min="2" max="2" width="6.77734375" customWidth="1"/>
    <col min="3" max="3" width="9.77734375" bestFit="1" customWidth="1"/>
    <col min="4" max="4" width="10.88671875" customWidth="1"/>
    <col min="8" max="8" width="8.88671875" customWidth="1"/>
    <col min="10" max="10" width="12.33203125" customWidth="1"/>
    <col min="16" max="16" width="2.77734375" customWidth="1"/>
    <col min="19" max="19" width="2.33203125" customWidth="1"/>
    <col min="22" max="22" width="3.109375" customWidth="1"/>
    <col min="25" max="25" width="3.33203125" customWidth="1"/>
    <col min="28" max="28" width="3.21875" customWidth="1"/>
    <col min="31" max="31" width="3.109375" customWidth="1"/>
    <col min="32" max="32" width="9.77734375" customWidth="1"/>
    <col min="34" max="34" width="3.6640625" customWidth="1"/>
    <col min="35" max="35" width="9.88671875" bestFit="1" customWidth="1"/>
    <col min="37" max="37" width="3.109375" customWidth="1"/>
    <col min="38" max="38" width="9.88671875" bestFit="1" customWidth="1"/>
    <col min="40" max="40" width="4.21875" customWidth="1"/>
    <col min="41" max="41" width="9.88671875" bestFit="1" customWidth="1"/>
    <col min="43" max="43" width="3.44140625" customWidth="1"/>
    <col min="46" max="46" width="3.77734375" customWidth="1"/>
    <col min="47" max="47" width="9.88671875" bestFit="1" customWidth="1"/>
    <col min="49" max="49" width="3.77734375" customWidth="1"/>
    <col min="50" max="50" width="9.88671875" bestFit="1" customWidth="1"/>
    <col min="52" max="52" width="4" customWidth="1"/>
    <col min="55" max="55" width="3.88671875" customWidth="1"/>
    <col min="58" max="58" width="3.33203125" customWidth="1"/>
    <col min="61" max="61" width="2.77734375" customWidth="1"/>
    <col min="64" max="64" width="3.109375" customWidth="1"/>
    <col min="67" max="67" width="2.88671875" customWidth="1"/>
    <col min="68" max="68" width="9.88671875" bestFit="1" customWidth="1"/>
    <col min="70" max="70" width="3.21875" customWidth="1"/>
    <col min="71" max="71" width="9.88671875" bestFit="1" customWidth="1"/>
    <col min="73" max="73" width="2" customWidth="1"/>
    <col min="74" max="74" width="9.88671875" bestFit="1" customWidth="1"/>
    <col min="76" max="76" width="3" customWidth="1"/>
    <col min="79" max="79" width="2.77734375" customWidth="1"/>
    <col min="82" max="82" width="3.5546875" customWidth="1"/>
  </cols>
  <sheetData>
    <row r="1" spans="1:12" ht="19.149999999999999" customHeight="1"/>
    <row r="2" spans="1:12" ht="19.149999999999999" customHeight="1">
      <c r="L2" s="575" t="s">
        <v>407</v>
      </c>
    </row>
    <row r="4" spans="1:12" ht="19.149999999999999" customHeight="1">
      <c r="A4" s="631" t="s">
        <v>364</v>
      </c>
      <c r="B4" s="631"/>
      <c r="C4" s="631"/>
      <c r="D4" s="631"/>
      <c r="E4" s="631"/>
      <c r="F4" s="631"/>
      <c r="G4" s="631"/>
      <c r="H4" s="631"/>
      <c r="I4" s="631"/>
      <c r="J4" s="631"/>
      <c r="K4" s="631"/>
      <c r="L4" s="631"/>
    </row>
    <row r="5" spans="1:12" ht="19.149999999999999" customHeight="1">
      <c r="A5" s="631" t="s">
        <v>411</v>
      </c>
      <c r="B5" s="631"/>
      <c r="C5" s="631"/>
      <c r="D5" s="631"/>
      <c r="E5" s="631"/>
      <c r="F5" s="631"/>
      <c r="G5" s="631"/>
      <c r="H5" s="631"/>
      <c r="I5" s="631"/>
      <c r="J5" s="631"/>
      <c r="K5" s="631"/>
      <c r="L5" s="631"/>
    </row>
    <row r="6" spans="1:12" ht="19.149999999999999" customHeight="1">
      <c r="A6" s="631" t="s">
        <v>508</v>
      </c>
      <c r="B6" s="631"/>
      <c r="C6" s="631"/>
      <c r="D6" s="631"/>
      <c r="E6" s="631"/>
      <c r="F6" s="631"/>
      <c r="G6" s="631"/>
      <c r="H6" s="631"/>
      <c r="I6" s="631"/>
      <c r="J6" s="631"/>
      <c r="K6" s="631"/>
      <c r="L6" s="631"/>
    </row>
    <row r="7" spans="1:12">
      <c r="A7" s="241"/>
      <c r="B7" s="241"/>
      <c r="C7" s="241"/>
      <c r="D7" s="241"/>
      <c r="E7" s="241"/>
      <c r="F7" s="241"/>
      <c r="G7" s="241"/>
      <c r="H7" s="241"/>
      <c r="I7" s="241"/>
      <c r="J7" s="241"/>
      <c r="K7" s="241"/>
      <c r="L7" s="241"/>
    </row>
    <row r="8" spans="1:12" ht="15.75">
      <c r="A8" s="632" t="s">
        <v>484</v>
      </c>
      <c r="B8" s="632"/>
      <c r="C8" s="632"/>
      <c r="D8" s="632"/>
      <c r="E8" s="632"/>
      <c r="F8" s="632"/>
      <c r="G8" s="632"/>
      <c r="H8" s="632"/>
      <c r="I8" s="632"/>
      <c r="J8" s="632"/>
      <c r="K8" s="632"/>
      <c r="L8" s="632"/>
    </row>
    <row r="10" spans="1:12" ht="31.5">
      <c r="A10" s="254" t="s">
        <v>198</v>
      </c>
    </row>
    <row r="11" spans="1:12" ht="15.75">
      <c r="A11" s="575"/>
      <c r="C11" s="634" t="s">
        <v>530</v>
      </c>
      <c r="D11" s="634"/>
      <c r="E11" s="634"/>
      <c r="F11" s="634"/>
      <c r="G11" s="634"/>
      <c r="H11" s="634"/>
      <c r="I11" s="634"/>
      <c r="J11" s="634"/>
    </row>
    <row r="12" spans="1:12" ht="15.75">
      <c r="A12" s="579">
        <v>1</v>
      </c>
      <c r="C12" s="633" t="s">
        <v>535</v>
      </c>
      <c r="D12" s="633"/>
      <c r="E12" s="633"/>
      <c r="F12" s="633"/>
      <c r="G12" s="633"/>
      <c r="H12" s="633"/>
      <c r="J12" s="256">
        <v>0</v>
      </c>
    </row>
    <row r="13" spans="1:12" ht="15.75">
      <c r="A13" s="579">
        <f t="shared" ref="A13:A14" si="0">A12+1</f>
        <v>2</v>
      </c>
      <c r="C13" s="630" t="s">
        <v>536</v>
      </c>
      <c r="D13" s="630"/>
      <c r="E13" s="630"/>
      <c r="F13" s="630"/>
      <c r="G13" s="630"/>
      <c r="H13" s="630"/>
      <c r="J13" s="367">
        <v>0</v>
      </c>
    </row>
    <row r="14" spans="1:12" ht="15.75">
      <c r="A14" s="579">
        <f t="shared" si="0"/>
        <v>3</v>
      </c>
      <c r="C14" s="626" t="s">
        <v>486</v>
      </c>
      <c r="D14" s="626"/>
      <c r="E14" s="626"/>
      <c r="F14" s="626"/>
      <c r="G14" s="626"/>
      <c r="H14" s="626"/>
      <c r="J14" s="247">
        <f>J12-J13</f>
        <v>0</v>
      </c>
    </row>
    <row r="16" spans="1:12" ht="15.75">
      <c r="A16" s="579">
        <f>A14+1</f>
        <v>4</v>
      </c>
      <c r="C16" s="626" t="s">
        <v>487</v>
      </c>
      <c r="D16" s="626"/>
      <c r="E16" s="626"/>
      <c r="F16" s="626"/>
      <c r="G16" s="626"/>
      <c r="H16" s="626"/>
      <c r="J16" s="456">
        <f>IF(J17&gt;0,Divisor!M24,0)</f>
        <v>0</v>
      </c>
    </row>
    <row r="17" spans="1:10" ht="15.75">
      <c r="A17" s="579">
        <f>A16+1</f>
        <v>5</v>
      </c>
      <c r="C17" s="629" t="s">
        <v>488</v>
      </c>
      <c r="D17" s="629"/>
      <c r="E17" s="629"/>
      <c r="F17" s="629"/>
      <c r="G17" s="629"/>
      <c r="H17" s="629"/>
      <c r="J17" s="368">
        <v>0</v>
      </c>
    </row>
    <row r="18" spans="1:10" ht="15.75">
      <c r="A18" s="579">
        <f>A17+1</f>
        <v>6</v>
      </c>
      <c r="C18" s="630" t="s">
        <v>529</v>
      </c>
      <c r="D18" s="630"/>
      <c r="E18" s="630"/>
      <c r="F18" s="630"/>
      <c r="G18" s="630"/>
      <c r="H18" s="630"/>
      <c r="J18" s="377">
        <f>J17-J16</f>
        <v>0</v>
      </c>
    </row>
    <row r="19" spans="1:10" ht="15.75">
      <c r="A19" s="579">
        <f>A18+1</f>
        <v>7</v>
      </c>
      <c r="C19" s="630" t="s">
        <v>489</v>
      </c>
      <c r="D19" s="630"/>
      <c r="E19" s="630"/>
      <c r="F19" s="630"/>
      <c r="G19" s="630"/>
      <c r="H19" s="630"/>
      <c r="J19" s="455" t="e">
        <f>ROUND(J13/J17,3)</f>
        <v>#DIV/0!</v>
      </c>
    </row>
    <row r="20" spans="1:10" ht="15.75">
      <c r="A20" s="579">
        <f>A19+1</f>
        <v>8</v>
      </c>
      <c r="C20" s="630" t="s">
        <v>490</v>
      </c>
      <c r="D20" s="630"/>
      <c r="E20" s="630"/>
      <c r="F20" s="630"/>
      <c r="G20" s="630"/>
      <c r="H20" s="630"/>
      <c r="J20" s="378" t="e">
        <f>ROUND(J18*J19,2)</f>
        <v>#DIV/0!</v>
      </c>
    </row>
    <row r="21" spans="1:10" ht="16.5" thickBot="1">
      <c r="A21" s="579">
        <f>A20+1</f>
        <v>9</v>
      </c>
      <c r="C21" s="575" t="s">
        <v>491</v>
      </c>
      <c r="D21" s="575"/>
      <c r="E21" s="575"/>
      <c r="F21" s="575"/>
      <c r="G21" s="575"/>
      <c r="H21" s="575"/>
      <c r="J21" s="379" t="e">
        <f>J14+J20</f>
        <v>#DIV/0!</v>
      </c>
    </row>
    <row r="22" spans="1:10" ht="15.75" thickTop="1"/>
    <row r="23" spans="1:10" ht="15.75">
      <c r="A23" s="579">
        <f>A21+1</f>
        <v>10</v>
      </c>
      <c r="C23" s="629" t="s">
        <v>492</v>
      </c>
      <c r="D23" s="629"/>
      <c r="E23" s="629"/>
      <c r="F23" s="629"/>
      <c r="G23" s="629"/>
      <c r="H23" s="629"/>
      <c r="I23" s="629"/>
      <c r="J23" s="369" t="e">
        <f>IF(J21&lt;0,I88,K88)</f>
        <v>#DIV/0!</v>
      </c>
    </row>
    <row r="24" spans="1:10" ht="15.75">
      <c r="A24" s="579">
        <f>A23+1</f>
        <v>11</v>
      </c>
      <c r="C24" s="627" t="s">
        <v>494</v>
      </c>
      <c r="D24" s="627"/>
      <c r="E24" s="627"/>
      <c r="F24" s="627"/>
      <c r="G24" s="627"/>
      <c r="H24" s="627"/>
      <c r="I24" s="627"/>
      <c r="J24" s="370">
        <v>24</v>
      </c>
    </row>
    <row r="25" spans="1:10" ht="16.5" thickBot="1">
      <c r="A25" s="579">
        <f>A24+1</f>
        <v>12</v>
      </c>
      <c r="C25" s="627" t="s">
        <v>493</v>
      </c>
      <c r="D25" s="627"/>
      <c r="E25" s="627"/>
      <c r="F25" s="627"/>
      <c r="G25" s="627"/>
      <c r="H25" s="627"/>
      <c r="J25" s="381" t="e">
        <f>ROUND(J21*J23*J24,2)</f>
        <v>#DIV/0!</v>
      </c>
    </row>
    <row r="26" spans="1:10" ht="15.75" thickTop="1"/>
    <row r="27" spans="1:10" ht="15.75">
      <c r="A27" s="579">
        <f>A25+1</f>
        <v>13</v>
      </c>
      <c r="C27" s="630" t="s">
        <v>531</v>
      </c>
      <c r="D27" s="630"/>
      <c r="E27" s="630"/>
      <c r="F27" s="630"/>
      <c r="G27" s="630"/>
      <c r="H27" s="630"/>
      <c r="J27" s="457">
        <f>IF(J28&gt;0,#REF!,0)</f>
        <v>0</v>
      </c>
    </row>
    <row r="28" spans="1:10" ht="15.75">
      <c r="A28" s="579">
        <f>A27+1</f>
        <v>14</v>
      </c>
      <c r="C28" s="630" t="s">
        <v>532</v>
      </c>
      <c r="D28" s="630"/>
      <c r="E28" s="630"/>
      <c r="F28" s="630"/>
      <c r="G28" s="630"/>
      <c r="H28" s="630"/>
      <c r="J28" s="406">
        <v>0</v>
      </c>
    </row>
    <row r="29" spans="1:10" ht="15.75">
      <c r="A29" s="579">
        <f>A28+1</f>
        <v>15</v>
      </c>
      <c r="C29" s="626" t="s">
        <v>533</v>
      </c>
      <c r="D29" s="626"/>
      <c r="E29" s="626"/>
      <c r="F29" s="626"/>
      <c r="G29" s="626"/>
      <c r="H29" s="626"/>
      <c r="J29" s="380">
        <f>J27-J28</f>
        <v>0</v>
      </c>
    </row>
    <row r="30" spans="1:10" ht="15.75">
      <c r="A30" s="579"/>
      <c r="J30" s="575"/>
    </row>
    <row r="31" spans="1:10" ht="15.75">
      <c r="A31" s="579">
        <f>A29+1</f>
        <v>16</v>
      </c>
      <c r="C31" s="629" t="s">
        <v>492</v>
      </c>
      <c r="D31" s="629"/>
      <c r="E31" s="629"/>
      <c r="F31" s="629"/>
      <c r="G31" s="629"/>
      <c r="H31" s="629"/>
      <c r="I31" s="629"/>
      <c r="J31" s="369">
        <f>IF(J29&lt;0,I88,K88)</f>
        <v>0</v>
      </c>
    </row>
    <row r="32" spans="1:10" ht="15.75">
      <c r="A32" s="579">
        <f>A31+1</f>
        <v>17</v>
      </c>
      <c r="C32" s="627" t="s">
        <v>494</v>
      </c>
      <c r="D32" s="627"/>
      <c r="E32" s="627"/>
      <c r="F32" s="627"/>
      <c r="G32" s="627"/>
      <c r="H32" s="627"/>
      <c r="I32" s="627"/>
      <c r="J32" s="370">
        <v>24</v>
      </c>
    </row>
    <row r="33" spans="1:12" ht="16.5" thickBot="1">
      <c r="A33" s="579">
        <f>A32+1</f>
        <v>18</v>
      </c>
      <c r="C33" s="627" t="s">
        <v>534</v>
      </c>
      <c r="D33" s="627"/>
      <c r="E33" s="627"/>
      <c r="F33" s="627"/>
      <c r="G33" s="627"/>
      <c r="H33" s="627"/>
      <c r="J33" s="381">
        <f>ROUND(J29*J31*J32,2)</f>
        <v>0</v>
      </c>
    </row>
    <row r="34" spans="1:12" ht="15.75" thickTop="1"/>
    <row r="35" spans="1:12" ht="15.75">
      <c r="A35" s="579"/>
    </row>
    <row r="36" spans="1:12" ht="15.75">
      <c r="A36" s="579"/>
    </row>
    <row r="37" spans="1:12" ht="15.75">
      <c r="A37" s="579"/>
      <c r="B37" s="628" t="s">
        <v>485</v>
      </c>
      <c r="C37" s="628"/>
      <c r="D37" s="628"/>
      <c r="E37" s="628"/>
      <c r="F37" s="628"/>
      <c r="G37" s="628"/>
      <c r="H37" s="628"/>
      <c r="I37" s="628"/>
      <c r="J37" s="628"/>
    </row>
    <row r="38" spans="1:12" ht="15.75">
      <c r="A38" s="579"/>
      <c r="B38" s="575" t="str">
        <f>CONCATENATE("(1) Att O_RPU Page 1 of 5, line 7 of RPU True-up Attachment O for 12 months ended 12/31/",Coversheet!E41)</f>
        <v>(1) Att O_RPU Page 1 of 5, line 7 of RPU True-up Attachment O for 12 months ended 12/31/2019</v>
      </c>
      <c r="C38" s="575"/>
      <c r="D38" s="575"/>
      <c r="E38" s="575"/>
      <c r="F38" s="575"/>
      <c r="G38" s="575"/>
      <c r="H38" s="575"/>
      <c r="I38" s="575"/>
      <c r="J38" s="575"/>
      <c r="K38" s="575"/>
      <c r="L38" s="575"/>
    </row>
    <row r="39" spans="1:12" ht="15.75">
      <c r="A39" s="579"/>
      <c r="B39" s="575" t="str">
        <f>CONCATENATE("(2) Att O_RPU Page 1 of 5, line 7of RPU FLTY Attachment O for 12 months ended 12/31/",Coversheet!E41)</f>
        <v>(2) Att O_RPU Page 1 of 5, line 7of RPU FLTY Attachment O for 12 months ended 12/31/2019</v>
      </c>
      <c r="C39" s="575"/>
      <c r="D39" s="575"/>
      <c r="E39" s="575"/>
      <c r="F39" s="575"/>
      <c r="G39" s="575"/>
      <c r="H39" s="575"/>
      <c r="I39" s="575"/>
      <c r="J39" s="575"/>
      <c r="K39" s="575"/>
      <c r="L39" s="575"/>
    </row>
    <row r="40" spans="1:12" ht="15.75">
      <c r="A40" s="579"/>
      <c r="B40" s="575" t="str">
        <f>CONCATENATE("(3) Att O_RPU Page 1 of 5, line 8 of RPU True-up Attachment O for 12 months ended 12/31/",Coversheet!E41)</f>
        <v>(3) Att O_RPU Page 1 of 5, line 8 of RPU True-up Attachment O for 12 months ended 12/31/2019</v>
      </c>
      <c r="C40" s="575"/>
      <c r="D40" s="575"/>
      <c r="E40" s="575"/>
      <c r="F40" s="575"/>
      <c r="G40" s="575"/>
      <c r="H40" s="575"/>
      <c r="I40" s="575"/>
      <c r="J40" s="575"/>
      <c r="K40" s="575"/>
      <c r="L40" s="575"/>
    </row>
    <row r="41" spans="1:12" ht="15.75">
      <c r="A41" s="579"/>
      <c r="B41" s="575" t="str">
        <f>CONCATENATE("(4) Att O_RPU Page 1 of 5, line 8 of RPU FLTY Attachment O for 12 months ended 12/31/",Coversheet!E41)</f>
        <v>(4) Att O_RPU Page 1 of 5, line 8 of RPU FLTY Attachment O for 12 months ended 12/31/2019</v>
      </c>
      <c r="C41" s="575"/>
      <c r="D41" s="575"/>
      <c r="E41" s="575"/>
      <c r="F41" s="575"/>
      <c r="G41" s="575"/>
      <c r="H41" s="575"/>
      <c r="I41" s="575"/>
      <c r="J41" s="575"/>
      <c r="K41" s="575"/>
      <c r="L41" s="575"/>
    </row>
    <row r="42" spans="1:12" ht="15.75">
      <c r="A42" s="579"/>
      <c r="B42" s="575" t="str">
        <f>CONCATENATE("(5) Att O_RPU Page 1 of 5, line 16 of RPU FLTY Attachment O for 12 months ended 12/31/",Coversheet!E41)</f>
        <v>(5) Att O_RPU Page 1 of 5, line 16 of RPU FLTY Attachment O for 12 months ended 12/31/2019</v>
      </c>
      <c r="C42" s="575"/>
      <c r="D42" s="575"/>
      <c r="E42" s="575"/>
      <c r="F42" s="575"/>
      <c r="G42" s="575"/>
      <c r="H42" s="575"/>
      <c r="I42" s="575"/>
      <c r="J42" s="575"/>
      <c r="K42" s="575"/>
      <c r="L42" s="575"/>
    </row>
    <row r="43" spans="1:12" ht="15.75">
      <c r="A43" s="579"/>
      <c r="B43" s="624" t="s">
        <v>497</v>
      </c>
      <c r="C43" s="624"/>
      <c r="D43" s="624"/>
      <c r="E43" s="624"/>
      <c r="F43" s="624"/>
      <c r="G43" s="624"/>
      <c r="H43" s="624"/>
      <c r="I43" s="624"/>
      <c r="J43" s="624"/>
      <c r="K43" s="624"/>
      <c r="L43" s="624"/>
    </row>
    <row r="44" spans="1:12" ht="15.75">
      <c r="A44" s="579"/>
      <c r="B44" s="625" t="s">
        <v>540</v>
      </c>
      <c r="C44" s="625"/>
      <c r="D44" s="625"/>
      <c r="E44" s="625"/>
      <c r="F44" s="625"/>
      <c r="G44" s="625"/>
      <c r="H44" s="625"/>
      <c r="I44" s="625"/>
      <c r="J44" s="625"/>
      <c r="K44" s="625"/>
      <c r="L44" s="625"/>
    </row>
    <row r="45" spans="1:12" ht="15.75">
      <c r="A45" s="579"/>
      <c r="B45" s="626" t="s">
        <v>498</v>
      </c>
      <c r="C45" s="626"/>
      <c r="D45" s="626"/>
      <c r="E45" s="626"/>
      <c r="F45" s="626"/>
      <c r="G45" s="626"/>
      <c r="H45" s="626"/>
      <c r="I45" s="626"/>
      <c r="J45" s="626"/>
      <c r="K45" s="626"/>
      <c r="L45" s="626"/>
    </row>
    <row r="46" spans="1:12" ht="15.75">
      <c r="A46" s="579"/>
      <c r="B46" s="626" t="s">
        <v>499</v>
      </c>
      <c r="C46" s="626"/>
      <c r="D46" s="626"/>
      <c r="E46" s="626"/>
      <c r="F46" s="626"/>
      <c r="G46" s="626"/>
      <c r="H46" s="626"/>
      <c r="I46" s="626"/>
      <c r="J46" s="626"/>
      <c r="K46" s="626"/>
      <c r="L46" s="626"/>
    </row>
    <row r="47" spans="1:12" ht="15.75">
      <c r="A47" s="579"/>
      <c r="B47" s="575" t="str">
        <f>CONCATENATE("(7) Interest began accruing in January ",Coversheet!E$41," and will begin to be paid back in January ",Coversheet!E$42+1)</f>
        <v>(7) Interest began accruing in January 2019 and will begin to be paid back in January 2021</v>
      </c>
    </row>
    <row r="48" spans="1:12" ht="15.75">
      <c r="A48" s="579"/>
      <c r="B48" s="575" t="str">
        <f>CONCATENATE("(8) Att GG_RPU Page 2 of 2, line 2 col (12) of RPU True-up Attachment GG for 12 months ended 12/31/",Coversheet!E41)</f>
        <v>(8) Att GG_RPU Page 2 of 2, line 2 col (12) of RPU True-up Attachment GG for 12 months ended 12/31/2019</v>
      </c>
      <c r="C48" s="575"/>
      <c r="D48" s="575"/>
      <c r="E48" s="575"/>
      <c r="F48" s="575"/>
      <c r="G48" s="575"/>
      <c r="H48" s="575"/>
    </row>
    <row r="49" spans="1:84" ht="15.75">
      <c r="B49" s="575" t="str">
        <f>CONCATENATE("(9) Att GG_RPU Page 2 of 2, line 2 col (12) of RPU FLTY Attachment GG for 12 months ended 12/31/",Coversheet!E41)</f>
        <v>(9) Att GG_RPU Page 2 of 2, line 2 col (12) of RPU FLTY Attachment GG for 12 months ended 12/31/2019</v>
      </c>
    </row>
    <row r="53" spans="1:84" ht="15.75">
      <c r="A53" s="239"/>
      <c r="B53" s="239"/>
      <c r="C53" s="239"/>
      <c r="D53" s="239"/>
      <c r="E53" s="239"/>
      <c r="F53" s="239"/>
      <c r="G53" s="239"/>
      <c r="H53" s="239"/>
      <c r="I53" s="239"/>
      <c r="J53" s="239"/>
      <c r="K53" s="239"/>
      <c r="L53" s="322" t="str">
        <f>'Interzonal Alloc'!R$1</f>
        <v>For the 12 months ended 12/31/19</v>
      </c>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row>
    <row r="54" spans="1:84" ht="15.75">
      <c r="A54" s="239"/>
      <c r="B54" s="239"/>
      <c r="C54" s="239"/>
      <c r="D54" s="239"/>
      <c r="E54" s="239"/>
      <c r="F54" s="239"/>
      <c r="G54" s="239"/>
      <c r="H54" s="239"/>
      <c r="I54" s="239"/>
      <c r="J54" s="239"/>
      <c r="K54" s="239"/>
      <c r="L54" s="575" t="s">
        <v>408</v>
      </c>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row>
    <row r="55" spans="1:84" ht="15.75">
      <c r="A55" s="631" t="s">
        <v>364</v>
      </c>
      <c r="B55" s="631"/>
      <c r="C55" s="631"/>
      <c r="D55" s="631"/>
      <c r="E55" s="631"/>
      <c r="F55" s="631"/>
      <c r="G55" s="631"/>
      <c r="H55" s="631"/>
      <c r="I55" s="631"/>
      <c r="J55" s="631"/>
      <c r="K55" s="631"/>
      <c r="L55" s="63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row>
    <row r="56" spans="1:84" ht="15.75">
      <c r="A56" s="631" t="s">
        <v>411</v>
      </c>
      <c r="B56" s="631"/>
      <c r="C56" s="631"/>
      <c r="D56" s="631"/>
      <c r="E56" s="631"/>
      <c r="F56" s="631"/>
      <c r="G56" s="631"/>
      <c r="H56" s="631"/>
      <c r="I56" s="631"/>
      <c r="J56" s="631"/>
      <c r="K56" s="631"/>
      <c r="L56" s="63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row>
    <row r="57" spans="1:84" ht="15.75">
      <c r="A57" s="631" t="s">
        <v>541</v>
      </c>
      <c r="B57" s="631"/>
      <c r="C57" s="631"/>
      <c r="D57" s="631"/>
      <c r="E57" s="631"/>
      <c r="F57" s="631"/>
      <c r="G57" s="631"/>
      <c r="H57" s="631"/>
      <c r="I57" s="631"/>
      <c r="J57" s="631"/>
      <c r="K57" s="631"/>
      <c r="L57" s="63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row>
    <row r="58" spans="1:84">
      <c r="A58" s="241"/>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row>
    <row r="59" spans="1:84" ht="15.75">
      <c r="A59" s="632" t="s">
        <v>483</v>
      </c>
      <c r="B59" s="632"/>
      <c r="C59" s="632"/>
      <c r="D59" s="632"/>
      <c r="E59" s="632"/>
      <c r="F59" s="632"/>
      <c r="G59" s="632"/>
      <c r="H59" s="632"/>
      <c r="I59" s="632"/>
      <c r="J59" s="632"/>
      <c r="K59" s="632"/>
      <c r="L59" s="632"/>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row>
    <row r="60" spans="1:84">
      <c r="A60" s="241"/>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row>
    <row r="61" spans="1:84" ht="15.75">
      <c r="A61" s="241"/>
      <c r="B61" s="241"/>
      <c r="C61" s="241"/>
      <c r="D61" s="241"/>
      <c r="E61" s="241"/>
      <c r="F61" s="241"/>
      <c r="G61" s="241"/>
      <c r="H61" s="241"/>
      <c r="I61" s="576" t="s">
        <v>501</v>
      </c>
      <c r="J61" s="323"/>
      <c r="K61" s="576" t="s">
        <v>501</v>
      </c>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row>
    <row r="62" spans="1:84" ht="63">
      <c r="A62" s="254" t="s">
        <v>198</v>
      </c>
      <c r="B62" s="578" t="s">
        <v>200</v>
      </c>
      <c r="C62" s="578" t="s">
        <v>421</v>
      </c>
      <c r="D62" s="575"/>
      <c r="E62" s="285" t="s">
        <v>502</v>
      </c>
      <c r="F62" s="241"/>
      <c r="G62" s="285" t="s">
        <v>503</v>
      </c>
      <c r="H62" s="241"/>
      <c r="I62" s="285" t="s">
        <v>472</v>
      </c>
      <c r="J62" s="241"/>
      <c r="K62" s="285" t="s">
        <v>473</v>
      </c>
      <c r="L62" s="241"/>
      <c r="M62" s="324"/>
      <c r="N62" s="328"/>
      <c r="O62" s="329"/>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row>
    <row r="63" spans="1:84" ht="15.75">
      <c r="A63" s="575"/>
      <c r="B63" s="575"/>
      <c r="C63" s="575"/>
      <c r="D63" s="575"/>
      <c r="E63" s="575"/>
      <c r="F63" s="241"/>
      <c r="G63" s="237"/>
      <c r="H63" s="241"/>
      <c r="I63" s="237"/>
      <c r="J63" s="241"/>
      <c r="K63" s="575"/>
      <c r="L63" s="241"/>
      <c r="M63" s="457"/>
      <c r="N63" s="328"/>
      <c r="O63" s="329">
        <f>ROUND(AVERAGE(O64:O86),4)</f>
        <v>0</v>
      </c>
      <c r="P63" s="241"/>
      <c r="Q63" s="241"/>
      <c r="R63" s="329">
        <f>ROUND(AVERAGE(R64:R86),4)</f>
        <v>0</v>
      </c>
      <c r="S63" s="241"/>
      <c r="T63" s="241"/>
      <c r="U63" s="329">
        <f>ROUND(AVERAGE(U64:U86),4)</f>
        <v>0</v>
      </c>
      <c r="V63" s="241"/>
      <c r="W63" s="241"/>
      <c r="X63" s="329">
        <f>ROUND(AVERAGE(X64:X86),4)</f>
        <v>0</v>
      </c>
      <c r="Y63" s="241"/>
      <c r="Z63" s="241"/>
      <c r="AA63" s="329">
        <f>ROUND(AVERAGE(AA64:AA86),4)</f>
        <v>0</v>
      </c>
      <c r="AB63" s="241"/>
      <c r="AC63" s="241"/>
      <c r="AD63" s="329">
        <f>ROUND(AVERAGE(AD64:AD86),4)</f>
        <v>0</v>
      </c>
      <c r="AE63" s="241"/>
      <c r="AF63" s="241"/>
      <c r="AG63" s="329">
        <f>ROUND(AVERAGE(AG64:AG86),4)</f>
        <v>0</v>
      </c>
      <c r="AH63" s="241"/>
      <c r="AI63" s="241"/>
      <c r="AJ63" s="329">
        <f>ROUND(AVERAGE(AJ64:AJ86),4)</f>
        <v>0</v>
      </c>
      <c r="AK63" s="241"/>
      <c r="AL63" s="241"/>
      <c r="AM63" s="329">
        <f>ROUND(AVERAGE(AM64:AM86),4)</f>
        <v>0</v>
      </c>
      <c r="AN63" s="241"/>
      <c r="AO63" s="241"/>
      <c r="AP63" s="329">
        <f>ROUND(AVERAGE(AP64:AP86),4)</f>
        <v>0</v>
      </c>
      <c r="AQ63" s="241"/>
      <c r="AR63" s="241"/>
      <c r="AS63" s="329">
        <f>ROUND(AVERAGE(AS64:AS86),4)</f>
        <v>0</v>
      </c>
      <c r="AT63" s="241"/>
      <c r="AU63" s="241"/>
      <c r="AV63" s="329">
        <f>ROUND(AVERAGE(AV64:AV86),4)</f>
        <v>0</v>
      </c>
      <c r="AW63" s="241"/>
      <c r="AX63" s="241"/>
      <c r="AY63" s="329">
        <f>ROUND(AVERAGE(AY64:AY86),4)</f>
        <v>0</v>
      </c>
      <c r="AZ63" s="241"/>
      <c r="BA63" s="241"/>
      <c r="BB63" s="329">
        <f>ROUND(AVERAGE(BB64:BB86),4)</f>
        <v>0</v>
      </c>
      <c r="BC63" s="241"/>
      <c r="BD63" s="241"/>
      <c r="BE63" s="329">
        <f>ROUND(AVERAGE(BE64:BE86),4)</f>
        <v>0</v>
      </c>
      <c r="BF63" s="241"/>
      <c r="BG63" s="241"/>
      <c r="BH63" s="329">
        <f>ROUND(AVERAGE(BH64:BH86),4)</f>
        <v>0</v>
      </c>
      <c r="BI63" s="241"/>
      <c r="BJ63" s="241"/>
      <c r="BK63" s="329">
        <f>ROUND(AVERAGE(BK64:BK86),4)</f>
        <v>0</v>
      </c>
      <c r="BL63" s="241"/>
      <c r="BM63" s="241"/>
      <c r="BN63" s="329">
        <f>ROUND(AVERAGE(BN64:BN86),4)</f>
        <v>0</v>
      </c>
      <c r="BO63" s="241"/>
      <c r="BP63" s="241"/>
      <c r="BQ63" s="329">
        <f>ROUND(AVERAGE(BQ64:BQ86),4)</f>
        <v>0</v>
      </c>
      <c r="BR63" s="241"/>
      <c r="BS63" s="241"/>
      <c r="BT63" s="329">
        <f>ROUND(AVERAGE(BT64:BT86),4)</f>
        <v>0</v>
      </c>
      <c r="BU63" s="241"/>
      <c r="BV63" s="241"/>
      <c r="BW63" s="329">
        <f>ROUND(AVERAGE(BW64:BW86),4)</f>
        <v>0</v>
      </c>
      <c r="BX63" s="241"/>
      <c r="BY63" s="241"/>
      <c r="BZ63" s="329">
        <f>ROUND(AVERAGE(BZ64:BZ86),4)</f>
        <v>0</v>
      </c>
      <c r="CA63" s="241"/>
      <c r="CB63" s="241"/>
      <c r="CC63" s="329">
        <f>ROUND(AVERAGE(CC64:CC86),4)</f>
        <v>0</v>
      </c>
      <c r="CD63" s="241"/>
      <c r="CE63" s="241"/>
      <c r="CF63" s="329">
        <f>ROUND(AVERAGE(CF64:CF86),4)</f>
        <v>0</v>
      </c>
    </row>
    <row r="64" spans="1:84" ht="15.75">
      <c r="A64" s="579">
        <v>1</v>
      </c>
      <c r="B64" s="284">
        <f>Coversheet!E40</f>
        <v>2018</v>
      </c>
      <c r="C64" s="296" t="s">
        <v>188</v>
      </c>
      <c r="D64" s="575"/>
      <c r="E64" s="363">
        <v>0</v>
      </c>
      <c r="F64" s="241"/>
      <c r="G64" s="325">
        <f>O$63</f>
        <v>0</v>
      </c>
      <c r="H64" s="241"/>
      <c r="I64" s="326">
        <f t="shared" ref="I64:I87" si="1">E64</f>
        <v>0</v>
      </c>
      <c r="J64" s="241"/>
      <c r="K64" s="326">
        <f t="shared" ref="K64:K87" si="2">IF(E64&lt;G64,E64,G64)</f>
        <v>0</v>
      </c>
      <c r="L64" s="241"/>
      <c r="M64" s="457"/>
      <c r="N64" s="467" t="s">
        <v>549</v>
      </c>
      <c r="O64" s="364">
        <v>0</v>
      </c>
      <c r="P64" s="365"/>
      <c r="Q64" s="467" t="s">
        <v>549</v>
      </c>
      <c r="R64" s="364">
        <v>0</v>
      </c>
      <c r="S64" s="365"/>
      <c r="T64" s="467" t="s">
        <v>549</v>
      </c>
      <c r="U64" s="364">
        <v>0</v>
      </c>
      <c r="V64" s="365"/>
      <c r="W64" s="467" t="s">
        <v>549</v>
      </c>
      <c r="X64" s="364">
        <v>0</v>
      </c>
      <c r="Y64" s="365"/>
      <c r="Z64" s="467" t="s">
        <v>549</v>
      </c>
      <c r="AA64" s="364">
        <v>0</v>
      </c>
      <c r="AB64" s="365"/>
      <c r="AC64" s="467" t="s">
        <v>549</v>
      </c>
      <c r="AD64" s="364">
        <v>0</v>
      </c>
      <c r="AE64" s="365"/>
      <c r="AF64" s="467" t="s">
        <v>549</v>
      </c>
      <c r="AG64" s="364">
        <v>0</v>
      </c>
      <c r="AH64" s="365"/>
      <c r="AI64" s="467" t="s">
        <v>549</v>
      </c>
      <c r="AJ64" s="364">
        <v>0</v>
      </c>
      <c r="AK64" s="365"/>
      <c r="AL64" s="467" t="s">
        <v>549</v>
      </c>
      <c r="AM64" s="364">
        <v>0</v>
      </c>
      <c r="AN64" s="365"/>
      <c r="AO64" s="467" t="s">
        <v>549</v>
      </c>
      <c r="AP64" s="364">
        <v>0</v>
      </c>
      <c r="AQ64" s="365"/>
      <c r="AR64" s="467" t="s">
        <v>549</v>
      </c>
      <c r="AS64" s="364">
        <v>0</v>
      </c>
      <c r="AT64" s="365"/>
      <c r="AU64" s="467" t="s">
        <v>549</v>
      </c>
      <c r="AV64" s="364">
        <v>0</v>
      </c>
      <c r="AW64" s="365"/>
      <c r="AX64" s="467" t="s">
        <v>549</v>
      </c>
      <c r="AY64" s="364">
        <v>0</v>
      </c>
      <c r="AZ64" s="365"/>
      <c r="BA64" s="467" t="s">
        <v>549</v>
      </c>
      <c r="BB64" s="364">
        <v>0</v>
      </c>
      <c r="BC64" s="365"/>
      <c r="BD64" s="467" t="s">
        <v>549</v>
      </c>
      <c r="BE64" s="364">
        <v>0</v>
      </c>
      <c r="BF64" s="365"/>
      <c r="BG64" s="467" t="s">
        <v>549</v>
      </c>
      <c r="BH64" s="364">
        <v>0</v>
      </c>
      <c r="BI64" s="365"/>
      <c r="BJ64" s="467" t="s">
        <v>549</v>
      </c>
      <c r="BK64" s="364">
        <v>0</v>
      </c>
      <c r="BL64" s="365"/>
      <c r="BM64" s="467" t="s">
        <v>549</v>
      </c>
      <c r="BN64" s="364">
        <v>0</v>
      </c>
      <c r="BO64" s="365"/>
      <c r="BP64" s="467" t="s">
        <v>549</v>
      </c>
      <c r="BQ64" s="364">
        <v>0</v>
      </c>
      <c r="BR64" s="365"/>
      <c r="BS64" s="467" t="s">
        <v>549</v>
      </c>
      <c r="BT64" s="364">
        <v>0</v>
      </c>
      <c r="BU64" s="365"/>
      <c r="BV64" s="467" t="s">
        <v>549</v>
      </c>
      <c r="BW64" s="364">
        <v>0</v>
      </c>
      <c r="BX64" s="365"/>
      <c r="BY64" s="467" t="s">
        <v>549</v>
      </c>
      <c r="BZ64" s="364">
        <v>0</v>
      </c>
      <c r="CA64" s="365"/>
      <c r="CB64" s="467" t="s">
        <v>549</v>
      </c>
      <c r="CC64" s="364">
        <v>0</v>
      </c>
      <c r="CD64" s="365"/>
      <c r="CE64" s="467" t="s">
        <v>549</v>
      </c>
      <c r="CF64" s="364">
        <v>0</v>
      </c>
    </row>
    <row r="65" spans="1:84" ht="15.75">
      <c r="A65" s="579">
        <f t="shared" ref="A65:A88" si="3">A64+1</f>
        <v>2</v>
      </c>
      <c r="B65" s="575"/>
      <c r="C65" s="296" t="s">
        <v>189</v>
      </c>
      <c r="D65" s="575"/>
      <c r="E65" s="363">
        <v>0</v>
      </c>
      <c r="F65" s="241"/>
      <c r="G65" s="325">
        <f>R$63</f>
        <v>0</v>
      </c>
      <c r="H65" s="241"/>
      <c r="I65" s="326">
        <f t="shared" si="1"/>
        <v>0</v>
      </c>
      <c r="J65" s="241"/>
      <c r="K65" s="326">
        <f t="shared" si="2"/>
        <v>0</v>
      </c>
      <c r="L65" s="241"/>
      <c r="M65" s="457"/>
      <c r="N65" s="467" t="s">
        <v>549</v>
      </c>
      <c r="O65" s="364">
        <v>0</v>
      </c>
      <c r="P65" s="365"/>
      <c r="Q65" s="467" t="s">
        <v>549</v>
      </c>
      <c r="R65" s="364">
        <v>0</v>
      </c>
      <c r="S65" s="365"/>
      <c r="T65" s="467" t="s">
        <v>549</v>
      </c>
      <c r="U65" s="364">
        <v>0</v>
      </c>
      <c r="V65" s="365"/>
      <c r="W65" s="467" t="s">
        <v>549</v>
      </c>
      <c r="X65" s="364">
        <v>0</v>
      </c>
      <c r="Y65" s="365"/>
      <c r="Z65" s="467" t="s">
        <v>549</v>
      </c>
      <c r="AA65" s="364">
        <v>0</v>
      </c>
      <c r="AB65" s="365"/>
      <c r="AC65" s="467" t="s">
        <v>549</v>
      </c>
      <c r="AD65" s="364">
        <v>0</v>
      </c>
      <c r="AE65" s="365"/>
      <c r="AF65" s="467" t="s">
        <v>549</v>
      </c>
      <c r="AG65" s="364">
        <v>0</v>
      </c>
      <c r="AH65" s="365"/>
      <c r="AI65" s="467" t="s">
        <v>549</v>
      </c>
      <c r="AJ65" s="364">
        <v>0</v>
      </c>
      <c r="AK65" s="365"/>
      <c r="AL65" s="467" t="s">
        <v>549</v>
      </c>
      <c r="AM65" s="364">
        <v>0</v>
      </c>
      <c r="AN65" s="365"/>
      <c r="AO65" s="467" t="s">
        <v>549</v>
      </c>
      <c r="AP65" s="364">
        <v>0</v>
      </c>
      <c r="AQ65" s="365"/>
      <c r="AR65" s="467" t="s">
        <v>549</v>
      </c>
      <c r="AS65" s="364">
        <v>0</v>
      </c>
      <c r="AT65" s="365"/>
      <c r="AU65" s="467" t="s">
        <v>549</v>
      </c>
      <c r="AV65" s="364">
        <v>0</v>
      </c>
      <c r="AW65" s="365"/>
      <c r="AX65" s="467" t="s">
        <v>549</v>
      </c>
      <c r="AY65" s="364">
        <v>0</v>
      </c>
      <c r="AZ65" s="365"/>
      <c r="BA65" s="467" t="s">
        <v>549</v>
      </c>
      <c r="BB65" s="364">
        <v>0</v>
      </c>
      <c r="BC65" s="365"/>
      <c r="BD65" s="467" t="s">
        <v>549</v>
      </c>
      <c r="BE65" s="364">
        <v>0</v>
      </c>
      <c r="BF65" s="365"/>
      <c r="BG65" s="467" t="s">
        <v>549</v>
      </c>
      <c r="BH65" s="364">
        <v>0</v>
      </c>
      <c r="BI65" s="365"/>
      <c r="BJ65" s="467" t="s">
        <v>549</v>
      </c>
      <c r="BK65" s="364">
        <v>0</v>
      </c>
      <c r="BL65" s="365"/>
      <c r="BM65" s="467" t="s">
        <v>549</v>
      </c>
      <c r="BN65" s="364">
        <v>0</v>
      </c>
      <c r="BO65" s="365"/>
      <c r="BP65" s="467" t="s">
        <v>549</v>
      </c>
      <c r="BQ65" s="364">
        <v>0</v>
      </c>
      <c r="BR65" s="365"/>
      <c r="BS65" s="467" t="s">
        <v>549</v>
      </c>
      <c r="BT65" s="364">
        <v>0</v>
      </c>
      <c r="BU65" s="365"/>
      <c r="BV65" s="467" t="s">
        <v>549</v>
      </c>
      <c r="BW65" s="364">
        <v>0</v>
      </c>
      <c r="BX65" s="365"/>
      <c r="BY65" s="467" t="s">
        <v>549</v>
      </c>
      <c r="BZ65" s="364">
        <v>0</v>
      </c>
      <c r="CA65" s="365"/>
      <c r="CB65" s="467" t="s">
        <v>549</v>
      </c>
      <c r="CC65" s="364">
        <v>0</v>
      </c>
      <c r="CD65" s="365"/>
      <c r="CE65" s="467" t="s">
        <v>549</v>
      </c>
      <c r="CF65" s="364">
        <v>0</v>
      </c>
    </row>
    <row r="66" spans="1:84" ht="15.75">
      <c r="A66" s="579">
        <f t="shared" si="3"/>
        <v>3</v>
      </c>
      <c r="B66" s="575"/>
      <c r="C66" s="296" t="s">
        <v>190</v>
      </c>
      <c r="D66" s="575"/>
      <c r="E66" s="363">
        <v>0</v>
      </c>
      <c r="F66" s="241"/>
      <c r="G66" s="325">
        <f>U$63</f>
        <v>0</v>
      </c>
      <c r="H66" s="241"/>
      <c r="I66" s="326">
        <f t="shared" si="1"/>
        <v>0</v>
      </c>
      <c r="J66" s="241"/>
      <c r="K66" s="326">
        <f t="shared" si="2"/>
        <v>0</v>
      </c>
      <c r="L66" s="241"/>
      <c r="M66" s="457"/>
      <c r="N66" s="467" t="s">
        <v>549</v>
      </c>
      <c r="O66" s="364">
        <v>0</v>
      </c>
      <c r="P66" s="365"/>
      <c r="Q66" s="467" t="s">
        <v>549</v>
      </c>
      <c r="R66" s="364">
        <v>0</v>
      </c>
      <c r="S66" s="365"/>
      <c r="T66" s="467" t="s">
        <v>549</v>
      </c>
      <c r="U66" s="364">
        <v>0</v>
      </c>
      <c r="V66" s="365"/>
      <c r="W66" s="467" t="s">
        <v>549</v>
      </c>
      <c r="X66" s="364">
        <v>0</v>
      </c>
      <c r="Y66" s="365"/>
      <c r="Z66" s="467" t="s">
        <v>549</v>
      </c>
      <c r="AA66" s="364">
        <v>0</v>
      </c>
      <c r="AB66" s="365"/>
      <c r="AC66" s="467" t="s">
        <v>549</v>
      </c>
      <c r="AD66" s="364">
        <v>0</v>
      </c>
      <c r="AE66" s="365"/>
      <c r="AF66" s="467" t="s">
        <v>549</v>
      </c>
      <c r="AG66" s="364">
        <v>0</v>
      </c>
      <c r="AH66" s="365"/>
      <c r="AI66" s="467" t="s">
        <v>549</v>
      </c>
      <c r="AJ66" s="364">
        <v>0</v>
      </c>
      <c r="AK66" s="365"/>
      <c r="AL66" s="467" t="s">
        <v>549</v>
      </c>
      <c r="AM66" s="364">
        <v>0</v>
      </c>
      <c r="AN66" s="365"/>
      <c r="AO66" s="467" t="s">
        <v>549</v>
      </c>
      <c r="AP66" s="364">
        <v>0</v>
      </c>
      <c r="AQ66" s="365"/>
      <c r="AR66" s="467" t="s">
        <v>549</v>
      </c>
      <c r="AS66" s="364">
        <v>0</v>
      </c>
      <c r="AT66" s="365"/>
      <c r="AU66" s="467" t="s">
        <v>549</v>
      </c>
      <c r="AV66" s="364">
        <v>0</v>
      </c>
      <c r="AW66" s="365"/>
      <c r="AX66" s="467" t="s">
        <v>549</v>
      </c>
      <c r="AY66" s="364">
        <v>0</v>
      </c>
      <c r="AZ66" s="365"/>
      <c r="BA66" s="467" t="s">
        <v>549</v>
      </c>
      <c r="BB66" s="364">
        <v>0</v>
      </c>
      <c r="BC66" s="365"/>
      <c r="BD66" s="467" t="s">
        <v>549</v>
      </c>
      <c r="BE66" s="364">
        <v>0</v>
      </c>
      <c r="BF66" s="365"/>
      <c r="BG66" s="467" t="s">
        <v>549</v>
      </c>
      <c r="BH66" s="364">
        <v>0</v>
      </c>
      <c r="BI66" s="365"/>
      <c r="BJ66" s="467" t="s">
        <v>549</v>
      </c>
      <c r="BK66" s="364">
        <v>0</v>
      </c>
      <c r="BL66" s="365"/>
      <c r="BM66" s="467" t="s">
        <v>549</v>
      </c>
      <c r="BN66" s="364">
        <v>0</v>
      </c>
      <c r="BO66" s="365"/>
      <c r="BP66" s="467" t="s">
        <v>549</v>
      </c>
      <c r="BQ66" s="364">
        <v>0</v>
      </c>
      <c r="BR66" s="365"/>
      <c r="BS66" s="467" t="s">
        <v>549</v>
      </c>
      <c r="BT66" s="364">
        <v>0</v>
      </c>
      <c r="BU66" s="365"/>
      <c r="BV66" s="467" t="s">
        <v>549</v>
      </c>
      <c r="BW66" s="364">
        <v>0</v>
      </c>
      <c r="BX66" s="365"/>
      <c r="BY66" s="467" t="s">
        <v>549</v>
      </c>
      <c r="BZ66" s="364">
        <v>0</v>
      </c>
      <c r="CA66" s="365"/>
      <c r="CB66" s="467" t="s">
        <v>549</v>
      </c>
      <c r="CC66" s="364">
        <v>0</v>
      </c>
      <c r="CD66" s="365"/>
      <c r="CE66" s="467" t="s">
        <v>549</v>
      </c>
      <c r="CF66" s="364">
        <v>0</v>
      </c>
    </row>
    <row r="67" spans="1:84" ht="15.75">
      <c r="A67" s="579">
        <f t="shared" si="3"/>
        <v>4</v>
      </c>
      <c r="B67" s="284"/>
      <c r="C67" s="296" t="s">
        <v>191</v>
      </c>
      <c r="D67" s="575"/>
      <c r="E67" s="363">
        <v>0</v>
      </c>
      <c r="F67" s="241"/>
      <c r="G67" s="325">
        <f>X$63</f>
        <v>0</v>
      </c>
      <c r="H67" s="241"/>
      <c r="I67" s="326">
        <f t="shared" si="1"/>
        <v>0</v>
      </c>
      <c r="J67" s="241"/>
      <c r="K67" s="326">
        <f t="shared" si="2"/>
        <v>0</v>
      </c>
      <c r="L67" s="241"/>
      <c r="M67" s="457"/>
      <c r="N67" s="467" t="s">
        <v>549</v>
      </c>
      <c r="O67" s="364">
        <v>0</v>
      </c>
      <c r="P67" s="365"/>
      <c r="Q67" s="467" t="s">
        <v>549</v>
      </c>
      <c r="R67" s="364">
        <v>0</v>
      </c>
      <c r="S67" s="365"/>
      <c r="T67" s="467" t="s">
        <v>549</v>
      </c>
      <c r="U67" s="364">
        <v>0</v>
      </c>
      <c r="V67" s="365"/>
      <c r="W67" s="467" t="s">
        <v>549</v>
      </c>
      <c r="X67" s="364">
        <v>0</v>
      </c>
      <c r="Y67" s="365"/>
      <c r="Z67" s="467" t="s">
        <v>549</v>
      </c>
      <c r="AA67" s="364">
        <v>0</v>
      </c>
      <c r="AB67" s="365"/>
      <c r="AC67" s="467" t="s">
        <v>549</v>
      </c>
      <c r="AD67" s="364">
        <v>0</v>
      </c>
      <c r="AE67" s="365"/>
      <c r="AF67" s="467" t="s">
        <v>549</v>
      </c>
      <c r="AG67" s="364">
        <v>0</v>
      </c>
      <c r="AH67" s="365"/>
      <c r="AI67" s="467" t="s">
        <v>549</v>
      </c>
      <c r="AJ67" s="364">
        <v>0</v>
      </c>
      <c r="AK67" s="365"/>
      <c r="AL67" s="467" t="s">
        <v>549</v>
      </c>
      <c r="AM67" s="364">
        <v>0</v>
      </c>
      <c r="AN67" s="365"/>
      <c r="AO67" s="467" t="s">
        <v>549</v>
      </c>
      <c r="AP67" s="364">
        <v>0</v>
      </c>
      <c r="AQ67" s="365"/>
      <c r="AR67" s="467" t="s">
        <v>549</v>
      </c>
      <c r="AS67" s="364">
        <v>0</v>
      </c>
      <c r="AT67" s="365"/>
      <c r="AU67" s="467" t="s">
        <v>549</v>
      </c>
      <c r="AV67" s="364">
        <v>0</v>
      </c>
      <c r="AW67" s="365"/>
      <c r="AX67" s="467" t="s">
        <v>549</v>
      </c>
      <c r="AY67" s="364">
        <v>0</v>
      </c>
      <c r="AZ67" s="365"/>
      <c r="BA67" s="467" t="s">
        <v>549</v>
      </c>
      <c r="BB67" s="364">
        <v>0</v>
      </c>
      <c r="BC67" s="365"/>
      <c r="BD67" s="467" t="s">
        <v>549</v>
      </c>
      <c r="BE67" s="364">
        <v>0</v>
      </c>
      <c r="BF67" s="365"/>
      <c r="BG67" s="467" t="s">
        <v>549</v>
      </c>
      <c r="BH67" s="364">
        <v>0</v>
      </c>
      <c r="BI67" s="365"/>
      <c r="BJ67" s="467" t="s">
        <v>549</v>
      </c>
      <c r="BK67" s="364">
        <v>0</v>
      </c>
      <c r="BL67" s="365"/>
      <c r="BM67" s="467" t="s">
        <v>549</v>
      </c>
      <c r="BN67" s="364">
        <v>0</v>
      </c>
      <c r="BO67" s="365"/>
      <c r="BP67" s="467" t="s">
        <v>549</v>
      </c>
      <c r="BQ67" s="364">
        <v>0</v>
      </c>
      <c r="BR67" s="365"/>
      <c r="BS67" s="467" t="s">
        <v>549</v>
      </c>
      <c r="BT67" s="364">
        <v>0</v>
      </c>
      <c r="BU67" s="365"/>
      <c r="BV67" s="467" t="s">
        <v>549</v>
      </c>
      <c r="BW67" s="364">
        <v>0</v>
      </c>
      <c r="BX67" s="365"/>
      <c r="BY67" s="467" t="s">
        <v>549</v>
      </c>
      <c r="BZ67" s="364">
        <v>0</v>
      </c>
      <c r="CA67" s="365"/>
      <c r="CB67" s="467" t="s">
        <v>549</v>
      </c>
      <c r="CC67" s="364">
        <v>0</v>
      </c>
      <c r="CD67" s="365"/>
      <c r="CE67" s="467" t="s">
        <v>549</v>
      </c>
      <c r="CF67" s="364">
        <v>0</v>
      </c>
    </row>
    <row r="68" spans="1:84" ht="15.75">
      <c r="A68" s="579">
        <f t="shared" si="3"/>
        <v>5</v>
      </c>
      <c r="B68" s="575"/>
      <c r="C68" s="296" t="s">
        <v>192</v>
      </c>
      <c r="D68" s="575"/>
      <c r="E68" s="363">
        <v>0</v>
      </c>
      <c r="F68" s="241"/>
      <c r="G68" s="325">
        <f>AA$63</f>
        <v>0</v>
      </c>
      <c r="H68" s="241"/>
      <c r="I68" s="326">
        <f t="shared" si="1"/>
        <v>0</v>
      </c>
      <c r="J68" s="241"/>
      <c r="K68" s="326">
        <f t="shared" si="2"/>
        <v>0</v>
      </c>
      <c r="L68" s="241"/>
      <c r="M68" s="457"/>
      <c r="N68" s="467" t="s">
        <v>549</v>
      </c>
      <c r="O68" s="364">
        <v>0</v>
      </c>
      <c r="P68" s="365"/>
      <c r="Q68" s="467" t="s">
        <v>549</v>
      </c>
      <c r="R68" s="364">
        <v>0</v>
      </c>
      <c r="S68" s="365"/>
      <c r="T68" s="467" t="s">
        <v>549</v>
      </c>
      <c r="U68" s="364">
        <v>0</v>
      </c>
      <c r="V68" s="365"/>
      <c r="W68" s="467" t="s">
        <v>549</v>
      </c>
      <c r="X68" s="364">
        <v>0</v>
      </c>
      <c r="Y68" s="365"/>
      <c r="Z68" s="467" t="s">
        <v>549</v>
      </c>
      <c r="AA68" s="364">
        <v>0</v>
      </c>
      <c r="AB68" s="365"/>
      <c r="AC68" s="467" t="s">
        <v>549</v>
      </c>
      <c r="AD68" s="364">
        <v>0</v>
      </c>
      <c r="AE68" s="365"/>
      <c r="AF68" s="467" t="s">
        <v>549</v>
      </c>
      <c r="AG68" s="364">
        <v>0</v>
      </c>
      <c r="AH68" s="365"/>
      <c r="AI68" s="467" t="s">
        <v>549</v>
      </c>
      <c r="AJ68" s="364">
        <v>0</v>
      </c>
      <c r="AK68" s="365"/>
      <c r="AL68" s="467" t="s">
        <v>549</v>
      </c>
      <c r="AM68" s="364">
        <v>0</v>
      </c>
      <c r="AN68" s="365"/>
      <c r="AO68" s="467" t="s">
        <v>549</v>
      </c>
      <c r="AP68" s="364">
        <v>0</v>
      </c>
      <c r="AQ68" s="365"/>
      <c r="AR68" s="467" t="s">
        <v>549</v>
      </c>
      <c r="AS68" s="364">
        <v>0</v>
      </c>
      <c r="AT68" s="365"/>
      <c r="AU68" s="467" t="s">
        <v>549</v>
      </c>
      <c r="AV68" s="364">
        <v>0</v>
      </c>
      <c r="AW68" s="365"/>
      <c r="AX68" s="467" t="s">
        <v>549</v>
      </c>
      <c r="AY68" s="364">
        <v>0</v>
      </c>
      <c r="AZ68" s="365"/>
      <c r="BA68" s="467" t="s">
        <v>549</v>
      </c>
      <c r="BB68" s="364">
        <v>0</v>
      </c>
      <c r="BC68" s="365"/>
      <c r="BD68" s="467" t="s">
        <v>549</v>
      </c>
      <c r="BE68" s="364">
        <v>0</v>
      </c>
      <c r="BF68" s="365"/>
      <c r="BG68" s="467" t="s">
        <v>549</v>
      </c>
      <c r="BH68" s="364">
        <v>0</v>
      </c>
      <c r="BI68" s="365"/>
      <c r="BJ68" s="467" t="s">
        <v>549</v>
      </c>
      <c r="BK68" s="364">
        <v>0</v>
      </c>
      <c r="BL68" s="365"/>
      <c r="BM68" s="467" t="s">
        <v>549</v>
      </c>
      <c r="BN68" s="364">
        <v>0</v>
      </c>
      <c r="BO68" s="365"/>
      <c r="BP68" s="467" t="s">
        <v>549</v>
      </c>
      <c r="BQ68" s="364">
        <v>0</v>
      </c>
      <c r="BR68" s="365"/>
      <c r="BS68" s="467" t="s">
        <v>549</v>
      </c>
      <c r="BT68" s="364">
        <v>0</v>
      </c>
      <c r="BU68" s="365"/>
      <c r="BV68" s="467" t="s">
        <v>549</v>
      </c>
      <c r="BW68" s="364">
        <v>0</v>
      </c>
      <c r="BX68" s="365"/>
      <c r="BY68" s="467" t="s">
        <v>549</v>
      </c>
      <c r="BZ68" s="364">
        <v>0</v>
      </c>
      <c r="CA68" s="365"/>
      <c r="CB68" s="467" t="s">
        <v>549</v>
      </c>
      <c r="CC68" s="364">
        <v>0</v>
      </c>
      <c r="CD68" s="365"/>
      <c r="CE68" s="467" t="s">
        <v>549</v>
      </c>
      <c r="CF68" s="364">
        <v>0</v>
      </c>
    </row>
    <row r="69" spans="1:84" ht="15.75">
      <c r="A69" s="579">
        <f t="shared" si="3"/>
        <v>6</v>
      </c>
      <c r="B69" s="575"/>
      <c r="C69" s="296" t="s">
        <v>193</v>
      </c>
      <c r="D69" s="575"/>
      <c r="E69" s="363">
        <v>0</v>
      </c>
      <c r="F69" s="241"/>
      <c r="G69" s="325">
        <f>AD$63</f>
        <v>0</v>
      </c>
      <c r="H69" s="241"/>
      <c r="I69" s="326">
        <f t="shared" si="1"/>
        <v>0</v>
      </c>
      <c r="J69" s="241"/>
      <c r="K69" s="326">
        <f t="shared" si="2"/>
        <v>0</v>
      </c>
      <c r="L69" s="241"/>
      <c r="M69" s="457"/>
      <c r="N69" s="467" t="s">
        <v>549</v>
      </c>
      <c r="O69" s="364">
        <v>0</v>
      </c>
      <c r="P69" s="365"/>
      <c r="Q69" s="467" t="s">
        <v>549</v>
      </c>
      <c r="R69" s="364">
        <v>0</v>
      </c>
      <c r="S69" s="365"/>
      <c r="T69" s="467" t="s">
        <v>549</v>
      </c>
      <c r="U69" s="364">
        <v>0</v>
      </c>
      <c r="V69" s="365"/>
      <c r="W69" s="467" t="s">
        <v>549</v>
      </c>
      <c r="X69" s="364">
        <v>0</v>
      </c>
      <c r="Y69" s="365"/>
      <c r="Z69" s="467" t="s">
        <v>549</v>
      </c>
      <c r="AA69" s="364">
        <v>0</v>
      </c>
      <c r="AB69" s="365"/>
      <c r="AC69" s="467" t="s">
        <v>549</v>
      </c>
      <c r="AD69" s="364">
        <v>0</v>
      </c>
      <c r="AE69" s="365"/>
      <c r="AF69" s="467" t="s">
        <v>549</v>
      </c>
      <c r="AG69" s="364">
        <v>0</v>
      </c>
      <c r="AH69" s="365"/>
      <c r="AI69" s="467" t="s">
        <v>549</v>
      </c>
      <c r="AJ69" s="364">
        <v>0</v>
      </c>
      <c r="AK69" s="365"/>
      <c r="AL69" s="467" t="s">
        <v>549</v>
      </c>
      <c r="AM69" s="364">
        <v>0</v>
      </c>
      <c r="AN69" s="365"/>
      <c r="AO69" s="467" t="s">
        <v>549</v>
      </c>
      <c r="AP69" s="364">
        <v>0</v>
      </c>
      <c r="AQ69" s="365"/>
      <c r="AR69" s="467" t="s">
        <v>549</v>
      </c>
      <c r="AS69" s="364">
        <v>0</v>
      </c>
      <c r="AT69" s="365"/>
      <c r="AU69" s="467" t="s">
        <v>549</v>
      </c>
      <c r="AV69" s="364">
        <v>0</v>
      </c>
      <c r="AW69" s="365"/>
      <c r="AX69" s="467" t="s">
        <v>549</v>
      </c>
      <c r="AY69" s="364">
        <v>0</v>
      </c>
      <c r="AZ69" s="365"/>
      <c r="BA69" s="467" t="s">
        <v>549</v>
      </c>
      <c r="BB69" s="364">
        <v>0</v>
      </c>
      <c r="BC69" s="365"/>
      <c r="BD69" s="467" t="s">
        <v>549</v>
      </c>
      <c r="BE69" s="364">
        <v>0</v>
      </c>
      <c r="BF69" s="365"/>
      <c r="BG69" s="467" t="s">
        <v>549</v>
      </c>
      <c r="BH69" s="364">
        <v>0</v>
      </c>
      <c r="BI69" s="365"/>
      <c r="BJ69" s="467" t="s">
        <v>549</v>
      </c>
      <c r="BK69" s="364">
        <v>0</v>
      </c>
      <c r="BL69" s="365"/>
      <c r="BM69" s="467" t="s">
        <v>549</v>
      </c>
      <c r="BN69" s="364">
        <v>0</v>
      </c>
      <c r="BO69" s="365"/>
      <c r="BP69" s="467" t="s">
        <v>549</v>
      </c>
      <c r="BQ69" s="364">
        <v>0</v>
      </c>
      <c r="BR69" s="365"/>
      <c r="BS69" s="467" t="s">
        <v>549</v>
      </c>
      <c r="BT69" s="364">
        <v>0</v>
      </c>
      <c r="BU69" s="365"/>
      <c r="BV69" s="467" t="s">
        <v>549</v>
      </c>
      <c r="BW69" s="364">
        <v>0</v>
      </c>
      <c r="BX69" s="365"/>
      <c r="BY69" s="467" t="s">
        <v>549</v>
      </c>
      <c r="BZ69" s="364">
        <v>0</v>
      </c>
      <c r="CA69" s="365"/>
      <c r="CB69" s="467" t="s">
        <v>549</v>
      </c>
      <c r="CC69" s="364">
        <v>0</v>
      </c>
      <c r="CD69" s="365"/>
      <c r="CE69" s="467" t="s">
        <v>549</v>
      </c>
      <c r="CF69" s="364">
        <v>0</v>
      </c>
    </row>
    <row r="70" spans="1:84" ht="15.75">
      <c r="A70" s="579">
        <f t="shared" si="3"/>
        <v>7</v>
      </c>
      <c r="B70" s="575"/>
      <c r="C70" s="296" t="s">
        <v>194</v>
      </c>
      <c r="D70" s="575"/>
      <c r="E70" s="363">
        <v>0</v>
      </c>
      <c r="F70" s="241"/>
      <c r="G70" s="325">
        <f>AG$63</f>
        <v>0</v>
      </c>
      <c r="H70" s="241"/>
      <c r="I70" s="326">
        <f t="shared" si="1"/>
        <v>0</v>
      </c>
      <c r="J70" s="241"/>
      <c r="K70" s="326">
        <f t="shared" si="2"/>
        <v>0</v>
      </c>
      <c r="L70" s="241"/>
      <c r="M70" s="457"/>
      <c r="N70" s="467" t="s">
        <v>549</v>
      </c>
      <c r="O70" s="364">
        <v>0</v>
      </c>
      <c r="P70" s="365"/>
      <c r="Q70" s="467" t="s">
        <v>549</v>
      </c>
      <c r="R70" s="364">
        <v>0</v>
      </c>
      <c r="S70" s="365"/>
      <c r="T70" s="467" t="s">
        <v>549</v>
      </c>
      <c r="U70" s="364">
        <v>0</v>
      </c>
      <c r="V70" s="365"/>
      <c r="W70" s="467" t="s">
        <v>549</v>
      </c>
      <c r="X70" s="364">
        <v>0</v>
      </c>
      <c r="Y70" s="365"/>
      <c r="Z70" s="467" t="s">
        <v>549</v>
      </c>
      <c r="AA70" s="364">
        <v>0</v>
      </c>
      <c r="AB70" s="365"/>
      <c r="AC70" s="467" t="s">
        <v>549</v>
      </c>
      <c r="AD70" s="364">
        <v>0</v>
      </c>
      <c r="AE70" s="365"/>
      <c r="AF70" s="467" t="s">
        <v>549</v>
      </c>
      <c r="AG70" s="364">
        <v>0</v>
      </c>
      <c r="AH70" s="365"/>
      <c r="AI70" s="467" t="s">
        <v>549</v>
      </c>
      <c r="AJ70" s="364">
        <v>0</v>
      </c>
      <c r="AK70" s="365"/>
      <c r="AL70" s="467" t="s">
        <v>549</v>
      </c>
      <c r="AM70" s="364">
        <v>0</v>
      </c>
      <c r="AN70" s="365"/>
      <c r="AO70" s="467" t="s">
        <v>549</v>
      </c>
      <c r="AP70" s="364">
        <v>0</v>
      </c>
      <c r="AQ70" s="365"/>
      <c r="AR70" s="467" t="s">
        <v>549</v>
      </c>
      <c r="AS70" s="364">
        <v>0</v>
      </c>
      <c r="AT70" s="365"/>
      <c r="AU70" s="467" t="s">
        <v>549</v>
      </c>
      <c r="AV70" s="364">
        <v>0</v>
      </c>
      <c r="AW70" s="365"/>
      <c r="AX70" s="467" t="s">
        <v>549</v>
      </c>
      <c r="AY70" s="364">
        <v>0</v>
      </c>
      <c r="AZ70" s="365"/>
      <c r="BA70" s="467" t="s">
        <v>549</v>
      </c>
      <c r="BB70" s="364">
        <v>0</v>
      </c>
      <c r="BC70" s="365"/>
      <c r="BD70" s="467" t="s">
        <v>549</v>
      </c>
      <c r="BE70" s="364">
        <v>0</v>
      </c>
      <c r="BF70" s="365"/>
      <c r="BG70" s="467" t="s">
        <v>549</v>
      </c>
      <c r="BH70" s="364">
        <v>0</v>
      </c>
      <c r="BI70" s="365"/>
      <c r="BJ70" s="467" t="s">
        <v>549</v>
      </c>
      <c r="BK70" s="364">
        <v>0</v>
      </c>
      <c r="BL70" s="365"/>
      <c r="BM70" s="467" t="s">
        <v>549</v>
      </c>
      <c r="BN70" s="364">
        <v>0</v>
      </c>
      <c r="BO70" s="365"/>
      <c r="BP70" s="467" t="s">
        <v>549</v>
      </c>
      <c r="BQ70" s="364">
        <v>0</v>
      </c>
      <c r="BR70" s="365"/>
      <c r="BS70" s="467" t="s">
        <v>549</v>
      </c>
      <c r="BT70" s="364">
        <v>0</v>
      </c>
      <c r="BU70" s="365"/>
      <c r="BV70" s="467" t="s">
        <v>549</v>
      </c>
      <c r="BW70" s="364">
        <v>0</v>
      </c>
      <c r="BX70" s="365"/>
      <c r="BY70" s="467" t="s">
        <v>549</v>
      </c>
      <c r="BZ70" s="364">
        <v>0</v>
      </c>
      <c r="CA70" s="365"/>
      <c r="CB70" s="467" t="s">
        <v>549</v>
      </c>
      <c r="CC70" s="364">
        <v>0</v>
      </c>
      <c r="CD70" s="365"/>
      <c r="CE70" s="467" t="s">
        <v>549</v>
      </c>
      <c r="CF70" s="364">
        <v>0</v>
      </c>
    </row>
    <row r="71" spans="1:84" ht="15.75">
      <c r="A71" s="579">
        <f t="shared" si="3"/>
        <v>8</v>
      </c>
      <c r="B71" s="575"/>
      <c r="C71" s="296" t="s">
        <v>195</v>
      </c>
      <c r="D71" s="575"/>
      <c r="E71" s="363">
        <v>0</v>
      </c>
      <c r="F71" s="241"/>
      <c r="G71" s="325">
        <f>AJ$63</f>
        <v>0</v>
      </c>
      <c r="H71" s="241"/>
      <c r="I71" s="326">
        <f t="shared" si="1"/>
        <v>0</v>
      </c>
      <c r="J71" s="241"/>
      <c r="K71" s="326">
        <f t="shared" si="2"/>
        <v>0</v>
      </c>
      <c r="L71" s="241"/>
      <c r="M71" s="457"/>
      <c r="N71" s="467" t="s">
        <v>549</v>
      </c>
      <c r="O71" s="364">
        <v>0</v>
      </c>
      <c r="P71" s="365"/>
      <c r="Q71" s="467" t="s">
        <v>549</v>
      </c>
      <c r="R71" s="364">
        <v>0</v>
      </c>
      <c r="S71" s="365"/>
      <c r="T71" s="467" t="s">
        <v>549</v>
      </c>
      <c r="U71" s="364">
        <v>0</v>
      </c>
      <c r="V71" s="365"/>
      <c r="W71" s="467" t="s">
        <v>549</v>
      </c>
      <c r="X71" s="364">
        <v>0</v>
      </c>
      <c r="Y71" s="365"/>
      <c r="Z71" s="467" t="s">
        <v>549</v>
      </c>
      <c r="AA71" s="364">
        <v>0</v>
      </c>
      <c r="AB71" s="365"/>
      <c r="AC71" s="467" t="s">
        <v>549</v>
      </c>
      <c r="AD71" s="364">
        <v>0</v>
      </c>
      <c r="AE71" s="365"/>
      <c r="AF71" s="467" t="s">
        <v>549</v>
      </c>
      <c r="AG71" s="364">
        <v>0</v>
      </c>
      <c r="AH71" s="365"/>
      <c r="AI71" s="467" t="s">
        <v>549</v>
      </c>
      <c r="AJ71" s="364">
        <v>0</v>
      </c>
      <c r="AK71" s="365"/>
      <c r="AL71" s="467" t="s">
        <v>549</v>
      </c>
      <c r="AM71" s="364">
        <v>0</v>
      </c>
      <c r="AN71" s="365"/>
      <c r="AO71" s="467" t="s">
        <v>549</v>
      </c>
      <c r="AP71" s="364">
        <v>0</v>
      </c>
      <c r="AQ71" s="365"/>
      <c r="AR71" s="467" t="s">
        <v>549</v>
      </c>
      <c r="AS71" s="364">
        <v>0</v>
      </c>
      <c r="AT71" s="365"/>
      <c r="AU71" s="467" t="s">
        <v>549</v>
      </c>
      <c r="AV71" s="364">
        <v>0</v>
      </c>
      <c r="AW71" s="365"/>
      <c r="AX71" s="467" t="s">
        <v>549</v>
      </c>
      <c r="AY71" s="364">
        <v>0</v>
      </c>
      <c r="AZ71" s="365"/>
      <c r="BA71" s="467" t="s">
        <v>549</v>
      </c>
      <c r="BB71" s="364">
        <v>0</v>
      </c>
      <c r="BC71" s="365"/>
      <c r="BD71" s="467" t="s">
        <v>549</v>
      </c>
      <c r="BE71" s="364">
        <v>0</v>
      </c>
      <c r="BF71" s="365"/>
      <c r="BG71" s="467" t="s">
        <v>549</v>
      </c>
      <c r="BH71" s="364">
        <v>0</v>
      </c>
      <c r="BI71" s="365"/>
      <c r="BJ71" s="467" t="s">
        <v>549</v>
      </c>
      <c r="BK71" s="364">
        <v>0</v>
      </c>
      <c r="BL71" s="365"/>
      <c r="BM71" s="467" t="s">
        <v>549</v>
      </c>
      <c r="BN71" s="364">
        <v>0</v>
      </c>
      <c r="BO71" s="365"/>
      <c r="BP71" s="467" t="s">
        <v>549</v>
      </c>
      <c r="BQ71" s="364">
        <v>0</v>
      </c>
      <c r="BR71" s="365"/>
      <c r="BS71" s="467" t="s">
        <v>549</v>
      </c>
      <c r="BT71" s="364">
        <v>0</v>
      </c>
      <c r="BU71" s="365"/>
      <c r="BV71" s="467" t="s">
        <v>549</v>
      </c>
      <c r="BW71" s="364">
        <v>0</v>
      </c>
      <c r="BX71" s="365"/>
      <c r="BY71" s="467" t="s">
        <v>549</v>
      </c>
      <c r="BZ71" s="364">
        <v>0</v>
      </c>
      <c r="CA71" s="365"/>
      <c r="CB71" s="467" t="s">
        <v>549</v>
      </c>
      <c r="CC71" s="364">
        <v>0</v>
      </c>
      <c r="CD71" s="365"/>
      <c r="CE71" s="467" t="s">
        <v>549</v>
      </c>
      <c r="CF71" s="364">
        <v>0</v>
      </c>
    </row>
    <row r="72" spans="1:84" ht="15.75">
      <c r="A72" s="579">
        <f t="shared" si="3"/>
        <v>9</v>
      </c>
      <c r="B72" s="575"/>
      <c r="C72" s="296" t="s">
        <v>196</v>
      </c>
      <c r="D72" s="575"/>
      <c r="E72" s="363">
        <v>0</v>
      </c>
      <c r="F72" s="241"/>
      <c r="G72" s="325">
        <f>AM$63</f>
        <v>0</v>
      </c>
      <c r="H72" s="241"/>
      <c r="I72" s="326">
        <f t="shared" si="1"/>
        <v>0</v>
      </c>
      <c r="J72" s="241"/>
      <c r="K72" s="326">
        <f t="shared" si="2"/>
        <v>0</v>
      </c>
      <c r="L72" s="241"/>
      <c r="M72" s="457"/>
      <c r="N72" s="467" t="s">
        <v>549</v>
      </c>
      <c r="O72" s="364">
        <v>0</v>
      </c>
      <c r="P72" s="365"/>
      <c r="Q72" s="467" t="s">
        <v>549</v>
      </c>
      <c r="R72" s="364">
        <v>0</v>
      </c>
      <c r="S72" s="365"/>
      <c r="T72" s="467" t="s">
        <v>549</v>
      </c>
      <c r="U72" s="364">
        <v>0</v>
      </c>
      <c r="V72" s="365"/>
      <c r="W72" s="467" t="s">
        <v>549</v>
      </c>
      <c r="X72" s="364">
        <v>0</v>
      </c>
      <c r="Y72" s="365"/>
      <c r="Z72" s="467" t="s">
        <v>549</v>
      </c>
      <c r="AA72" s="364">
        <v>0</v>
      </c>
      <c r="AB72" s="365"/>
      <c r="AC72" s="467" t="s">
        <v>549</v>
      </c>
      <c r="AD72" s="364">
        <v>0</v>
      </c>
      <c r="AE72" s="365"/>
      <c r="AF72" s="467" t="s">
        <v>549</v>
      </c>
      <c r="AG72" s="364">
        <v>0</v>
      </c>
      <c r="AH72" s="365"/>
      <c r="AI72" s="467" t="s">
        <v>549</v>
      </c>
      <c r="AJ72" s="364">
        <v>0</v>
      </c>
      <c r="AK72" s="365"/>
      <c r="AL72" s="467" t="s">
        <v>549</v>
      </c>
      <c r="AM72" s="364">
        <v>0</v>
      </c>
      <c r="AN72" s="365"/>
      <c r="AO72" s="467" t="s">
        <v>549</v>
      </c>
      <c r="AP72" s="364">
        <v>0</v>
      </c>
      <c r="AQ72" s="365"/>
      <c r="AR72" s="467" t="s">
        <v>549</v>
      </c>
      <c r="AS72" s="364">
        <v>0</v>
      </c>
      <c r="AT72" s="365"/>
      <c r="AU72" s="467" t="s">
        <v>549</v>
      </c>
      <c r="AV72" s="364">
        <v>0</v>
      </c>
      <c r="AW72" s="365"/>
      <c r="AX72" s="467" t="s">
        <v>549</v>
      </c>
      <c r="AY72" s="364">
        <v>0</v>
      </c>
      <c r="AZ72" s="365"/>
      <c r="BA72" s="467" t="s">
        <v>549</v>
      </c>
      <c r="BB72" s="364">
        <v>0</v>
      </c>
      <c r="BC72" s="365"/>
      <c r="BD72" s="467" t="s">
        <v>549</v>
      </c>
      <c r="BE72" s="364">
        <v>0</v>
      </c>
      <c r="BF72" s="365"/>
      <c r="BG72" s="467" t="s">
        <v>549</v>
      </c>
      <c r="BH72" s="364">
        <v>0</v>
      </c>
      <c r="BI72" s="365"/>
      <c r="BJ72" s="467" t="s">
        <v>549</v>
      </c>
      <c r="BK72" s="364">
        <v>0</v>
      </c>
      <c r="BL72" s="365"/>
      <c r="BM72" s="467" t="s">
        <v>549</v>
      </c>
      <c r="BN72" s="364">
        <v>0</v>
      </c>
      <c r="BO72" s="365"/>
      <c r="BP72" s="467" t="s">
        <v>549</v>
      </c>
      <c r="BQ72" s="364">
        <v>0</v>
      </c>
      <c r="BR72" s="365"/>
      <c r="BS72" s="467" t="s">
        <v>549</v>
      </c>
      <c r="BT72" s="364">
        <v>0</v>
      </c>
      <c r="BU72" s="365"/>
      <c r="BV72" s="467" t="s">
        <v>549</v>
      </c>
      <c r="BW72" s="364">
        <v>0</v>
      </c>
      <c r="BX72" s="365"/>
      <c r="BY72" s="467" t="s">
        <v>549</v>
      </c>
      <c r="BZ72" s="364">
        <v>0</v>
      </c>
      <c r="CA72" s="365"/>
      <c r="CB72" s="467" t="s">
        <v>549</v>
      </c>
      <c r="CC72" s="364">
        <v>0</v>
      </c>
      <c r="CD72" s="365"/>
      <c r="CE72" s="467" t="s">
        <v>549</v>
      </c>
      <c r="CF72" s="364">
        <v>0</v>
      </c>
    </row>
    <row r="73" spans="1:84" ht="15.75">
      <c r="A73" s="579">
        <f t="shared" si="3"/>
        <v>10</v>
      </c>
      <c r="B73" s="284">
        <f>Coversheet!E$41</f>
        <v>2019</v>
      </c>
      <c r="C73" s="296" t="s">
        <v>185</v>
      </c>
      <c r="D73" s="575"/>
      <c r="E73" s="363">
        <v>0</v>
      </c>
      <c r="F73" s="241"/>
      <c r="G73" s="325">
        <f>AP$63</f>
        <v>0</v>
      </c>
      <c r="H73" s="241"/>
      <c r="I73" s="326">
        <f t="shared" si="1"/>
        <v>0</v>
      </c>
      <c r="J73" s="241"/>
      <c r="K73" s="326">
        <f t="shared" si="2"/>
        <v>0</v>
      </c>
      <c r="L73" s="241"/>
      <c r="M73" s="457"/>
      <c r="N73" s="467" t="s">
        <v>549</v>
      </c>
      <c r="O73" s="364">
        <v>0</v>
      </c>
      <c r="P73" s="365"/>
      <c r="Q73" s="467" t="s">
        <v>549</v>
      </c>
      <c r="R73" s="364">
        <v>0</v>
      </c>
      <c r="S73" s="365"/>
      <c r="T73" s="467" t="s">
        <v>549</v>
      </c>
      <c r="U73" s="364">
        <v>0</v>
      </c>
      <c r="V73" s="365"/>
      <c r="W73" s="467" t="s">
        <v>549</v>
      </c>
      <c r="X73" s="364">
        <v>0</v>
      </c>
      <c r="Y73" s="365"/>
      <c r="Z73" s="467" t="s">
        <v>549</v>
      </c>
      <c r="AA73" s="364">
        <v>0</v>
      </c>
      <c r="AB73" s="365"/>
      <c r="AC73" s="467" t="s">
        <v>549</v>
      </c>
      <c r="AD73" s="364">
        <v>0</v>
      </c>
      <c r="AE73" s="365"/>
      <c r="AF73" s="467" t="s">
        <v>549</v>
      </c>
      <c r="AG73" s="364">
        <v>0</v>
      </c>
      <c r="AH73" s="365"/>
      <c r="AI73" s="467" t="s">
        <v>549</v>
      </c>
      <c r="AJ73" s="364">
        <v>0</v>
      </c>
      <c r="AK73" s="365"/>
      <c r="AL73" s="467" t="s">
        <v>549</v>
      </c>
      <c r="AM73" s="364">
        <v>0</v>
      </c>
      <c r="AN73" s="365"/>
      <c r="AO73" s="467" t="s">
        <v>549</v>
      </c>
      <c r="AP73" s="364">
        <v>0</v>
      </c>
      <c r="AQ73" s="365"/>
      <c r="AR73" s="467" t="s">
        <v>549</v>
      </c>
      <c r="AS73" s="364">
        <v>0</v>
      </c>
      <c r="AT73" s="365"/>
      <c r="AU73" s="467" t="s">
        <v>549</v>
      </c>
      <c r="AV73" s="364">
        <v>0</v>
      </c>
      <c r="AW73" s="365"/>
      <c r="AX73" s="467" t="s">
        <v>549</v>
      </c>
      <c r="AY73" s="364">
        <v>0</v>
      </c>
      <c r="AZ73" s="365"/>
      <c r="BA73" s="467" t="s">
        <v>549</v>
      </c>
      <c r="BB73" s="364">
        <v>0</v>
      </c>
      <c r="BC73" s="365"/>
      <c r="BD73" s="467" t="s">
        <v>549</v>
      </c>
      <c r="BE73" s="364">
        <v>0</v>
      </c>
      <c r="BF73" s="365"/>
      <c r="BG73" s="467" t="s">
        <v>549</v>
      </c>
      <c r="BH73" s="364">
        <v>0</v>
      </c>
      <c r="BI73" s="365"/>
      <c r="BJ73" s="467" t="s">
        <v>549</v>
      </c>
      <c r="BK73" s="364">
        <v>0</v>
      </c>
      <c r="BL73" s="365"/>
      <c r="BM73" s="467" t="s">
        <v>549</v>
      </c>
      <c r="BN73" s="364">
        <v>0</v>
      </c>
      <c r="BO73" s="365"/>
      <c r="BP73" s="467" t="s">
        <v>549</v>
      </c>
      <c r="BQ73" s="364">
        <v>0</v>
      </c>
      <c r="BR73" s="365"/>
      <c r="BS73" s="467" t="s">
        <v>549</v>
      </c>
      <c r="BT73" s="364">
        <v>0</v>
      </c>
      <c r="BU73" s="365"/>
      <c r="BV73" s="467" t="s">
        <v>549</v>
      </c>
      <c r="BW73" s="364">
        <v>0</v>
      </c>
      <c r="BX73" s="365"/>
      <c r="BY73" s="467" t="s">
        <v>549</v>
      </c>
      <c r="BZ73" s="364">
        <v>0</v>
      </c>
      <c r="CA73" s="365"/>
      <c r="CB73" s="467" t="s">
        <v>549</v>
      </c>
      <c r="CC73" s="364">
        <v>0</v>
      </c>
      <c r="CD73" s="365"/>
      <c r="CE73" s="467" t="s">
        <v>549</v>
      </c>
      <c r="CF73" s="364">
        <v>0</v>
      </c>
    </row>
    <row r="74" spans="1:84" ht="15.75">
      <c r="A74" s="579">
        <f t="shared" si="3"/>
        <v>11</v>
      </c>
      <c r="B74" s="575"/>
      <c r="C74" s="296" t="s">
        <v>186</v>
      </c>
      <c r="D74" s="575"/>
      <c r="E74" s="363">
        <v>0</v>
      </c>
      <c r="F74" s="241"/>
      <c r="G74" s="325">
        <f>AS$63</f>
        <v>0</v>
      </c>
      <c r="H74" s="241"/>
      <c r="I74" s="326">
        <f t="shared" si="1"/>
        <v>0</v>
      </c>
      <c r="J74" s="241"/>
      <c r="K74" s="326">
        <f t="shared" si="2"/>
        <v>0</v>
      </c>
      <c r="L74" s="241"/>
      <c r="M74" s="457"/>
      <c r="N74" s="467" t="s">
        <v>549</v>
      </c>
      <c r="O74" s="364">
        <v>0</v>
      </c>
      <c r="P74" s="365"/>
      <c r="Q74" s="467" t="s">
        <v>549</v>
      </c>
      <c r="R74" s="364">
        <v>0</v>
      </c>
      <c r="S74" s="365"/>
      <c r="T74" s="467" t="s">
        <v>549</v>
      </c>
      <c r="U74" s="364">
        <v>0</v>
      </c>
      <c r="V74" s="365"/>
      <c r="W74" s="467" t="s">
        <v>549</v>
      </c>
      <c r="X74" s="364">
        <v>0</v>
      </c>
      <c r="Y74" s="365"/>
      <c r="Z74" s="467" t="s">
        <v>549</v>
      </c>
      <c r="AA74" s="364">
        <v>0</v>
      </c>
      <c r="AB74" s="365"/>
      <c r="AC74" s="467" t="s">
        <v>549</v>
      </c>
      <c r="AD74" s="364">
        <v>0</v>
      </c>
      <c r="AE74" s="365"/>
      <c r="AF74" s="467" t="s">
        <v>549</v>
      </c>
      <c r="AG74" s="364">
        <v>0</v>
      </c>
      <c r="AH74" s="365"/>
      <c r="AI74" s="467" t="s">
        <v>549</v>
      </c>
      <c r="AJ74" s="364">
        <v>0</v>
      </c>
      <c r="AK74" s="365"/>
      <c r="AL74" s="467" t="s">
        <v>549</v>
      </c>
      <c r="AM74" s="364">
        <v>0</v>
      </c>
      <c r="AN74" s="365"/>
      <c r="AO74" s="467" t="s">
        <v>549</v>
      </c>
      <c r="AP74" s="364">
        <v>0</v>
      </c>
      <c r="AQ74" s="365"/>
      <c r="AR74" s="467" t="s">
        <v>549</v>
      </c>
      <c r="AS74" s="364">
        <v>0</v>
      </c>
      <c r="AT74" s="365"/>
      <c r="AU74" s="467" t="s">
        <v>549</v>
      </c>
      <c r="AV74" s="364">
        <v>0</v>
      </c>
      <c r="AW74" s="365"/>
      <c r="AX74" s="467" t="s">
        <v>549</v>
      </c>
      <c r="AY74" s="364">
        <v>0</v>
      </c>
      <c r="AZ74" s="365"/>
      <c r="BA74" s="467" t="s">
        <v>549</v>
      </c>
      <c r="BB74" s="364">
        <v>0</v>
      </c>
      <c r="BC74" s="365"/>
      <c r="BD74" s="467" t="s">
        <v>549</v>
      </c>
      <c r="BE74" s="364">
        <v>0</v>
      </c>
      <c r="BF74" s="365"/>
      <c r="BG74" s="467" t="s">
        <v>549</v>
      </c>
      <c r="BH74" s="364">
        <v>0</v>
      </c>
      <c r="BI74" s="365"/>
      <c r="BJ74" s="467" t="s">
        <v>549</v>
      </c>
      <c r="BK74" s="364">
        <v>0</v>
      </c>
      <c r="BL74" s="365"/>
      <c r="BM74" s="467" t="s">
        <v>549</v>
      </c>
      <c r="BN74" s="364">
        <v>0</v>
      </c>
      <c r="BO74" s="365"/>
      <c r="BP74" s="467" t="s">
        <v>549</v>
      </c>
      <c r="BQ74" s="364">
        <v>0</v>
      </c>
      <c r="BR74" s="365"/>
      <c r="BS74" s="467" t="s">
        <v>549</v>
      </c>
      <c r="BT74" s="364">
        <v>0</v>
      </c>
      <c r="BU74" s="365"/>
      <c r="BV74" s="467" t="s">
        <v>549</v>
      </c>
      <c r="BW74" s="364">
        <v>0</v>
      </c>
      <c r="BX74" s="365"/>
      <c r="BY74" s="467" t="s">
        <v>549</v>
      </c>
      <c r="BZ74" s="364">
        <v>0</v>
      </c>
      <c r="CA74" s="365"/>
      <c r="CB74" s="467" t="s">
        <v>549</v>
      </c>
      <c r="CC74" s="364">
        <v>0</v>
      </c>
      <c r="CD74" s="365"/>
      <c r="CE74" s="467" t="s">
        <v>549</v>
      </c>
      <c r="CF74" s="364">
        <v>0</v>
      </c>
    </row>
    <row r="75" spans="1:84" ht="15.75">
      <c r="A75" s="579">
        <f t="shared" si="3"/>
        <v>12</v>
      </c>
      <c r="B75" s="575"/>
      <c r="C75" s="296" t="s">
        <v>187</v>
      </c>
      <c r="D75" s="575"/>
      <c r="E75" s="363">
        <v>0</v>
      </c>
      <c r="F75" s="241"/>
      <c r="G75" s="325">
        <f>AV$63</f>
        <v>0</v>
      </c>
      <c r="H75" s="241"/>
      <c r="I75" s="326">
        <f t="shared" si="1"/>
        <v>0</v>
      </c>
      <c r="J75" s="241"/>
      <c r="K75" s="326">
        <f t="shared" si="2"/>
        <v>0</v>
      </c>
      <c r="L75" s="241"/>
      <c r="M75" s="457"/>
      <c r="N75" s="467" t="s">
        <v>549</v>
      </c>
      <c r="O75" s="364">
        <v>0</v>
      </c>
      <c r="P75" s="365"/>
      <c r="Q75" s="467" t="s">
        <v>549</v>
      </c>
      <c r="R75" s="364">
        <v>0</v>
      </c>
      <c r="S75" s="365"/>
      <c r="T75" s="467" t="s">
        <v>549</v>
      </c>
      <c r="U75" s="364">
        <v>0</v>
      </c>
      <c r="V75" s="365"/>
      <c r="W75" s="467" t="s">
        <v>549</v>
      </c>
      <c r="X75" s="364">
        <v>0</v>
      </c>
      <c r="Y75" s="365"/>
      <c r="Z75" s="467" t="s">
        <v>549</v>
      </c>
      <c r="AA75" s="364">
        <v>0</v>
      </c>
      <c r="AB75" s="365"/>
      <c r="AC75" s="467" t="s">
        <v>549</v>
      </c>
      <c r="AD75" s="364">
        <v>0</v>
      </c>
      <c r="AE75" s="365"/>
      <c r="AF75" s="467" t="s">
        <v>549</v>
      </c>
      <c r="AG75" s="364">
        <v>0</v>
      </c>
      <c r="AH75" s="365"/>
      <c r="AI75" s="467" t="s">
        <v>549</v>
      </c>
      <c r="AJ75" s="364">
        <v>0</v>
      </c>
      <c r="AK75" s="365"/>
      <c r="AL75" s="467" t="s">
        <v>549</v>
      </c>
      <c r="AM75" s="364">
        <v>0</v>
      </c>
      <c r="AN75" s="365"/>
      <c r="AO75" s="467" t="s">
        <v>549</v>
      </c>
      <c r="AP75" s="364">
        <v>0</v>
      </c>
      <c r="AQ75" s="365"/>
      <c r="AR75" s="467" t="s">
        <v>549</v>
      </c>
      <c r="AS75" s="364">
        <v>0</v>
      </c>
      <c r="AT75" s="365"/>
      <c r="AU75" s="467" t="s">
        <v>549</v>
      </c>
      <c r="AV75" s="364">
        <v>0</v>
      </c>
      <c r="AW75" s="365"/>
      <c r="AX75" s="467" t="s">
        <v>549</v>
      </c>
      <c r="AY75" s="364">
        <v>0</v>
      </c>
      <c r="AZ75" s="365"/>
      <c r="BA75" s="467" t="s">
        <v>549</v>
      </c>
      <c r="BB75" s="364">
        <v>0</v>
      </c>
      <c r="BC75" s="365"/>
      <c r="BD75" s="467" t="s">
        <v>549</v>
      </c>
      <c r="BE75" s="364">
        <v>0</v>
      </c>
      <c r="BF75" s="365"/>
      <c r="BG75" s="467" t="s">
        <v>549</v>
      </c>
      <c r="BH75" s="364">
        <v>0</v>
      </c>
      <c r="BI75" s="365"/>
      <c r="BJ75" s="467" t="s">
        <v>549</v>
      </c>
      <c r="BK75" s="364">
        <v>0</v>
      </c>
      <c r="BL75" s="365"/>
      <c r="BM75" s="467" t="s">
        <v>549</v>
      </c>
      <c r="BN75" s="364">
        <v>0</v>
      </c>
      <c r="BO75" s="365"/>
      <c r="BP75" s="467" t="s">
        <v>549</v>
      </c>
      <c r="BQ75" s="364">
        <v>0</v>
      </c>
      <c r="BR75" s="365"/>
      <c r="BS75" s="467" t="s">
        <v>549</v>
      </c>
      <c r="BT75" s="364">
        <v>0</v>
      </c>
      <c r="BU75" s="365"/>
      <c r="BV75" s="467" t="s">
        <v>549</v>
      </c>
      <c r="BW75" s="364">
        <v>0</v>
      </c>
      <c r="BX75" s="365"/>
      <c r="BY75" s="467" t="s">
        <v>549</v>
      </c>
      <c r="BZ75" s="364">
        <v>0</v>
      </c>
      <c r="CA75" s="365"/>
      <c r="CB75" s="467" t="s">
        <v>549</v>
      </c>
      <c r="CC75" s="364">
        <v>0</v>
      </c>
      <c r="CD75" s="365"/>
      <c r="CE75" s="467" t="s">
        <v>549</v>
      </c>
      <c r="CF75" s="364">
        <v>0</v>
      </c>
    </row>
    <row r="76" spans="1:84" ht="15.75">
      <c r="A76" s="579">
        <f t="shared" si="3"/>
        <v>13</v>
      </c>
      <c r="B76" s="575"/>
      <c r="C76" s="296" t="s">
        <v>188</v>
      </c>
      <c r="D76" s="575"/>
      <c r="E76" s="363">
        <v>0</v>
      </c>
      <c r="F76" s="241"/>
      <c r="G76" s="325">
        <f>AY$63</f>
        <v>0</v>
      </c>
      <c r="H76" s="241"/>
      <c r="I76" s="326">
        <f t="shared" si="1"/>
        <v>0</v>
      </c>
      <c r="J76" s="241"/>
      <c r="K76" s="326">
        <f t="shared" si="2"/>
        <v>0</v>
      </c>
      <c r="L76" s="241"/>
      <c r="M76" s="457"/>
      <c r="N76" s="467" t="s">
        <v>549</v>
      </c>
      <c r="O76" s="364">
        <v>0</v>
      </c>
      <c r="P76" s="365"/>
      <c r="Q76" s="467" t="s">
        <v>549</v>
      </c>
      <c r="R76" s="364">
        <v>0</v>
      </c>
      <c r="S76" s="365"/>
      <c r="T76" s="467" t="s">
        <v>549</v>
      </c>
      <c r="U76" s="364">
        <v>0</v>
      </c>
      <c r="V76" s="365"/>
      <c r="W76" s="467" t="s">
        <v>549</v>
      </c>
      <c r="X76" s="364">
        <v>0</v>
      </c>
      <c r="Y76" s="365"/>
      <c r="Z76" s="467" t="s">
        <v>549</v>
      </c>
      <c r="AA76" s="364">
        <v>0</v>
      </c>
      <c r="AB76" s="365"/>
      <c r="AC76" s="467" t="s">
        <v>549</v>
      </c>
      <c r="AD76" s="364">
        <v>0</v>
      </c>
      <c r="AE76" s="365"/>
      <c r="AF76" s="467" t="s">
        <v>549</v>
      </c>
      <c r="AG76" s="364">
        <v>0</v>
      </c>
      <c r="AH76" s="365"/>
      <c r="AI76" s="467" t="s">
        <v>549</v>
      </c>
      <c r="AJ76" s="364">
        <v>0</v>
      </c>
      <c r="AK76" s="365"/>
      <c r="AL76" s="467" t="s">
        <v>549</v>
      </c>
      <c r="AM76" s="364">
        <v>0</v>
      </c>
      <c r="AN76" s="365"/>
      <c r="AO76" s="467" t="s">
        <v>549</v>
      </c>
      <c r="AP76" s="364">
        <v>0</v>
      </c>
      <c r="AQ76" s="365"/>
      <c r="AR76" s="467" t="s">
        <v>549</v>
      </c>
      <c r="AS76" s="364">
        <v>0</v>
      </c>
      <c r="AT76" s="365"/>
      <c r="AU76" s="467" t="s">
        <v>549</v>
      </c>
      <c r="AV76" s="364">
        <v>0</v>
      </c>
      <c r="AW76" s="365"/>
      <c r="AX76" s="467" t="s">
        <v>549</v>
      </c>
      <c r="AY76" s="364">
        <v>0</v>
      </c>
      <c r="AZ76" s="365"/>
      <c r="BA76" s="467" t="s">
        <v>549</v>
      </c>
      <c r="BB76" s="364">
        <v>0</v>
      </c>
      <c r="BC76" s="365"/>
      <c r="BD76" s="467" t="s">
        <v>549</v>
      </c>
      <c r="BE76" s="364">
        <v>0</v>
      </c>
      <c r="BF76" s="365"/>
      <c r="BG76" s="467" t="s">
        <v>549</v>
      </c>
      <c r="BH76" s="364">
        <v>0</v>
      </c>
      <c r="BI76" s="365"/>
      <c r="BJ76" s="467" t="s">
        <v>549</v>
      </c>
      <c r="BK76" s="364">
        <v>0</v>
      </c>
      <c r="BL76" s="365"/>
      <c r="BM76" s="467" t="s">
        <v>549</v>
      </c>
      <c r="BN76" s="364">
        <v>0</v>
      </c>
      <c r="BO76" s="365"/>
      <c r="BP76" s="467" t="s">
        <v>549</v>
      </c>
      <c r="BQ76" s="364">
        <v>0</v>
      </c>
      <c r="BR76" s="365"/>
      <c r="BS76" s="467" t="s">
        <v>549</v>
      </c>
      <c r="BT76" s="364">
        <v>0</v>
      </c>
      <c r="BU76" s="365"/>
      <c r="BV76" s="467" t="s">
        <v>549</v>
      </c>
      <c r="BW76" s="364">
        <v>0</v>
      </c>
      <c r="BX76" s="365"/>
      <c r="BY76" s="467" t="s">
        <v>549</v>
      </c>
      <c r="BZ76" s="364">
        <v>0</v>
      </c>
      <c r="CA76" s="365"/>
      <c r="CB76" s="467" t="s">
        <v>549</v>
      </c>
      <c r="CC76" s="364">
        <v>0</v>
      </c>
      <c r="CD76" s="365"/>
      <c r="CE76" s="467" t="s">
        <v>549</v>
      </c>
      <c r="CF76" s="364">
        <v>0</v>
      </c>
    </row>
    <row r="77" spans="1:84" ht="15.75">
      <c r="A77" s="579">
        <f t="shared" si="3"/>
        <v>14</v>
      </c>
      <c r="B77" s="284"/>
      <c r="C77" s="296" t="s">
        <v>189</v>
      </c>
      <c r="D77" s="575"/>
      <c r="E77" s="363">
        <v>0</v>
      </c>
      <c r="F77" s="241"/>
      <c r="G77" s="325">
        <f>BB$63</f>
        <v>0</v>
      </c>
      <c r="H77" s="241"/>
      <c r="I77" s="326">
        <f t="shared" si="1"/>
        <v>0</v>
      </c>
      <c r="J77" s="241"/>
      <c r="K77" s="326">
        <f t="shared" si="2"/>
        <v>0</v>
      </c>
      <c r="L77" s="241"/>
      <c r="M77" s="457"/>
      <c r="N77" s="467" t="s">
        <v>549</v>
      </c>
      <c r="O77" s="366">
        <v>0</v>
      </c>
      <c r="P77" s="365"/>
      <c r="Q77" s="467" t="s">
        <v>549</v>
      </c>
      <c r="R77" s="366">
        <v>0</v>
      </c>
      <c r="S77" s="365"/>
      <c r="T77" s="467" t="s">
        <v>549</v>
      </c>
      <c r="U77" s="366">
        <v>0</v>
      </c>
      <c r="V77" s="365"/>
      <c r="W77" s="467" t="s">
        <v>549</v>
      </c>
      <c r="X77" s="366">
        <v>0</v>
      </c>
      <c r="Y77" s="365"/>
      <c r="Z77" s="467" t="s">
        <v>549</v>
      </c>
      <c r="AA77" s="366">
        <v>0</v>
      </c>
      <c r="AB77" s="365"/>
      <c r="AC77" s="467" t="s">
        <v>549</v>
      </c>
      <c r="AD77" s="366">
        <v>0</v>
      </c>
      <c r="AE77" s="365"/>
      <c r="AF77" s="467" t="s">
        <v>549</v>
      </c>
      <c r="AG77" s="366">
        <v>0</v>
      </c>
      <c r="AH77" s="365"/>
      <c r="AI77" s="467" t="s">
        <v>549</v>
      </c>
      <c r="AJ77" s="366">
        <v>0</v>
      </c>
      <c r="AK77" s="365"/>
      <c r="AL77" s="467" t="s">
        <v>549</v>
      </c>
      <c r="AM77" s="366">
        <v>0</v>
      </c>
      <c r="AN77" s="365"/>
      <c r="AO77" s="467" t="s">
        <v>549</v>
      </c>
      <c r="AP77" s="366">
        <v>0</v>
      </c>
      <c r="AQ77" s="365"/>
      <c r="AR77" s="467" t="s">
        <v>549</v>
      </c>
      <c r="AS77" s="366">
        <v>0</v>
      </c>
      <c r="AT77" s="365"/>
      <c r="AU77" s="467" t="s">
        <v>549</v>
      </c>
      <c r="AV77" s="366">
        <v>0</v>
      </c>
      <c r="AW77" s="365"/>
      <c r="AX77" s="467" t="s">
        <v>549</v>
      </c>
      <c r="AY77" s="366">
        <v>0</v>
      </c>
      <c r="AZ77" s="365"/>
      <c r="BA77" s="467" t="s">
        <v>549</v>
      </c>
      <c r="BB77" s="366">
        <v>0</v>
      </c>
      <c r="BC77" s="365"/>
      <c r="BD77" s="467" t="s">
        <v>549</v>
      </c>
      <c r="BE77" s="366">
        <v>0</v>
      </c>
      <c r="BF77" s="365"/>
      <c r="BG77" s="467" t="s">
        <v>549</v>
      </c>
      <c r="BH77" s="366">
        <v>0</v>
      </c>
      <c r="BI77" s="365"/>
      <c r="BJ77" s="467" t="s">
        <v>549</v>
      </c>
      <c r="BK77" s="366">
        <v>0</v>
      </c>
      <c r="BL77" s="365"/>
      <c r="BM77" s="467" t="s">
        <v>549</v>
      </c>
      <c r="BN77" s="366">
        <v>0</v>
      </c>
      <c r="BO77" s="365"/>
      <c r="BP77" s="467" t="s">
        <v>549</v>
      </c>
      <c r="BQ77" s="366">
        <v>0</v>
      </c>
      <c r="BR77" s="365"/>
      <c r="BS77" s="467" t="s">
        <v>549</v>
      </c>
      <c r="BT77" s="366">
        <v>0</v>
      </c>
      <c r="BU77" s="365"/>
      <c r="BV77" s="467" t="s">
        <v>549</v>
      </c>
      <c r="BW77" s="366">
        <v>0</v>
      </c>
      <c r="BX77" s="365"/>
      <c r="BY77" s="467" t="s">
        <v>549</v>
      </c>
      <c r="BZ77" s="366">
        <v>0</v>
      </c>
      <c r="CA77" s="365"/>
      <c r="CB77" s="467" t="s">
        <v>549</v>
      </c>
      <c r="CC77" s="366">
        <v>0</v>
      </c>
      <c r="CD77" s="365"/>
      <c r="CE77" s="467" t="s">
        <v>549</v>
      </c>
      <c r="CF77" s="366">
        <v>0</v>
      </c>
    </row>
    <row r="78" spans="1:84" ht="15.75">
      <c r="A78" s="579">
        <f t="shared" si="3"/>
        <v>15</v>
      </c>
      <c r="B78" s="575"/>
      <c r="C78" s="296" t="s">
        <v>190</v>
      </c>
      <c r="D78" s="575"/>
      <c r="E78" s="363">
        <v>0</v>
      </c>
      <c r="F78" s="241"/>
      <c r="G78" s="325">
        <f>BE$63</f>
        <v>0</v>
      </c>
      <c r="H78" s="241"/>
      <c r="I78" s="326">
        <f t="shared" si="1"/>
        <v>0</v>
      </c>
      <c r="J78" s="241"/>
      <c r="K78" s="326">
        <f t="shared" si="2"/>
        <v>0</v>
      </c>
      <c r="L78" s="241"/>
      <c r="M78" s="457"/>
      <c r="N78" s="467" t="s">
        <v>549</v>
      </c>
      <c r="O78" s="366">
        <v>0</v>
      </c>
      <c r="P78" s="365"/>
      <c r="Q78" s="467" t="s">
        <v>549</v>
      </c>
      <c r="R78" s="366">
        <v>0</v>
      </c>
      <c r="S78" s="365"/>
      <c r="T78" s="467" t="s">
        <v>549</v>
      </c>
      <c r="U78" s="366">
        <v>0</v>
      </c>
      <c r="V78" s="365"/>
      <c r="W78" s="467" t="s">
        <v>549</v>
      </c>
      <c r="X78" s="366">
        <v>0</v>
      </c>
      <c r="Y78" s="365"/>
      <c r="Z78" s="467" t="s">
        <v>549</v>
      </c>
      <c r="AA78" s="366">
        <v>0</v>
      </c>
      <c r="AB78" s="365"/>
      <c r="AC78" s="467" t="s">
        <v>549</v>
      </c>
      <c r="AD78" s="366">
        <v>0</v>
      </c>
      <c r="AE78" s="365"/>
      <c r="AF78" s="467" t="s">
        <v>549</v>
      </c>
      <c r="AG78" s="366">
        <v>0</v>
      </c>
      <c r="AH78" s="365"/>
      <c r="AI78" s="467" t="s">
        <v>549</v>
      </c>
      <c r="AJ78" s="366">
        <v>0</v>
      </c>
      <c r="AK78" s="365"/>
      <c r="AL78" s="467" t="s">
        <v>549</v>
      </c>
      <c r="AM78" s="366">
        <v>0</v>
      </c>
      <c r="AN78" s="365"/>
      <c r="AO78" s="467" t="s">
        <v>549</v>
      </c>
      <c r="AP78" s="366">
        <v>0</v>
      </c>
      <c r="AQ78" s="365"/>
      <c r="AR78" s="467" t="s">
        <v>549</v>
      </c>
      <c r="AS78" s="366">
        <v>0</v>
      </c>
      <c r="AT78" s="365"/>
      <c r="AU78" s="467" t="s">
        <v>549</v>
      </c>
      <c r="AV78" s="366">
        <v>0</v>
      </c>
      <c r="AW78" s="365"/>
      <c r="AX78" s="467" t="s">
        <v>549</v>
      </c>
      <c r="AY78" s="366">
        <v>0</v>
      </c>
      <c r="AZ78" s="365"/>
      <c r="BA78" s="467" t="s">
        <v>549</v>
      </c>
      <c r="BB78" s="366">
        <v>0</v>
      </c>
      <c r="BC78" s="365"/>
      <c r="BD78" s="467" t="s">
        <v>549</v>
      </c>
      <c r="BE78" s="366">
        <v>0</v>
      </c>
      <c r="BF78" s="365"/>
      <c r="BG78" s="467" t="s">
        <v>549</v>
      </c>
      <c r="BH78" s="366">
        <v>0</v>
      </c>
      <c r="BI78" s="365"/>
      <c r="BJ78" s="467" t="s">
        <v>549</v>
      </c>
      <c r="BK78" s="366">
        <v>0</v>
      </c>
      <c r="BL78" s="365"/>
      <c r="BM78" s="467" t="s">
        <v>549</v>
      </c>
      <c r="BN78" s="366">
        <v>0</v>
      </c>
      <c r="BO78" s="365"/>
      <c r="BP78" s="467" t="s">
        <v>549</v>
      </c>
      <c r="BQ78" s="366">
        <v>0</v>
      </c>
      <c r="BR78" s="365"/>
      <c r="BS78" s="467" t="s">
        <v>549</v>
      </c>
      <c r="BT78" s="366">
        <v>0</v>
      </c>
      <c r="BU78" s="365"/>
      <c r="BV78" s="467" t="s">
        <v>549</v>
      </c>
      <c r="BW78" s="366">
        <v>0</v>
      </c>
      <c r="BX78" s="365"/>
      <c r="BY78" s="467" t="s">
        <v>549</v>
      </c>
      <c r="BZ78" s="366">
        <v>0</v>
      </c>
      <c r="CA78" s="365"/>
      <c r="CB78" s="467" t="s">
        <v>549</v>
      </c>
      <c r="CC78" s="366">
        <v>0</v>
      </c>
      <c r="CD78" s="365"/>
      <c r="CE78" s="467" t="s">
        <v>549</v>
      </c>
      <c r="CF78" s="366">
        <v>0</v>
      </c>
    </row>
    <row r="79" spans="1:84" ht="15.75">
      <c r="A79" s="579">
        <f t="shared" si="3"/>
        <v>16</v>
      </c>
      <c r="B79" s="575"/>
      <c r="C79" s="296" t="s">
        <v>191</v>
      </c>
      <c r="D79" s="575"/>
      <c r="E79" s="363">
        <v>0</v>
      </c>
      <c r="F79" s="241"/>
      <c r="G79" s="325">
        <f>BH$63</f>
        <v>0</v>
      </c>
      <c r="H79" s="241"/>
      <c r="I79" s="326">
        <f t="shared" si="1"/>
        <v>0</v>
      </c>
      <c r="J79" s="241"/>
      <c r="K79" s="326">
        <f t="shared" si="2"/>
        <v>0</v>
      </c>
      <c r="L79" s="241"/>
      <c r="M79" s="457"/>
      <c r="N79" s="467" t="s">
        <v>549</v>
      </c>
      <c r="O79" s="364">
        <v>0</v>
      </c>
      <c r="P79" s="365"/>
      <c r="Q79" s="467" t="s">
        <v>549</v>
      </c>
      <c r="R79" s="364">
        <v>0</v>
      </c>
      <c r="S79" s="365"/>
      <c r="T79" s="467" t="s">
        <v>549</v>
      </c>
      <c r="U79" s="364">
        <v>0</v>
      </c>
      <c r="V79" s="365"/>
      <c r="W79" s="467" t="s">
        <v>549</v>
      </c>
      <c r="X79" s="364">
        <v>0</v>
      </c>
      <c r="Y79" s="365"/>
      <c r="Z79" s="467" t="s">
        <v>549</v>
      </c>
      <c r="AA79" s="364">
        <v>0</v>
      </c>
      <c r="AB79" s="365"/>
      <c r="AC79" s="467" t="s">
        <v>549</v>
      </c>
      <c r="AD79" s="364">
        <v>0</v>
      </c>
      <c r="AE79" s="365"/>
      <c r="AF79" s="467" t="s">
        <v>549</v>
      </c>
      <c r="AG79" s="364">
        <v>0</v>
      </c>
      <c r="AH79" s="365"/>
      <c r="AI79" s="467" t="s">
        <v>549</v>
      </c>
      <c r="AJ79" s="364">
        <v>0</v>
      </c>
      <c r="AK79" s="365"/>
      <c r="AL79" s="467" t="s">
        <v>549</v>
      </c>
      <c r="AM79" s="364">
        <v>0</v>
      </c>
      <c r="AN79" s="365"/>
      <c r="AO79" s="467" t="s">
        <v>549</v>
      </c>
      <c r="AP79" s="364">
        <v>0</v>
      </c>
      <c r="AQ79" s="365"/>
      <c r="AR79" s="467" t="s">
        <v>549</v>
      </c>
      <c r="AS79" s="364">
        <v>0</v>
      </c>
      <c r="AT79" s="365"/>
      <c r="AU79" s="467" t="s">
        <v>549</v>
      </c>
      <c r="AV79" s="364">
        <v>0</v>
      </c>
      <c r="AW79" s="365"/>
      <c r="AX79" s="467" t="s">
        <v>549</v>
      </c>
      <c r="AY79" s="364">
        <v>0</v>
      </c>
      <c r="AZ79" s="365"/>
      <c r="BA79" s="467" t="s">
        <v>549</v>
      </c>
      <c r="BB79" s="364">
        <v>0</v>
      </c>
      <c r="BC79" s="365"/>
      <c r="BD79" s="467" t="s">
        <v>549</v>
      </c>
      <c r="BE79" s="364">
        <v>0</v>
      </c>
      <c r="BF79" s="365"/>
      <c r="BG79" s="467" t="s">
        <v>549</v>
      </c>
      <c r="BH79" s="364">
        <v>0</v>
      </c>
      <c r="BI79" s="365"/>
      <c r="BJ79" s="467" t="s">
        <v>549</v>
      </c>
      <c r="BK79" s="364">
        <v>0</v>
      </c>
      <c r="BL79" s="365"/>
      <c r="BM79" s="467" t="s">
        <v>549</v>
      </c>
      <c r="BN79" s="364">
        <v>0</v>
      </c>
      <c r="BO79" s="365"/>
      <c r="BP79" s="467" t="s">
        <v>549</v>
      </c>
      <c r="BQ79" s="364">
        <v>0</v>
      </c>
      <c r="BR79" s="365"/>
      <c r="BS79" s="467" t="s">
        <v>549</v>
      </c>
      <c r="BT79" s="364">
        <v>0</v>
      </c>
      <c r="BU79" s="365"/>
      <c r="BV79" s="467" t="s">
        <v>549</v>
      </c>
      <c r="BW79" s="364">
        <v>0</v>
      </c>
      <c r="BX79" s="365"/>
      <c r="BY79" s="467" t="s">
        <v>549</v>
      </c>
      <c r="BZ79" s="364">
        <v>0</v>
      </c>
      <c r="CA79" s="365"/>
      <c r="CB79" s="467" t="s">
        <v>549</v>
      </c>
      <c r="CC79" s="364">
        <v>0</v>
      </c>
      <c r="CD79" s="365"/>
      <c r="CE79" s="467" t="s">
        <v>549</v>
      </c>
      <c r="CF79" s="364">
        <v>0</v>
      </c>
    </row>
    <row r="80" spans="1:84" ht="15.75">
      <c r="A80" s="579">
        <f t="shared" si="3"/>
        <v>17</v>
      </c>
      <c r="B80" s="575"/>
      <c r="C80" s="296" t="s">
        <v>192</v>
      </c>
      <c r="D80" s="575"/>
      <c r="E80" s="363">
        <v>0</v>
      </c>
      <c r="F80" s="241"/>
      <c r="G80" s="325">
        <f>BK$63</f>
        <v>0</v>
      </c>
      <c r="H80" s="241"/>
      <c r="I80" s="326">
        <f t="shared" si="1"/>
        <v>0</v>
      </c>
      <c r="J80" s="241"/>
      <c r="K80" s="326">
        <f t="shared" si="2"/>
        <v>0</v>
      </c>
      <c r="L80" s="241"/>
      <c r="M80" s="457"/>
      <c r="N80" s="467" t="s">
        <v>549</v>
      </c>
      <c r="O80" s="364">
        <v>0</v>
      </c>
      <c r="P80" s="365"/>
      <c r="Q80" s="467" t="s">
        <v>549</v>
      </c>
      <c r="R80" s="364">
        <v>0</v>
      </c>
      <c r="S80" s="365"/>
      <c r="T80" s="467" t="s">
        <v>549</v>
      </c>
      <c r="U80" s="364">
        <v>0</v>
      </c>
      <c r="V80" s="365"/>
      <c r="W80" s="467" t="s">
        <v>549</v>
      </c>
      <c r="X80" s="364">
        <v>0</v>
      </c>
      <c r="Y80" s="365"/>
      <c r="Z80" s="467" t="s">
        <v>549</v>
      </c>
      <c r="AA80" s="364">
        <v>0</v>
      </c>
      <c r="AB80" s="365"/>
      <c r="AC80" s="467" t="s">
        <v>549</v>
      </c>
      <c r="AD80" s="364">
        <v>0</v>
      </c>
      <c r="AE80" s="365"/>
      <c r="AF80" s="467" t="s">
        <v>549</v>
      </c>
      <c r="AG80" s="364">
        <v>0</v>
      </c>
      <c r="AH80" s="365"/>
      <c r="AI80" s="467" t="s">
        <v>549</v>
      </c>
      <c r="AJ80" s="364">
        <v>0</v>
      </c>
      <c r="AK80" s="365"/>
      <c r="AL80" s="467" t="s">
        <v>549</v>
      </c>
      <c r="AM80" s="364">
        <v>0</v>
      </c>
      <c r="AN80" s="365"/>
      <c r="AO80" s="467" t="s">
        <v>549</v>
      </c>
      <c r="AP80" s="364">
        <v>0</v>
      </c>
      <c r="AQ80" s="365"/>
      <c r="AR80" s="467" t="s">
        <v>549</v>
      </c>
      <c r="AS80" s="364">
        <v>0</v>
      </c>
      <c r="AT80" s="365"/>
      <c r="AU80" s="467" t="s">
        <v>549</v>
      </c>
      <c r="AV80" s="364">
        <v>0</v>
      </c>
      <c r="AW80" s="365"/>
      <c r="AX80" s="467" t="s">
        <v>549</v>
      </c>
      <c r="AY80" s="364">
        <v>0</v>
      </c>
      <c r="AZ80" s="365"/>
      <c r="BA80" s="467" t="s">
        <v>549</v>
      </c>
      <c r="BB80" s="364">
        <v>0</v>
      </c>
      <c r="BC80" s="365"/>
      <c r="BD80" s="467" t="s">
        <v>549</v>
      </c>
      <c r="BE80" s="364">
        <v>0</v>
      </c>
      <c r="BF80" s="365"/>
      <c r="BG80" s="467" t="s">
        <v>549</v>
      </c>
      <c r="BH80" s="364">
        <v>0</v>
      </c>
      <c r="BI80" s="365"/>
      <c r="BJ80" s="467" t="s">
        <v>549</v>
      </c>
      <c r="BK80" s="364">
        <v>0</v>
      </c>
      <c r="BL80" s="365"/>
      <c r="BM80" s="467" t="s">
        <v>549</v>
      </c>
      <c r="BN80" s="364">
        <v>0</v>
      </c>
      <c r="BO80" s="365"/>
      <c r="BP80" s="467" t="s">
        <v>549</v>
      </c>
      <c r="BQ80" s="364">
        <v>0</v>
      </c>
      <c r="BR80" s="365"/>
      <c r="BS80" s="467" t="s">
        <v>549</v>
      </c>
      <c r="BT80" s="364">
        <v>0</v>
      </c>
      <c r="BU80" s="365"/>
      <c r="BV80" s="467" t="s">
        <v>549</v>
      </c>
      <c r="BW80" s="364">
        <v>0</v>
      </c>
      <c r="BX80" s="365"/>
      <c r="BY80" s="467" t="s">
        <v>549</v>
      </c>
      <c r="BZ80" s="364">
        <v>0</v>
      </c>
      <c r="CA80" s="365"/>
      <c r="CB80" s="467" t="s">
        <v>549</v>
      </c>
      <c r="CC80" s="364">
        <v>0</v>
      </c>
      <c r="CD80" s="365"/>
      <c r="CE80" s="467" t="s">
        <v>549</v>
      </c>
      <c r="CF80" s="364">
        <v>0</v>
      </c>
    </row>
    <row r="81" spans="1:84" ht="15.75">
      <c r="A81" s="579">
        <f t="shared" si="3"/>
        <v>18</v>
      </c>
      <c r="B81" s="575"/>
      <c r="C81" s="296" t="s">
        <v>193</v>
      </c>
      <c r="D81" s="575"/>
      <c r="E81" s="363">
        <v>0</v>
      </c>
      <c r="F81" s="241"/>
      <c r="G81" s="325">
        <f>BN$63</f>
        <v>0</v>
      </c>
      <c r="H81" s="241"/>
      <c r="I81" s="326">
        <f t="shared" si="1"/>
        <v>0</v>
      </c>
      <c r="J81" s="241"/>
      <c r="K81" s="326">
        <f t="shared" si="2"/>
        <v>0</v>
      </c>
      <c r="L81" s="241"/>
      <c r="M81" s="457"/>
      <c r="N81" s="467" t="s">
        <v>549</v>
      </c>
      <c r="O81" s="364">
        <v>0</v>
      </c>
      <c r="P81" s="365"/>
      <c r="Q81" s="467" t="s">
        <v>549</v>
      </c>
      <c r="R81" s="364">
        <v>0</v>
      </c>
      <c r="S81" s="365"/>
      <c r="T81" s="467" t="s">
        <v>549</v>
      </c>
      <c r="U81" s="364">
        <v>0</v>
      </c>
      <c r="V81" s="365"/>
      <c r="W81" s="467" t="s">
        <v>549</v>
      </c>
      <c r="X81" s="364">
        <v>0</v>
      </c>
      <c r="Y81" s="365"/>
      <c r="Z81" s="467" t="s">
        <v>549</v>
      </c>
      <c r="AA81" s="364">
        <v>0</v>
      </c>
      <c r="AB81" s="365"/>
      <c r="AC81" s="467" t="s">
        <v>549</v>
      </c>
      <c r="AD81" s="364">
        <v>0</v>
      </c>
      <c r="AE81" s="365"/>
      <c r="AF81" s="467" t="s">
        <v>549</v>
      </c>
      <c r="AG81" s="364">
        <v>0</v>
      </c>
      <c r="AH81" s="365"/>
      <c r="AI81" s="467" t="s">
        <v>549</v>
      </c>
      <c r="AJ81" s="364">
        <v>0</v>
      </c>
      <c r="AK81" s="365"/>
      <c r="AL81" s="467" t="s">
        <v>549</v>
      </c>
      <c r="AM81" s="364">
        <v>0</v>
      </c>
      <c r="AN81" s="365"/>
      <c r="AO81" s="467" t="s">
        <v>549</v>
      </c>
      <c r="AP81" s="364">
        <v>0</v>
      </c>
      <c r="AQ81" s="365"/>
      <c r="AR81" s="467" t="s">
        <v>549</v>
      </c>
      <c r="AS81" s="364">
        <v>0</v>
      </c>
      <c r="AT81" s="365"/>
      <c r="AU81" s="467" t="s">
        <v>549</v>
      </c>
      <c r="AV81" s="364">
        <v>0</v>
      </c>
      <c r="AW81" s="365"/>
      <c r="AX81" s="467" t="s">
        <v>549</v>
      </c>
      <c r="AY81" s="364">
        <v>0</v>
      </c>
      <c r="AZ81" s="365"/>
      <c r="BA81" s="467" t="s">
        <v>549</v>
      </c>
      <c r="BB81" s="364">
        <v>0</v>
      </c>
      <c r="BC81" s="365"/>
      <c r="BD81" s="467" t="s">
        <v>549</v>
      </c>
      <c r="BE81" s="364">
        <v>0</v>
      </c>
      <c r="BF81" s="365"/>
      <c r="BG81" s="467" t="s">
        <v>549</v>
      </c>
      <c r="BH81" s="364">
        <v>0</v>
      </c>
      <c r="BI81" s="365"/>
      <c r="BJ81" s="467" t="s">
        <v>549</v>
      </c>
      <c r="BK81" s="364">
        <v>0</v>
      </c>
      <c r="BL81" s="365"/>
      <c r="BM81" s="467" t="s">
        <v>549</v>
      </c>
      <c r="BN81" s="364">
        <v>0</v>
      </c>
      <c r="BO81" s="365"/>
      <c r="BP81" s="467" t="s">
        <v>549</v>
      </c>
      <c r="BQ81" s="364">
        <v>0</v>
      </c>
      <c r="BR81" s="365"/>
      <c r="BS81" s="467" t="s">
        <v>549</v>
      </c>
      <c r="BT81" s="364">
        <v>0</v>
      </c>
      <c r="BU81" s="365"/>
      <c r="BV81" s="467" t="s">
        <v>549</v>
      </c>
      <c r="BW81" s="364">
        <v>0</v>
      </c>
      <c r="BX81" s="365"/>
      <c r="BY81" s="467" t="s">
        <v>549</v>
      </c>
      <c r="BZ81" s="364">
        <v>0</v>
      </c>
      <c r="CA81" s="365"/>
      <c r="CB81" s="467" t="s">
        <v>549</v>
      </c>
      <c r="CC81" s="364">
        <v>0</v>
      </c>
      <c r="CD81" s="365"/>
      <c r="CE81" s="467" t="s">
        <v>549</v>
      </c>
      <c r="CF81" s="364">
        <v>0</v>
      </c>
    </row>
    <row r="82" spans="1:84" ht="15.75">
      <c r="A82" s="579">
        <f t="shared" si="3"/>
        <v>19</v>
      </c>
      <c r="B82" s="575"/>
      <c r="C82" s="296" t="s">
        <v>194</v>
      </c>
      <c r="D82" s="575"/>
      <c r="E82" s="363">
        <v>0</v>
      </c>
      <c r="F82" s="241"/>
      <c r="G82" s="325">
        <f>BQ$63</f>
        <v>0</v>
      </c>
      <c r="H82" s="241"/>
      <c r="I82" s="326">
        <f t="shared" si="1"/>
        <v>0</v>
      </c>
      <c r="J82" s="241"/>
      <c r="K82" s="326">
        <f t="shared" si="2"/>
        <v>0</v>
      </c>
      <c r="L82" s="241"/>
      <c r="M82" s="457"/>
      <c r="N82" s="467" t="s">
        <v>549</v>
      </c>
      <c r="O82" s="364">
        <v>0</v>
      </c>
      <c r="P82" s="365"/>
      <c r="Q82" s="467" t="s">
        <v>549</v>
      </c>
      <c r="R82" s="364">
        <v>0</v>
      </c>
      <c r="S82" s="365"/>
      <c r="T82" s="467" t="s">
        <v>549</v>
      </c>
      <c r="U82" s="364">
        <v>0</v>
      </c>
      <c r="V82" s="365"/>
      <c r="W82" s="467" t="s">
        <v>549</v>
      </c>
      <c r="X82" s="364">
        <v>0</v>
      </c>
      <c r="Y82" s="365"/>
      <c r="Z82" s="467" t="s">
        <v>549</v>
      </c>
      <c r="AA82" s="364">
        <v>0</v>
      </c>
      <c r="AB82" s="365"/>
      <c r="AC82" s="467" t="s">
        <v>549</v>
      </c>
      <c r="AD82" s="364">
        <v>0</v>
      </c>
      <c r="AE82" s="365"/>
      <c r="AF82" s="467" t="s">
        <v>549</v>
      </c>
      <c r="AG82" s="364">
        <v>0</v>
      </c>
      <c r="AH82" s="365"/>
      <c r="AI82" s="467" t="s">
        <v>549</v>
      </c>
      <c r="AJ82" s="364">
        <v>0</v>
      </c>
      <c r="AK82" s="365"/>
      <c r="AL82" s="467" t="s">
        <v>549</v>
      </c>
      <c r="AM82" s="364">
        <v>0</v>
      </c>
      <c r="AN82" s="365"/>
      <c r="AO82" s="467" t="s">
        <v>549</v>
      </c>
      <c r="AP82" s="364">
        <v>0</v>
      </c>
      <c r="AQ82" s="365"/>
      <c r="AR82" s="467" t="s">
        <v>549</v>
      </c>
      <c r="AS82" s="364">
        <v>0</v>
      </c>
      <c r="AT82" s="365"/>
      <c r="AU82" s="467" t="s">
        <v>549</v>
      </c>
      <c r="AV82" s="364">
        <v>0</v>
      </c>
      <c r="AW82" s="365"/>
      <c r="AX82" s="467" t="s">
        <v>549</v>
      </c>
      <c r="AY82" s="364">
        <v>0</v>
      </c>
      <c r="AZ82" s="365"/>
      <c r="BA82" s="467" t="s">
        <v>549</v>
      </c>
      <c r="BB82" s="364">
        <v>0</v>
      </c>
      <c r="BC82" s="365"/>
      <c r="BD82" s="467" t="s">
        <v>549</v>
      </c>
      <c r="BE82" s="364">
        <v>0</v>
      </c>
      <c r="BF82" s="365"/>
      <c r="BG82" s="467" t="s">
        <v>549</v>
      </c>
      <c r="BH82" s="364">
        <v>0</v>
      </c>
      <c r="BI82" s="365"/>
      <c r="BJ82" s="467" t="s">
        <v>549</v>
      </c>
      <c r="BK82" s="364">
        <v>0</v>
      </c>
      <c r="BL82" s="365"/>
      <c r="BM82" s="467" t="s">
        <v>549</v>
      </c>
      <c r="BN82" s="364">
        <v>0</v>
      </c>
      <c r="BO82" s="365"/>
      <c r="BP82" s="467" t="s">
        <v>549</v>
      </c>
      <c r="BQ82" s="364">
        <v>0</v>
      </c>
      <c r="BR82" s="365"/>
      <c r="BS82" s="467" t="s">
        <v>549</v>
      </c>
      <c r="BT82" s="364">
        <v>0</v>
      </c>
      <c r="BU82" s="365"/>
      <c r="BV82" s="467" t="s">
        <v>549</v>
      </c>
      <c r="BW82" s="364">
        <v>0</v>
      </c>
      <c r="BX82" s="365"/>
      <c r="BY82" s="467" t="s">
        <v>549</v>
      </c>
      <c r="BZ82" s="364">
        <v>0</v>
      </c>
      <c r="CA82" s="365"/>
      <c r="CB82" s="467" t="s">
        <v>549</v>
      </c>
      <c r="CC82" s="364">
        <v>0</v>
      </c>
      <c r="CD82" s="365"/>
      <c r="CE82" s="467" t="s">
        <v>549</v>
      </c>
      <c r="CF82" s="364">
        <v>0</v>
      </c>
    </row>
    <row r="83" spans="1:84" ht="15.75">
      <c r="A83" s="579">
        <f t="shared" si="3"/>
        <v>20</v>
      </c>
      <c r="B83" s="575"/>
      <c r="C83" s="296" t="s">
        <v>195</v>
      </c>
      <c r="D83" s="575"/>
      <c r="E83" s="363">
        <v>0</v>
      </c>
      <c r="F83" s="241"/>
      <c r="G83" s="325">
        <f>BT$63</f>
        <v>0</v>
      </c>
      <c r="H83" s="241"/>
      <c r="I83" s="326">
        <f t="shared" si="1"/>
        <v>0</v>
      </c>
      <c r="J83" s="241"/>
      <c r="K83" s="326">
        <f t="shared" si="2"/>
        <v>0</v>
      </c>
      <c r="L83" s="241"/>
      <c r="M83" s="457"/>
      <c r="N83" s="467" t="s">
        <v>549</v>
      </c>
      <c r="O83" s="364">
        <v>0</v>
      </c>
      <c r="P83" s="365"/>
      <c r="Q83" s="467" t="s">
        <v>549</v>
      </c>
      <c r="R83" s="364">
        <v>0</v>
      </c>
      <c r="S83" s="365"/>
      <c r="T83" s="467" t="s">
        <v>549</v>
      </c>
      <c r="U83" s="364">
        <v>0</v>
      </c>
      <c r="V83" s="365"/>
      <c r="W83" s="467" t="s">
        <v>549</v>
      </c>
      <c r="X83" s="364">
        <v>0</v>
      </c>
      <c r="Y83" s="365"/>
      <c r="Z83" s="467" t="s">
        <v>549</v>
      </c>
      <c r="AA83" s="364">
        <v>0</v>
      </c>
      <c r="AB83" s="365"/>
      <c r="AC83" s="467" t="s">
        <v>549</v>
      </c>
      <c r="AD83" s="364">
        <v>0</v>
      </c>
      <c r="AE83" s="365"/>
      <c r="AF83" s="467" t="s">
        <v>549</v>
      </c>
      <c r="AG83" s="364">
        <v>0</v>
      </c>
      <c r="AH83" s="365"/>
      <c r="AI83" s="467" t="s">
        <v>549</v>
      </c>
      <c r="AJ83" s="364">
        <v>0</v>
      </c>
      <c r="AK83" s="365"/>
      <c r="AL83" s="467" t="s">
        <v>549</v>
      </c>
      <c r="AM83" s="364">
        <v>0</v>
      </c>
      <c r="AN83" s="365"/>
      <c r="AO83" s="467" t="s">
        <v>549</v>
      </c>
      <c r="AP83" s="364">
        <v>0</v>
      </c>
      <c r="AQ83" s="365"/>
      <c r="AR83" s="467" t="s">
        <v>549</v>
      </c>
      <c r="AS83" s="364">
        <v>0</v>
      </c>
      <c r="AT83" s="365"/>
      <c r="AU83" s="467" t="s">
        <v>549</v>
      </c>
      <c r="AV83" s="364">
        <v>0</v>
      </c>
      <c r="AW83" s="365"/>
      <c r="AX83" s="467" t="s">
        <v>549</v>
      </c>
      <c r="AY83" s="364">
        <v>0</v>
      </c>
      <c r="AZ83" s="365"/>
      <c r="BA83" s="467" t="s">
        <v>549</v>
      </c>
      <c r="BB83" s="364">
        <v>0</v>
      </c>
      <c r="BC83" s="365"/>
      <c r="BD83" s="467" t="s">
        <v>549</v>
      </c>
      <c r="BE83" s="364">
        <v>0</v>
      </c>
      <c r="BF83" s="365"/>
      <c r="BG83" s="467" t="s">
        <v>549</v>
      </c>
      <c r="BH83" s="364">
        <v>0</v>
      </c>
      <c r="BI83" s="365"/>
      <c r="BJ83" s="467" t="s">
        <v>549</v>
      </c>
      <c r="BK83" s="364">
        <v>0</v>
      </c>
      <c r="BL83" s="365"/>
      <c r="BM83" s="467" t="s">
        <v>549</v>
      </c>
      <c r="BN83" s="364">
        <v>0</v>
      </c>
      <c r="BO83" s="365"/>
      <c r="BP83" s="467" t="s">
        <v>549</v>
      </c>
      <c r="BQ83" s="364">
        <v>0</v>
      </c>
      <c r="BR83" s="365"/>
      <c r="BS83" s="467" t="s">
        <v>549</v>
      </c>
      <c r="BT83" s="364">
        <v>0</v>
      </c>
      <c r="BU83" s="365"/>
      <c r="BV83" s="467" t="s">
        <v>549</v>
      </c>
      <c r="BW83" s="364">
        <v>0</v>
      </c>
      <c r="BX83" s="365"/>
      <c r="BY83" s="467" t="s">
        <v>549</v>
      </c>
      <c r="BZ83" s="364">
        <v>0</v>
      </c>
      <c r="CA83" s="365"/>
      <c r="CB83" s="467" t="s">
        <v>549</v>
      </c>
      <c r="CC83" s="364">
        <v>0</v>
      </c>
      <c r="CD83" s="365"/>
      <c r="CE83" s="467" t="s">
        <v>549</v>
      </c>
      <c r="CF83" s="364">
        <v>0</v>
      </c>
    </row>
    <row r="84" spans="1:84" ht="15.75">
      <c r="A84" s="579">
        <f t="shared" si="3"/>
        <v>21</v>
      </c>
      <c r="B84" s="575"/>
      <c r="C84" s="296" t="s">
        <v>196</v>
      </c>
      <c r="D84" s="575"/>
      <c r="E84" s="363">
        <v>0</v>
      </c>
      <c r="F84" s="241"/>
      <c r="G84" s="325">
        <f>BW$63</f>
        <v>0</v>
      </c>
      <c r="H84" s="241"/>
      <c r="I84" s="326">
        <f t="shared" si="1"/>
        <v>0</v>
      </c>
      <c r="J84" s="241"/>
      <c r="K84" s="326">
        <f t="shared" si="2"/>
        <v>0</v>
      </c>
      <c r="L84" s="241"/>
      <c r="M84" s="457"/>
      <c r="N84" s="467" t="s">
        <v>549</v>
      </c>
      <c r="O84" s="364">
        <v>0</v>
      </c>
      <c r="P84" s="365"/>
      <c r="Q84" s="467" t="s">
        <v>549</v>
      </c>
      <c r="R84" s="364">
        <v>0</v>
      </c>
      <c r="S84" s="365"/>
      <c r="T84" s="467" t="s">
        <v>549</v>
      </c>
      <c r="U84" s="364">
        <v>0</v>
      </c>
      <c r="V84" s="365"/>
      <c r="W84" s="467" t="s">
        <v>549</v>
      </c>
      <c r="X84" s="364">
        <v>0</v>
      </c>
      <c r="Y84" s="365"/>
      <c r="Z84" s="467" t="s">
        <v>549</v>
      </c>
      <c r="AA84" s="364">
        <v>0</v>
      </c>
      <c r="AB84" s="365"/>
      <c r="AC84" s="467" t="s">
        <v>549</v>
      </c>
      <c r="AD84" s="364">
        <v>0</v>
      </c>
      <c r="AE84" s="365"/>
      <c r="AF84" s="467" t="s">
        <v>549</v>
      </c>
      <c r="AG84" s="364">
        <v>0</v>
      </c>
      <c r="AH84" s="365"/>
      <c r="AI84" s="467" t="s">
        <v>549</v>
      </c>
      <c r="AJ84" s="364">
        <v>0</v>
      </c>
      <c r="AK84" s="365"/>
      <c r="AL84" s="467" t="s">
        <v>549</v>
      </c>
      <c r="AM84" s="364">
        <v>0</v>
      </c>
      <c r="AN84" s="365"/>
      <c r="AO84" s="467" t="s">
        <v>549</v>
      </c>
      <c r="AP84" s="364">
        <v>0</v>
      </c>
      <c r="AQ84" s="365"/>
      <c r="AR84" s="467" t="s">
        <v>549</v>
      </c>
      <c r="AS84" s="364">
        <v>0</v>
      </c>
      <c r="AT84" s="365"/>
      <c r="AU84" s="467" t="s">
        <v>549</v>
      </c>
      <c r="AV84" s="364">
        <v>0</v>
      </c>
      <c r="AW84" s="365"/>
      <c r="AX84" s="467" t="s">
        <v>549</v>
      </c>
      <c r="AY84" s="364">
        <v>0</v>
      </c>
      <c r="AZ84" s="365"/>
      <c r="BA84" s="467" t="s">
        <v>549</v>
      </c>
      <c r="BB84" s="364">
        <v>0</v>
      </c>
      <c r="BC84" s="365"/>
      <c r="BD84" s="467" t="s">
        <v>549</v>
      </c>
      <c r="BE84" s="364">
        <v>0</v>
      </c>
      <c r="BF84" s="365"/>
      <c r="BG84" s="467" t="s">
        <v>549</v>
      </c>
      <c r="BH84" s="364">
        <v>0</v>
      </c>
      <c r="BI84" s="365"/>
      <c r="BJ84" s="467" t="s">
        <v>549</v>
      </c>
      <c r="BK84" s="364">
        <v>0</v>
      </c>
      <c r="BL84" s="365"/>
      <c r="BM84" s="467" t="s">
        <v>549</v>
      </c>
      <c r="BN84" s="364">
        <v>0</v>
      </c>
      <c r="BO84" s="365"/>
      <c r="BP84" s="467" t="s">
        <v>549</v>
      </c>
      <c r="BQ84" s="364">
        <v>0</v>
      </c>
      <c r="BR84" s="365"/>
      <c r="BS84" s="467" t="s">
        <v>549</v>
      </c>
      <c r="BT84" s="364">
        <v>0</v>
      </c>
      <c r="BU84" s="365"/>
      <c r="BV84" s="467" t="s">
        <v>549</v>
      </c>
      <c r="BW84" s="364">
        <v>0</v>
      </c>
      <c r="BX84" s="365"/>
      <c r="BY84" s="467" t="s">
        <v>549</v>
      </c>
      <c r="BZ84" s="364">
        <v>0</v>
      </c>
      <c r="CA84" s="365"/>
      <c r="CB84" s="467" t="s">
        <v>549</v>
      </c>
      <c r="CC84" s="364">
        <v>0</v>
      </c>
      <c r="CD84" s="365"/>
      <c r="CE84" s="467" t="s">
        <v>549</v>
      </c>
      <c r="CF84" s="364">
        <v>0</v>
      </c>
    </row>
    <row r="85" spans="1:84" ht="15.75">
      <c r="A85" s="579">
        <f t="shared" si="3"/>
        <v>22</v>
      </c>
      <c r="B85" s="284">
        <f>Coversheet!E$42</f>
        <v>2020</v>
      </c>
      <c r="C85" s="296" t="s">
        <v>185</v>
      </c>
      <c r="D85" s="575"/>
      <c r="E85" s="363">
        <v>0</v>
      </c>
      <c r="F85" s="241"/>
      <c r="G85" s="325">
        <f>BZ$63</f>
        <v>0</v>
      </c>
      <c r="H85" s="241"/>
      <c r="I85" s="326">
        <f t="shared" si="1"/>
        <v>0</v>
      </c>
      <c r="J85" s="241"/>
      <c r="K85" s="326">
        <f t="shared" si="2"/>
        <v>0</v>
      </c>
      <c r="L85" s="241"/>
      <c r="M85" s="457"/>
      <c r="N85" s="467" t="s">
        <v>549</v>
      </c>
      <c r="O85" s="364">
        <v>0</v>
      </c>
      <c r="P85" s="365"/>
      <c r="Q85" s="467" t="s">
        <v>549</v>
      </c>
      <c r="R85" s="364">
        <v>0</v>
      </c>
      <c r="S85" s="365"/>
      <c r="T85" s="467" t="s">
        <v>549</v>
      </c>
      <c r="U85" s="364">
        <v>0</v>
      </c>
      <c r="V85" s="365"/>
      <c r="W85" s="467" t="s">
        <v>549</v>
      </c>
      <c r="X85" s="364">
        <v>0</v>
      </c>
      <c r="Y85" s="365"/>
      <c r="Z85" s="467" t="s">
        <v>549</v>
      </c>
      <c r="AA85" s="364">
        <v>0</v>
      </c>
      <c r="AB85" s="365"/>
      <c r="AC85" s="467" t="s">
        <v>549</v>
      </c>
      <c r="AD85" s="364">
        <v>0</v>
      </c>
      <c r="AE85" s="365"/>
      <c r="AF85" s="467" t="s">
        <v>549</v>
      </c>
      <c r="AG85" s="364">
        <v>0</v>
      </c>
      <c r="AH85" s="365"/>
      <c r="AI85" s="467" t="s">
        <v>549</v>
      </c>
      <c r="AJ85" s="364">
        <v>0</v>
      </c>
      <c r="AK85" s="365"/>
      <c r="AL85" s="467" t="s">
        <v>549</v>
      </c>
      <c r="AM85" s="364">
        <v>0</v>
      </c>
      <c r="AN85" s="365"/>
      <c r="AO85" s="467" t="s">
        <v>549</v>
      </c>
      <c r="AP85" s="364">
        <v>0</v>
      </c>
      <c r="AQ85" s="365"/>
      <c r="AR85" s="467" t="s">
        <v>549</v>
      </c>
      <c r="AS85" s="364">
        <v>0</v>
      </c>
      <c r="AT85" s="365"/>
      <c r="AU85" s="467" t="s">
        <v>549</v>
      </c>
      <c r="AV85" s="364">
        <v>0</v>
      </c>
      <c r="AW85" s="365"/>
      <c r="AX85" s="467" t="s">
        <v>549</v>
      </c>
      <c r="AY85" s="364">
        <v>0</v>
      </c>
      <c r="AZ85" s="365"/>
      <c r="BA85" s="467" t="s">
        <v>549</v>
      </c>
      <c r="BB85" s="364">
        <v>0</v>
      </c>
      <c r="BC85" s="365"/>
      <c r="BD85" s="467" t="s">
        <v>549</v>
      </c>
      <c r="BE85" s="364">
        <v>0</v>
      </c>
      <c r="BF85" s="365"/>
      <c r="BG85" s="467" t="s">
        <v>549</v>
      </c>
      <c r="BH85" s="364">
        <v>0</v>
      </c>
      <c r="BI85" s="365"/>
      <c r="BJ85" s="467" t="s">
        <v>549</v>
      </c>
      <c r="BK85" s="364">
        <v>0</v>
      </c>
      <c r="BL85" s="365"/>
      <c r="BM85" s="467" t="s">
        <v>549</v>
      </c>
      <c r="BN85" s="364">
        <v>0</v>
      </c>
      <c r="BO85" s="365"/>
      <c r="BP85" s="467" t="s">
        <v>549</v>
      </c>
      <c r="BQ85" s="364">
        <v>0</v>
      </c>
      <c r="BR85" s="365"/>
      <c r="BS85" s="467" t="s">
        <v>549</v>
      </c>
      <c r="BT85" s="364">
        <v>0</v>
      </c>
      <c r="BU85" s="365"/>
      <c r="BV85" s="467" t="s">
        <v>549</v>
      </c>
      <c r="BW85" s="364">
        <v>0</v>
      </c>
      <c r="BX85" s="365"/>
      <c r="BY85" s="467" t="s">
        <v>549</v>
      </c>
      <c r="BZ85" s="364">
        <v>0</v>
      </c>
      <c r="CA85" s="365"/>
      <c r="CB85" s="467" t="s">
        <v>549</v>
      </c>
      <c r="CC85" s="364">
        <v>0</v>
      </c>
      <c r="CD85" s="365"/>
      <c r="CE85" s="467" t="s">
        <v>549</v>
      </c>
      <c r="CF85" s="364">
        <v>0</v>
      </c>
    </row>
    <row r="86" spans="1:84" ht="15.75">
      <c r="A86" s="579">
        <f t="shared" si="3"/>
        <v>23</v>
      </c>
      <c r="B86" s="575"/>
      <c r="C86" s="296" t="s">
        <v>186</v>
      </c>
      <c r="D86" s="575"/>
      <c r="E86" s="363">
        <v>0</v>
      </c>
      <c r="F86" s="241"/>
      <c r="G86" s="325">
        <f>CC$63</f>
        <v>0</v>
      </c>
      <c r="H86" s="241"/>
      <c r="I86" s="326">
        <f t="shared" si="1"/>
        <v>0</v>
      </c>
      <c r="J86" s="241"/>
      <c r="K86" s="326">
        <f t="shared" si="2"/>
        <v>0</v>
      </c>
      <c r="L86" s="241"/>
      <c r="M86" s="457"/>
      <c r="N86" s="467" t="s">
        <v>549</v>
      </c>
      <c r="O86" s="364">
        <v>0</v>
      </c>
      <c r="P86" s="365"/>
      <c r="Q86" s="467" t="s">
        <v>549</v>
      </c>
      <c r="R86" s="364">
        <v>0</v>
      </c>
      <c r="S86" s="365"/>
      <c r="T86" s="467" t="s">
        <v>549</v>
      </c>
      <c r="U86" s="364">
        <v>0</v>
      </c>
      <c r="V86" s="365"/>
      <c r="W86" s="467" t="s">
        <v>549</v>
      </c>
      <c r="X86" s="364">
        <v>0</v>
      </c>
      <c r="Y86" s="365"/>
      <c r="Z86" s="467" t="s">
        <v>549</v>
      </c>
      <c r="AA86" s="364">
        <v>0</v>
      </c>
      <c r="AB86" s="365"/>
      <c r="AC86" s="467" t="s">
        <v>549</v>
      </c>
      <c r="AD86" s="364">
        <v>0</v>
      </c>
      <c r="AE86" s="365"/>
      <c r="AF86" s="467" t="s">
        <v>549</v>
      </c>
      <c r="AG86" s="364">
        <v>0</v>
      </c>
      <c r="AH86" s="365"/>
      <c r="AI86" s="467" t="s">
        <v>549</v>
      </c>
      <c r="AJ86" s="364">
        <v>0</v>
      </c>
      <c r="AK86" s="365"/>
      <c r="AL86" s="467" t="s">
        <v>549</v>
      </c>
      <c r="AM86" s="364">
        <v>0</v>
      </c>
      <c r="AN86" s="365"/>
      <c r="AO86" s="467" t="s">
        <v>549</v>
      </c>
      <c r="AP86" s="364">
        <v>0</v>
      </c>
      <c r="AQ86" s="365"/>
      <c r="AR86" s="467" t="s">
        <v>549</v>
      </c>
      <c r="AS86" s="364">
        <v>0</v>
      </c>
      <c r="AT86" s="365"/>
      <c r="AU86" s="467" t="s">
        <v>549</v>
      </c>
      <c r="AV86" s="364">
        <v>0</v>
      </c>
      <c r="AW86" s="365"/>
      <c r="AX86" s="467" t="s">
        <v>549</v>
      </c>
      <c r="AY86" s="364">
        <v>0</v>
      </c>
      <c r="AZ86" s="365"/>
      <c r="BA86" s="467" t="s">
        <v>549</v>
      </c>
      <c r="BB86" s="364">
        <v>0</v>
      </c>
      <c r="BC86" s="365"/>
      <c r="BD86" s="467" t="s">
        <v>549</v>
      </c>
      <c r="BE86" s="364">
        <v>0</v>
      </c>
      <c r="BF86" s="365"/>
      <c r="BG86" s="467" t="s">
        <v>549</v>
      </c>
      <c r="BH86" s="364">
        <v>0</v>
      </c>
      <c r="BI86" s="365"/>
      <c r="BJ86" s="467" t="s">
        <v>549</v>
      </c>
      <c r="BK86" s="364">
        <v>0</v>
      </c>
      <c r="BL86" s="365"/>
      <c r="BM86" s="467" t="s">
        <v>549</v>
      </c>
      <c r="BN86" s="364">
        <v>0</v>
      </c>
      <c r="BO86" s="365"/>
      <c r="BP86" s="467" t="s">
        <v>549</v>
      </c>
      <c r="BQ86" s="364">
        <v>0</v>
      </c>
      <c r="BR86" s="365"/>
      <c r="BS86" s="467" t="s">
        <v>549</v>
      </c>
      <c r="BT86" s="364">
        <v>0</v>
      </c>
      <c r="BU86" s="365"/>
      <c r="BV86" s="467" t="s">
        <v>549</v>
      </c>
      <c r="BW86" s="364">
        <v>0</v>
      </c>
      <c r="BX86" s="365"/>
      <c r="BY86" s="467" t="s">
        <v>549</v>
      </c>
      <c r="BZ86" s="364">
        <v>0</v>
      </c>
      <c r="CA86" s="365"/>
      <c r="CB86" s="467" t="s">
        <v>549</v>
      </c>
      <c r="CC86" s="364">
        <v>0</v>
      </c>
      <c r="CD86" s="365"/>
      <c r="CE86" s="467" t="s">
        <v>549</v>
      </c>
      <c r="CF86" s="364">
        <v>0</v>
      </c>
    </row>
    <row r="87" spans="1:84" ht="15.75">
      <c r="A87" s="579">
        <f t="shared" si="3"/>
        <v>24</v>
      </c>
      <c r="B87" s="575"/>
      <c r="C87" s="296" t="s">
        <v>187</v>
      </c>
      <c r="D87" s="575"/>
      <c r="E87" s="363">
        <v>0</v>
      </c>
      <c r="F87" s="241"/>
      <c r="G87" s="325">
        <f>CF$63</f>
        <v>0</v>
      </c>
      <c r="H87" s="241"/>
      <c r="I87" s="326">
        <f t="shared" si="1"/>
        <v>0</v>
      </c>
      <c r="J87" s="241"/>
      <c r="K87" s="326">
        <f t="shared" si="2"/>
        <v>0</v>
      </c>
      <c r="L87" s="241"/>
      <c r="M87" s="457"/>
      <c r="N87" s="328"/>
      <c r="O87" s="329"/>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row>
    <row r="88" spans="1:84" ht="16.5" thickBot="1">
      <c r="A88" s="579">
        <f t="shared" si="3"/>
        <v>25</v>
      </c>
      <c r="B88" s="7" t="s">
        <v>466</v>
      </c>
      <c r="C88" s="575"/>
      <c r="D88" s="575"/>
      <c r="E88" s="458">
        <f>AVERAGE(E64:E87)</f>
        <v>0</v>
      </c>
      <c r="F88" s="369"/>
      <c r="G88" s="458">
        <f>AVERAGE(G64:G87)</f>
        <v>0</v>
      </c>
      <c r="H88" s="369"/>
      <c r="I88" s="458">
        <f>AVERAGE(I64:I87)</f>
        <v>0</v>
      </c>
      <c r="J88" s="459"/>
      <c r="K88" s="458">
        <f>AVERAGE(K64:K87)</f>
        <v>0</v>
      </c>
      <c r="L88" s="241"/>
      <c r="M88" s="575"/>
      <c r="N88" s="328"/>
      <c r="O88" s="329"/>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row>
    <row r="89" spans="1:84" ht="16.5" thickTop="1">
      <c r="A89" s="575"/>
      <c r="B89" s="575"/>
      <c r="C89" s="575"/>
      <c r="D89" s="575"/>
      <c r="E89" s="575"/>
      <c r="F89" s="575"/>
      <c r="G89" s="575"/>
      <c r="H89" s="575"/>
      <c r="I89" s="575"/>
      <c r="J89" s="575"/>
      <c r="K89" s="575"/>
      <c r="L89" s="575"/>
      <c r="M89" s="575"/>
      <c r="N89" s="328"/>
      <c r="O89" s="329"/>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row>
    <row r="90" spans="1:84" ht="15.75">
      <c r="A90" s="575"/>
      <c r="B90" s="237" t="s">
        <v>474</v>
      </c>
      <c r="C90" s="575"/>
      <c r="D90" s="575"/>
      <c r="E90" s="575"/>
      <c r="F90" s="575"/>
      <c r="G90" s="575"/>
      <c r="H90" s="575"/>
      <c r="I90" s="575"/>
      <c r="J90" s="575"/>
      <c r="K90" s="575"/>
      <c r="L90" s="575"/>
      <c r="M90" s="575"/>
      <c r="N90" s="328"/>
      <c r="O90" s="329"/>
      <c r="P90" s="241"/>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row>
    <row r="91" spans="1:84" ht="15.75">
      <c r="A91" s="575"/>
      <c r="B91" s="635" t="s">
        <v>467</v>
      </c>
      <c r="C91" s="635"/>
      <c r="D91" s="635"/>
      <c r="E91" s="635"/>
      <c r="F91" s="635"/>
      <c r="G91" s="635"/>
      <c r="H91" s="635"/>
      <c r="I91" s="635"/>
      <c r="J91" s="635"/>
      <c r="K91" s="635"/>
      <c r="L91" s="635"/>
      <c r="M91" s="577"/>
      <c r="N91" s="328"/>
      <c r="O91" s="329"/>
      <c r="P91" s="241"/>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row>
    <row r="92" spans="1:84" ht="15.75">
      <c r="A92" s="575"/>
      <c r="B92" s="575"/>
      <c r="C92" s="327" t="s">
        <v>468</v>
      </c>
      <c r="D92" s="575"/>
      <c r="E92" s="575"/>
      <c r="F92" s="575"/>
      <c r="G92" s="575"/>
      <c r="H92" s="575"/>
      <c r="I92" s="575"/>
      <c r="J92" s="575"/>
      <c r="K92" s="575"/>
      <c r="L92" s="457"/>
      <c r="M92" s="457"/>
      <c r="N92" s="328"/>
      <c r="O92" s="329"/>
      <c r="P92" s="241"/>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row>
    <row r="93" spans="1:84" ht="15.75">
      <c r="A93" s="575"/>
      <c r="B93" s="635" t="s">
        <v>469</v>
      </c>
      <c r="C93" s="635"/>
      <c r="D93" s="635"/>
      <c r="E93" s="635"/>
      <c r="F93" s="635"/>
      <c r="G93" s="635"/>
      <c r="H93" s="635"/>
      <c r="I93" s="635"/>
      <c r="J93" s="635"/>
      <c r="K93" s="635"/>
      <c r="L93" s="635"/>
      <c r="M93" s="577"/>
      <c r="N93" s="328"/>
      <c r="O93" s="329"/>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row>
    <row r="94" spans="1:84" ht="15.75">
      <c r="A94" s="575"/>
      <c r="B94" s="575"/>
      <c r="C94" s="327" t="s">
        <v>470</v>
      </c>
      <c r="D94" s="575"/>
      <c r="E94" s="575"/>
      <c r="F94" s="575"/>
      <c r="G94" s="575"/>
      <c r="H94" s="575"/>
      <c r="I94" s="575"/>
      <c r="J94" s="575"/>
      <c r="K94" s="575"/>
      <c r="L94" s="457"/>
      <c r="M94" s="457"/>
      <c r="N94" s="328"/>
      <c r="O94" s="329"/>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row>
    <row r="95" spans="1:84" ht="15.75">
      <c r="A95" s="575"/>
      <c r="B95" s="237" t="s">
        <v>471</v>
      </c>
      <c r="C95" s="575"/>
      <c r="D95" s="575"/>
      <c r="E95" s="575"/>
      <c r="F95" s="575"/>
      <c r="G95" s="575"/>
      <c r="H95" s="575"/>
      <c r="I95" s="575"/>
      <c r="J95" s="575"/>
      <c r="K95" s="575"/>
      <c r="L95" s="457"/>
      <c r="M95" s="457"/>
      <c r="N95" s="328"/>
      <c r="O95" s="329"/>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row>
    <row r="96" spans="1:84" ht="15.75">
      <c r="A96" s="575"/>
      <c r="B96" s="237" t="s">
        <v>495</v>
      </c>
      <c r="C96" s="575"/>
      <c r="D96" s="575"/>
      <c r="E96" s="575"/>
      <c r="F96" s="575"/>
      <c r="G96" s="575"/>
      <c r="H96" s="575"/>
      <c r="I96" s="575"/>
      <c r="J96" s="575"/>
      <c r="K96" s="575"/>
      <c r="L96" s="457"/>
      <c r="M96" s="457"/>
      <c r="N96" s="328"/>
      <c r="O96" s="329"/>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row>
    <row r="97" spans="1:84" ht="15.75">
      <c r="A97" s="575"/>
      <c r="B97" s="237" t="s">
        <v>496</v>
      </c>
      <c r="C97" s="575"/>
      <c r="D97" s="575"/>
      <c r="E97" s="575"/>
      <c r="F97" s="575"/>
      <c r="G97" s="575"/>
      <c r="H97" s="575"/>
      <c r="I97" s="575"/>
      <c r="J97" s="575"/>
      <c r="K97" s="575"/>
      <c r="L97" s="457"/>
      <c r="M97" s="457"/>
      <c r="N97" s="328"/>
      <c r="O97" s="329"/>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row>
    <row r="98" spans="1:84">
      <c r="A98" s="241"/>
      <c r="B98" s="241"/>
      <c r="C98" s="241"/>
      <c r="D98" s="241"/>
      <c r="E98" s="241"/>
      <c r="F98" s="241"/>
      <c r="G98" s="241"/>
      <c r="H98" s="241"/>
      <c r="I98" s="241"/>
      <c r="J98" s="241"/>
      <c r="K98" s="241"/>
      <c r="L98" s="241"/>
      <c r="M98" s="241"/>
      <c r="N98" s="328"/>
      <c r="O98" s="329"/>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row>
    <row r="99" spans="1:84">
      <c r="A99" s="241"/>
      <c r="B99" s="241"/>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row>
    <row r="100" spans="1:84">
      <c r="A100" s="241"/>
      <c r="B100" s="241"/>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row>
    <row r="101" spans="1:84">
      <c r="A101" s="241"/>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row>
    <row r="102" spans="1:84">
      <c r="A102" s="241"/>
      <c r="B102" s="241"/>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row>
    <row r="103" spans="1:84">
      <c r="A103" s="241"/>
      <c r="B103" s="241"/>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row>
    <row r="104" spans="1:84">
      <c r="A104" s="241"/>
      <c r="B104" s="241"/>
      <c r="C104" s="241"/>
      <c r="D104" s="241"/>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row>
    <row r="105" spans="1:84">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row>
    <row r="106" spans="1:84">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row>
    <row r="107" spans="1:84">
      <c r="A107" s="241"/>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row>
    <row r="108" spans="1:84">
      <c r="A108" s="241"/>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row>
    <row r="109" spans="1:84">
      <c r="A109" s="241"/>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row>
    <row r="110" spans="1:84">
      <c r="A110" s="241"/>
      <c r="B110" s="241"/>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row>
    <row r="111" spans="1:84">
      <c r="A111" s="241"/>
      <c r="B111" s="241"/>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row>
    <row r="112" spans="1:84">
      <c r="A112" s="241"/>
      <c r="B112" s="241"/>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row>
    <row r="113" spans="1:84">
      <c r="A113" s="241"/>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row>
    <row r="114" spans="1:84">
      <c r="A114" s="241"/>
      <c r="B114" s="241"/>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row>
    <row r="115" spans="1:84">
      <c r="A115" s="241"/>
      <c r="B115" s="241"/>
      <c r="C115" s="241"/>
      <c r="D115" s="241"/>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row>
    <row r="116" spans="1:84">
      <c r="A116" s="241"/>
      <c r="B116" s="241"/>
      <c r="C116" s="241"/>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row>
    <row r="117" spans="1:84">
      <c r="A117" s="241"/>
      <c r="B117" s="241"/>
      <c r="C117" s="241"/>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row>
    <row r="118" spans="1:84">
      <c r="A118" s="241"/>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row>
    <row r="119" spans="1:84">
      <c r="A119" s="241"/>
      <c r="B119" s="241"/>
      <c r="C119" s="241"/>
      <c r="D119" s="241"/>
      <c r="E119" s="241"/>
      <c r="F119" s="241"/>
      <c r="G119" s="241"/>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row>
    <row r="120" spans="1:84">
      <c r="A120" s="241"/>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row>
    <row r="121" spans="1:84">
      <c r="A121" s="241"/>
      <c r="B121" s="241"/>
      <c r="C121" s="241"/>
      <c r="D121" s="241"/>
      <c r="E121" s="241"/>
      <c r="F121" s="241"/>
      <c r="G121" s="241"/>
      <c r="H121" s="241"/>
      <c r="I121" s="241"/>
      <c r="J121" s="241"/>
      <c r="K121" s="241"/>
      <c r="L121" s="241"/>
      <c r="M121" s="241"/>
      <c r="N121" s="241"/>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row>
    <row r="122" spans="1:84">
      <c r="A122" s="241"/>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row>
    <row r="123" spans="1:84">
      <c r="A123" s="241"/>
      <c r="B123" s="241"/>
      <c r="C123" s="241"/>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row>
    <row r="124" spans="1:84">
      <c r="A124" s="241"/>
      <c r="B124" s="241"/>
      <c r="C124" s="241"/>
      <c r="D124" s="241"/>
      <c r="E124" s="241"/>
      <c r="F124" s="241"/>
      <c r="G124" s="241"/>
      <c r="H124" s="241"/>
      <c r="I124" s="241"/>
      <c r="J124" s="241"/>
      <c r="K124" s="241"/>
      <c r="L124" s="241"/>
      <c r="M124" s="241"/>
      <c r="N124" s="24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row>
    <row r="125" spans="1:84">
      <c r="A125" s="241"/>
      <c r="B125" s="241"/>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row>
    <row r="126" spans="1:84">
      <c r="A126" s="241"/>
      <c r="B126" s="241"/>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row>
    <row r="127" spans="1:84">
      <c r="A127" s="241"/>
      <c r="B127" s="241"/>
      <c r="C127" s="241"/>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row>
    <row r="128" spans="1:84">
      <c r="A128" s="241"/>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row>
    <row r="129" spans="1:84">
      <c r="A129" s="241"/>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row>
    <row r="130" spans="1:84">
      <c r="A130" s="241"/>
      <c r="B130" s="241"/>
      <c r="C130" s="241"/>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row>
    <row r="131" spans="1:84">
      <c r="A131" s="241"/>
      <c r="B131" s="241"/>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row>
    <row r="132" spans="1:84">
      <c r="A132" s="241"/>
      <c r="B132" s="241"/>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row>
    <row r="133" spans="1:84">
      <c r="A133" s="241"/>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row>
    <row r="134" spans="1:84">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row>
    <row r="135" spans="1:84">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row>
    <row r="136" spans="1:84">
      <c r="A136" s="241"/>
      <c r="B136" s="241"/>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row>
    <row r="137" spans="1:84">
      <c r="A137" s="241"/>
      <c r="B137" s="241"/>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row>
    <row r="138" spans="1:84">
      <c r="A138" s="241"/>
      <c r="B138" s="241"/>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row>
    <row r="139" spans="1:84">
      <c r="A139" s="241"/>
      <c r="B139" s="241"/>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row>
    <row r="140" spans="1:84">
      <c r="A140" s="241"/>
      <c r="B140" s="241"/>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row>
    <row r="141" spans="1:84">
      <c r="A141" s="241"/>
      <c r="B141" s="241"/>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row>
    <row r="142" spans="1:84">
      <c r="A142" s="241"/>
      <c r="B142" s="241"/>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row>
    <row r="143" spans="1:84">
      <c r="A143" s="241"/>
      <c r="B143" s="241"/>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row>
    <row r="144" spans="1:84">
      <c r="A144" s="241"/>
      <c r="B144" s="241"/>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row>
    <row r="145" spans="1:84">
      <c r="A145" s="241"/>
      <c r="B145" s="241"/>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row>
    <row r="146" spans="1:84">
      <c r="A146" s="241"/>
      <c r="B146" s="241"/>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row>
    <row r="147" spans="1:84">
      <c r="A147" s="241"/>
      <c r="B147" s="241"/>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row>
    <row r="148" spans="1:84">
      <c r="A148" s="241"/>
      <c r="B148" s="241"/>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row>
    <row r="149" spans="1:84">
      <c r="A149" s="241"/>
      <c r="B149" s="241"/>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row>
    <row r="150" spans="1:84">
      <c r="A150" s="241"/>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row>
    <row r="151" spans="1:84">
      <c r="A151" s="241"/>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row>
    <row r="152" spans="1:84">
      <c r="A152" s="241"/>
      <c r="B152" s="241"/>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row>
    <row r="153" spans="1:84">
      <c r="A153" s="241"/>
      <c r="B153" s="241"/>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row>
    <row r="154" spans="1:84">
      <c r="A154" s="241"/>
      <c r="B154" s="241"/>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row>
    <row r="155" spans="1:84">
      <c r="A155" s="241"/>
      <c r="B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row>
    <row r="156" spans="1:84">
      <c r="A156" s="241"/>
      <c r="B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row>
    <row r="157" spans="1:84">
      <c r="A157" s="241"/>
      <c r="B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row>
    <row r="158" spans="1:84">
      <c r="A158" s="241"/>
      <c r="B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row>
    <row r="159" spans="1:84">
      <c r="A159" s="241"/>
      <c r="B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row>
    <row r="160" spans="1:84">
      <c r="A160" s="241"/>
      <c r="B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row>
    <row r="161" spans="1:84">
      <c r="A161" s="241"/>
      <c r="B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row>
    <row r="162" spans="1:84">
      <c r="A162" s="241"/>
      <c r="B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row>
    <row r="163" spans="1:84">
      <c r="A163" s="241"/>
      <c r="B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row>
    <row r="164" spans="1:84">
      <c r="A164" s="241"/>
      <c r="B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row>
    <row r="165" spans="1:84">
      <c r="A165" s="241"/>
      <c r="B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row>
    <row r="166" spans="1:84">
      <c r="A166" s="241"/>
      <c r="B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row>
    <row r="167" spans="1:84">
      <c r="A167" s="241"/>
      <c r="B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row>
    <row r="168" spans="1:84">
      <c r="A168" s="241"/>
      <c r="B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row>
    <row r="169" spans="1:84">
      <c r="A169" s="241"/>
      <c r="B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row>
    <row r="170" spans="1:84">
      <c r="A170" s="241"/>
      <c r="B170" s="241"/>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row>
    <row r="171" spans="1:84">
      <c r="A171" s="241"/>
      <c r="B171" s="241"/>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row>
    <row r="172" spans="1:84">
      <c r="A172" s="241"/>
      <c r="B172" s="241"/>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row>
    <row r="173" spans="1:84">
      <c r="A173" s="241"/>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row>
    <row r="174" spans="1:84">
      <c r="A174" s="241"/>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row>
    <row r="175" spans="1:84">
      <c r="A175" s="241"/>
      <c r="B175" s="241"/>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row>
    <row r="176" spans="1:84">
      <c r="A176" s="241"/>
      <c r="B176" s="241"/>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row>
    <row r="177" spans="1:84">
      <c r="A177" s="241"/>
      <c r="B177" s="241"/>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row>
    <row r="178" spans="1:84">
      <c r="A178" s="241"/>
      <c r="B178" s="241"/>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row>
    <row r="179" spans="1:84">
      <c r="A179" s="241"/>
      <c r="B179" s="241"/>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row>
    <row r="180" spans="1:84">
      <c r="A180" s="241"/>
      <c r="B180" s="241"/>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row>
    <row r="181" spans="1:84">
      <c r="A181" s="241"/>
      <c r="B181" s="241"/>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row>
    <row r="182" spans="1:84">
      <c r="A182" s="241"/>
      <c r="B182" s="241"/>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row>
    <row r="183" spans="1:84">
      <c r="A183" s="241"/>
      <c r="B183" s="241"/>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row>
    <row r="184" spans="1:84">
      <c r="A184" s="241"/>
      <c r="B184" s="241"/>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row>
    <row r="185" spans="1:84">
      <c r="A185" s="241"/>
      <c r="B185" s="241"/>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row>
    <row r="186" spans="1:84">
      <c r="A186" s="241"/>
      <c r="B186" s="241"/>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row>
    <row r="187" spans="1:84">
      <c r="A187" s="241"/>
      <c r="B187" s="241"/>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row>
  </sheetData>
  <mergeCells count="33">
    <mergeCell ref="C23:I23"/>
    <mergeCell ref="C24:I24"/>
    <mergeCell ref="C27:H27"/>
    <mergeCell ref="C28:H28"/>
    <mergeCell ref="C29:H29"/>
    <mergeCell ref="A55:L55"/>
    <mergeCell ref="A56:L56"/>
    <mergeCell ref="A57:L57"/>
    <mergeCell ref="A59:L59"/>
    <mergeCell ref="B93:L93"/>
    <mergeCell ref="B91:L91"/>
    <mergeCell ref="C19:H19"/>
    <mergeCell ref="C20:H20"/>
    <mergeCell ref="A4:L4"/>
    <mergeCell ref="A5:L5"/>
    <mergeCell ref="A6:L6"/>
    <mergeCell ref="A8:L8"/>
    <mergeCell ref="C18:H18"/>
    <mergeCell ref="C12:H12"/>
    <mergeCell ref="C13:H13"/>
    <mergeCell ref="C14:H14"/>
    <mergeCell ref="C16:H16"/>
    <mergeCell ref="C17:H17"/>
    <mergeCell ref="C11:J11"/>
    <mergeCell ref="B43:L43"/>
    <mergeCell ref="B44:L44"/>
    <mergeCell ref="B45:L45"/>
    <mergeCell ref="B46:L46"/>
    <mergeCell ref="C25:H25"/>
    <mergeCell ref="B37:J37"/>
    <mergeCell ref="C31:I31"/>
    <mergeCell ref="C32:I32"/>
    <mergeCell ref="C33:H33"/>
  </mergeCells>
  <hyperlinks>
    <hyperlink ref="C92" r:id="rId1"/>
    <hyperlink ref="B44" display="      http://www.ferc.gov/legal/acct-matts/interest-rates.asp for the appropriate Months.  For under-collections, the applicable interest rate shall "/>
    <hyperlink ref="C94" r:id="rId2"/>
  </hyperlinks>
  <pageMargins left="0.7" right="0.7" top="0.75" bottom="0.75" header="0.3" footer="0.3"/>
  <pageSetup scale="16" orientation="landscape" r:id="rId3"/>
  <rowBreaks count="1" manualBreakCount="1">
    <brk id="5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topLeftCell="A14" zoomScaleNormal="100" workbookViewId="0">
      <selection activeCell="R30" sqref="R30"/>
    </sheetView>
  </sheetViews>
  <sheetFormatPr defaultRowHeight="15"/>
  <cols>
    <col min="1" max="1" width="8.88671875" style="217"/>
    <col min="2" max="2" width="10.6640625" style="217" bestFit="1" customWidth="1"/>
    <col min="3" max="3" width="13.21875" style="217" customWidth="1"/>
    <col min="4" max="4" width="1.88671875" style="217" customWidth="1"/>
    <col min="5" max="5" width="11" style="217" bestFit="1" customWidth="1"/>
    <col min="6" max="6" width="9.77734375" style="217" customWidth="1"/>
    <col min="7" max="7" width="8.77734375" style="217" customWidth="1"/>
    <col min="8" max="8" width="11" style="217" bestFit="1" customWidth="1"/>
    <col min="9" max="9" width="1.88671875" style="217" customWidth="1"/>
    <col min="10" max="10" width="10.33203125" style="217" customWidth="1"/>
    <col min="11" max="11" width="10.109375" style="217" customWidth="1"/>
    <col min="12" max="12" width="9.21875" style="217" customWidth="1"/>
    <col min="13" max="13" width="10.33203125" style="217" customWidth="1"/>
    <col min="14" max="14" width="1.88671875" style="217" customWidth="1"/>
    <col min="15" max="15" width="10.6640625" style="217" customWidth="1"/>
    <col min="16" max="16" width="13.21875" style="217" customWidth="1"/>
    <col min="17" max="17" width="1.88671875" style="217" customWidth="1"/>
    <col min="18" max="18" width="8.77734375" style="512" bestFit="1" customWidth="1"/>
    <col min="19" max="19" width="9.88671875" style="512" customWidth="1"/>
    <col min="20" max="16384" width="8.88671875" style="217"/>
  </cols>
  <sheetData>
    <row r="1" spans="1:16" s="217" customFormat="1" ht="21">
      <c r="A1" s="637" t="s">
        <v>608</v>
      </c>
      <c r="B1" s="637"/>
      <c r="C1" s="637"/>
      <c r="D1" s="637"/>
      <c r="E1" s="637"/>
      <c r="F1" s="637"/>
      <c r="G1" s="637"/>
      <c r="H1" s="637"/>
      <c r="I1" s="637"/>
      <c r="J1" s="637"/>
      <c r="K1" s="637"/>
      <c r="L1" s="637"/>
      <c r="M1" s="637"/>
      <c r="N1" s="637"/>
      <c r="O1" s="637"/>
      <c r="P1" s="637"/>
    </row>
    <row r="2" spans="1:16" s="217" customFormat="1" ht="5.45" customHeight="1"/>
    <row r="3" spans="1:16" s="217" customFormat="1" ht="15.75">
      <c r="A3" s="601" t="s">
        <v>609</v>
      </c>
    </row>
    <row r="4" spans="1:16" s="217" customFormat="1" ht="31.15" customHeight="1">
      <c r="A4" s="636" t="s">
        <v>610</v>
      </c>
      <c r="B4" s="636"/>
      <c r="C4" s="636"/>
      <c r="D4" s="636"/>
      <c r="E4" s="636"/>
      <c r="F4" s="636"/>
      <c r="G4" s="636"/>
      <c r="H4" s="636"/>
      <c r="I4" s="636"/>
      <c r="J4" s="636"/>
      <c r="K4" s="636"/>
      <c r="L4" s="636"/>
    </row>
    <row r="5" spans="1:16" s="217" customFormat="1" ht="7.9" customHeight="1">
      <c r="A5" s="602"/>
      <c r="B5" s="582"/>
      <c r="C5" s="582"/>
      <c r="D5" s="582"/>
      <c r="E5" s="582"/>
      <c r="F5" s="582"/>
      <c r="G5" s="582"/>
      <c r="H5" s="582"/>
      <c r="I5" s="582"/>
      <c r="J5" s="582"/>
      <c r="K5" s="582"/>
      <c r="L5" s="582"/>
    </row>
    <row r="6" spans="1:16" s="217" customFormat="1" ht="46.9" customHeight="1">
      <c r="A6" s="638" t="s">
        <v>611</v>
      </c>
      <c r="B6" s="638"/>
      <c r="C6" s="638"/>
      <c r="D6" s="638"/>
      <c r="E6" s="638"/>
      <c r="F6" s="638"/>
      <c r="G6" s="638"/>
      <c r="H6" s="638"/>
      <c r="I6" s="638"/>
      <c r="J6" s="638"/>
      <c r="K6" s="638"/>
      <c r="L6" s="638"/>
    </row>
    <row r="7" spans="1:16" s="217" customFormat="1" ht="14.45" customHeight="1">
      <c r="A7" s="603"/>
    </row>
    <row r="8" spans="1:16" s="217" customFormat="1" ht="15.75">
      <c r="A8" s="603" t="s">
        <v>612</v>
      </c>
    </row>
    <row r="9" spans="1:16" s="217" customFormat="1" ht="15" customHeight="1">
      <c r="A9" s="604" t="s">
        <v>613</v>
      </c>
      <c r="B9" s="582"/>
      <c r="C9" s="582"/>
      <c r="D9" s="582"/>
      <c r="E9" s="582"/>
      <c r="F9" s="582"/>
      <c r="G9" s="582"/>
      <c r="H9" s="582"/>
      <c r="I9" s="582"/>
      <c r="J9" s="582"/>
      <c r="K9" s="582"/>
      <c r="L9" s="582"/>
    </row>
    <row r="10" spans="1:16" s="217" customFormat="1" ht="15" customHeight="1">
      <c r="A10" s="639" t="s">
        <v>614</v>
      </c>
      <c r="B10" s="639"/>
      <c r="C10" s="639"/>
      <c r="D10" s="639"/>
      <c r="E10" s="639"/>
      <c r="F10" s="639"/>
      <c r="G10" s="639"/>
      <c r="H10" s="639"/>
      <c r="I10" s="639"/>
      <c r="J10" s="639"/>
      <c r="K10" s="639"/>
      <c r="L10" s="639"/>
    </row>
    <row r="11" spans="1:16" s="217" customFormat="1" ht="15" customHeight="1">
      <c r="A11" s="639" t="s">
        <v>615</v>
      </c>
      <c r="B11" s="639"/>
      <c r="C11" s="639"/>
      <c r="D11" s="639"/>
      <c r="E11" s="639"/>
      <c r="F11" s="639"/>
      <c r="G11" s="639"/>
      <c r="H11" s="639"/>
      <c r="I11" s="639"/>
      <c r="J11" s="639"/>
      <c r="K11" s="639"/>
      <c r="L11" s="605"/>
    </row>
    <row r="12" spans="1:16" s="217" customFormat="1" ht="15" customHeight="1">
      <c r="A12" s="606" t="s">
        <v>616</v>
      </c>
      <c r="B12" s="582"/>
      <c r="C12" s="582"/>
      <c r="D12" s="582"/>
      <c r="E12" s="582"/>
      <c r="F12" s="582"/>
      <c r="G12" s="582"/>
      <c r="H12" s="582"/>
      <c r="I12" s="582"/>
      <c r="J12" s="582"/>
      <c r="K12" s="582"/>
      <c r="L12" s="582"/>
    </row>
    <row r="13" spans="1:16" s="217" customFormat="1" ht="15" customHeight="1">
      <c r="A13" s="636" t="s">
        <v>617</v>
      </c>
      <c r="B13" s="636"/>
      <c r="C13" s="636"/>
      <c r="D13" s="636"/>
      <c r="E13" s="636"/>
      <c r="F13" s="636"/>
      <c r="G13" s="636"/>
      <c r="H13" s="636"/>
      <c r="I13" s="636"/>
      <c r="J13" s="636"/>
      <c r="K13" s="636"/>
      <c r="L13" s="582"/>
    </row>
    <row r="14" spans="1:16" s="217" customFormat="1" ht="28.15" customHeight="1">
      <c r="A14" s="636" t="s">
        <v>618</v>
      </c>
      <c r="B14" s="636"/>
      <c r="C14" s="636"/>
      <c r="D14" s="636"/>
      <c r="E14" s="636"/>
      <c r="F14" s="636"/>
      <c r="G14" s="636"/>
      <c r="H14" s="636"/>
      <c r="I14" s="636"/>
      <c r="J14" s="636"/>
      <c r="K14" s="636"/>
      <c r="L14" s="636"/>
    </row>
    <row r="15" spans="1:16" s="217" customFormat="1" ht="15" customHeight="1">
      <c r="A15" s="636" t="s">
        <v>619</v>
      </c>
      <c r="B15" s="636"/>
      <c r="C15" s="636"/>
      <c r="D15" s="636"/>
      <c r="E15" s="636"/>
      <c r="F15" s="636"/>
      <c r="G15" s="636"/>
      <c r="H15" s="636"/>
      <c r="I15" s="636"/>
      <c r="J15" s="636"/>
      <c r="K15" s="636"/>
      <c r="L15" s="582"/>
    </row>
    <row r="16" spans="1:16" s="217" customFormat="1" ht="15" customHeight="1">
      <c r="A16" s="636" t="s">
        <v>620</v>
      </c>
      <c r="B16" s="636"/>
      <c r="C16" s="636"/>
      <c r="D16" s="636"/>
      <c r="E16" s="636"/>
      <c r="F16" s="636"/>
      <c r="G16" s="636"/>
      <c r="H16" s="636"/>
      <c r="I16" s="636"/>
      <c r="J16" s="636"/>
      <c r="K16" s="636"/>
      <c r="L16" s="582"/>
    </row>
    <row r="17" spans="1:23" ht="15" customHeight="1">
      <c r="A17" s="636" t="s">
        <v>621</v>
      </c>
      <c r="B17" s="636"/>
      <c r="C17" s="636"/>
      <c r="D17" s="636"/>
      <c r="E17" s="636"/>
      <c r="F17" s="636"/>
      <c r="G17" s="636"/>
      <c r="H17" s="636"/>
      <c r="I17" s="636"/>
      <c r="J17" s="636"/>
      <c r="K17" s="636"/>
      <c r="L17" s="582"/>
    </row>
    <row r="18" spans="1:23" ht="15" customHeight="1">
      <c r="A18" s="636" t="s">
        <v>622</v>
      </c>
      <c r="B18" s="636"/>
      <c r="C18" s="636"/>
      <c r="D18" s="636"/>
      <c r="E18" s="636"/>
      <c r="F18" s="636"/>
      <c r="G18" s="636"/>
      <c r="H18" s="636"/>
      <c r="I18" s="636"/>
      <c r="J18" s="636"/>
      <c r="K18" s="636"/>
      <c r="L18" s="582"/>
      <c r="M18" s="607"/>
    </row>
    <row r="19" spans="1:23" ht="15" customHeight="1">
      <c r="A19" s="636" t="s">
        <v>623</v>
      </c>
      <c r="B19" s="636"/>
      <c r="C19" s="636"/>
      <c r="D19" s="636"/>
      <c r="E19" s="636"/>
      <c r="F19" s="636"/>
      <c r="G19" s="636"/>
      <c r="H19" s="636"/>
      <c r="I19" s="636"/>
      <c r="J19" s="636"/>
      <c r="K19" s="636"/>
      <c r="L19" s="582"/>
    </row>
    <row r="20" spans="1:23" ht="15" customHeight="1">
      <c r="A20" s="636" t="s">
        <v>624</v>
      </c>
      <c r="B20" s="636"/>
      <c r="C20" s="636"/>
      <c r="D20" s="636"/>
      <c r="E20" s="636"/>
      <c r="F20" s="636"/>
      <c r="G20" s="636"/>
      <c r="H20" s="636"/>
      <c r="I20" s="636"/>
      <c r="J20" s="636"/>
      <c r="K20" s="636"/>
      <c r="L20" s="582"/>
    </row>
    <row r="21" spans="1:23" ht="28.9" customHeight="1">
      <c r="A21" s="636" t="s">
        <v>625</v>
      </c>
      <c r="B21" s="636"/>
      <c r="C21" s="636"/>
      <c r="D21" s="636"/>
      <c r="E21" s="636"/>
      <c r="F21" s="636"/>
      <c r="G21" s="636"/>
      <c r="H21" s="636"/>
      <c r="I21" s="636"/>
      <c r="J21" s="636"/>
      <c r="K21" s="636"/>
      <c r="L21" s="582"/>
    </row>
    <row r="22" spans="1:23">
      <c r="A22" s="608"/>
      <c r="B22" s="608"/>
      <c r="C22" s="608"/>
      <c r="D22" s="608"/>
      <c r="E22" s="608"/>
      <c r="F22" s="608"/>
      <c r="G22" s="608"/>
      <c r="H22" s="608"/>
      <c r="I22" s="608"/>
      <c r="J22" s="608"/>
    </row>
    <row r="23" spans="1:23" ht="15.75">
      <c r="B23" s="609"/>
      <c r="E23" s="640" t="s">
        <v>626</v>
      </c>
      <c r="F23" s="640"/>
      <c r="G23" s="640"/>
      <c r="H23" s="640"/>
      <c r="I23" s="609"/>
      <c r="J23" s="640" t="s">
        <v>627</v>
      </c>
      <c r="K23" s="640"/>
      <c r="L23" s="640"/>
      <c r="M23" s="640"/>
    </row>
    <row r="24" spans="1:23" ht="90">
      <c r="A24" s="610" t="s">
        <v>628</v>
      </c>
      <c r="B24" s="610" t="s">
        <v>629</v>
      </c>
      <c r="C24" s="610" t="s">
        <v>630</v>
      </c>
      <c r="D24" s="610"/>
      <c r="E24" s="610" t="s">
        <v>631</v>
      </c>
      <c r="F24" s="610" t="s">
        <v>632</v>
      </c>
      <c r="G24" s="610" t="s">
        <v>633</v>
      </c>
      <c r="H24" s="610" t="s">
        <v>634</v>
      </c>
      <c r="I24" s="610"/>
      <c r="J24" s="610" t="s">
        <v>635</v>
      </c>
      <c r="K24" s="610" t="s">
        <v>636</v>
      </c>
      <c r="L24" s="610" t="s">
        <v>637</v>
      </c>
      <c r="M24" s="610" t="s">
        <v>638</v>
      </c>
      <c r="N24" s="611"/>
      <c r="O24" s="611" t="s">
        <v>639</v>
      </c>
      <c r="P24" s="610" t="s">
        <v>640</v>
      </c>
      <c r="Q24" s="582"/>
      <c r="R24" s="610" t="s">
        <v>641</v>
      </c>
      <c r="S24" s="610" t="s">
        <v>642</v>
      </c>
    </row>
    <row r="25" spans="1:23" ht="15.75">
      <c r="A25" s="611" t="s">
        <v>643</v>
      </c>
      <c r="B25" s="611" t="s">
        <v>644</v>
      </c>
      <c r="C25" s="612" t="s">
        <v>645</v>
      </c>
      <c r="D25" s="611"/>
      <c r="E25" s="612" t="s">
        <v>646</v>
      </c>
      <c r="F25" s="612" t="s">
        <v>647</v>
      </c>
      <c r="G25" s="612" t="s">
        <v>648</v>
      </c>
      <c r="H25" s="613" t="s">
        <v>649</v>
      </c>
      <c r="I25" s="611"/>
      <c r="J25" s="612" t="s">
        <v>650</v>
      </c>
      <c r="K25" s="612" t="s">
        <v>651</v>
      </c>
      <c r="L25" s="612" t="s">
        <v>652</v>
      </c>
      <c r="M25" s="613" t="s">
        <v>653</v>
      </c>
      <c r="N25" s="611"/>
      <c r="O25" s="612" t="s">
        <v>654</v>
      </c>
      <c r="P25" s="613" t="s">
        <v>655</v>
      </c>
      <c r="R25" s="612" t="s">
        <v>656</v>
      </c>
      <c r="S25" s="612" t="s">
        <v>657</v>
      </c>
    </row>
    <row r="26" spans="1:23">
      <c r="B26" s="609"/>
    </row>
    <row r="27" spans="1:23">
      <c r="A27" s="620" t="s">
        <v>658</v>
      </c>
      <c r="B27" s="620" t="s">
        <v>659</v>
      </c>
      <c r="C27" s="621">
        <v>41658829</v>
      </c>
      <c r="D27" s="607"/>
      <c r="E27" s="621">
        <v>24377166</v>
      </c>
      <c r="F27" s="621">
        <v>0</v>
      </c>
      <c r="G27" s="621">
        <v>0</v>
      </c>
      <c r="H27" s="607">
        <f t="shared" ref="H27:H32" si="0">SUM(E27:G27)</f>
        <v>24377166</v>
      </c>
      <c r="I27" s="607"/>
      <c r="J27" s="621">
        <v>0</v>
      </c>
      <c r="K27" s="621">
        <v>0</v>
      </c>
      <c r="L27" s="621">
        <v>0</v>
      </c>
      <c r="M27" s="607">
        <f t="shared" ref="M27:M32" si="1">SUM(J27:L27)</f>
        <v>0</v>
      </c>
      <c r="N27" s="607"/>
      <c r="O27" s="621"/>
      <c r="P27" s="607">
        <f t="shared" ref="P27:P32" si="2">C27-H27-M27-O27</f>
        <v>17281663</v>
      </c>
      <c r="Q27" s="607"/>
      <c r="R27" s="621">
        <v>0</v>
      </c>
      <c r="S27" s="607">
        <f>ROUND((P27/$P$33)*$S$33,0)</f>
        <v>2326345</v>
      </c>
      <c r="T27" s="614"/>
    </row>
    <row r="28" spans="1:23">
      <c r="A28" s="620" t="s">
        <v>658</v>
      </c>
      <c r="B28" s="620" t="s">
        <v>660</v>
      </c>
      <c r="C28" s="621">
        <v>27333842</v>
      </c>
      <c r="D28" s="607"/>
      <c r="E28" s="621">
        <v>0</v>
      </c>
      <c r="F28" s="621">
        <v>0</v>
      </c>
      <c r="G28" s="621">
        <v>0</v>
      </c>
      <c r="H28" s="607">
        <f t="shared" si="0"/>
        <v>0</v>
      </c>
      <c r="I28" s="607"/>
      <c r="J28" s="621">
        <v>0</v>
      </c>
      <c r="K28" s="621">
        <v>0</v>
      </c>
      <c r="L28" s="621">
        <v>0</v>
      </c>
      <c r="M28" s="607">
        <f t="shared" si="1"/>
        <v>0</v>
      </c>
      <c r="N28" s="607"/>
      <c r="O28" s="621"/>
      <c r="P28" s="607">
        <f t="shared" si="2"/>
        <v>27333842</v>
      </c>
      <c r="Q28" s="607"/>
      <c r="R28" s="621">
        <v>210417</v>
      </c>
      <c r="S28" s="607">
        <f>ROUND((P28/$P$33)*$S$33,0)</f>
        <v>3679505</v>
      </c>
      <c r="T28" s="615"/>
      <c r="U28" s="512"/>
      <c r="V28" s="512"/>
      <c r="W28" s="512"/>
    </row>
    <row r="29" spans="1:23">
      <c r="A29" s="620"/>
      <c r="B29" s="620"/>
      <c r="C29" s="621"/>
      <c r="D29" s="607"/>
      <c r="E29" s="621"/>
      <c r="F29" s="621"/>
      <c r="G29" s="621"/>
      <c r="H29" s="607">
        <f t="shared" si="0"/>
        <v>0</v>
      </c>
      <c r="I29" s="607"/>
      <c r="J29" s="621"/>
      <c r="K29" s="621"/>
      <c r="L29" s="621"/>
      <c r="M29" s="607">
        <f t="shared" si="1"/>
        <v>0</v>
      </c>
      <c r="N29" s="607"/>
      <c r="O29" s="621"/>
      <c r="P29" s="607">
        <f t="shared" si="2"/>
        <v>0</v>
      </c>
      <c r="Q29" s="607"/>
      <c r="R29" s="621"/>
      <c r="S29" s="607">
        <f t="shared" ref="S29:S32" si="3">ROUND((P29/$P$33)*$S$33,0)</f>
        <v>0</v>
      </c>
      <c r="T29" s="512"/>
      <c r="U29" s="512"/>
      <c r="V29" s="512"/>
      <c r="W29" s="512"/>
    </row>
    <row r="30" spans="1:23">
      <c r="A30" s="620"/>
      <c r="B30" s="620"/>
      <c r="C30" s="621"/>
      <c r="D30" s="607"/>
      <c r="E30" s="621"/>
      <c r="F30" s="621"/>
      <c r="G30" s="621"/>
      <c r="H30" s="607">
        <f t="shared" si="0"/>
        <v>0</v>
      </c>
      <c r="I30" s="607"/>
      <c r="J30" s="621"/>
      <c r="K30" s="621"/>
      <c r="L30" s="621"/>
      <c r="M30" s="607">
        <f t="shared" si="1"/>
        <v>0</v>
      </c>
      <c r="N30" s="607"/>
      <c r="O30" s="621"/>
      <c r="P30" s="607">
        <f t="shared" si="2"/>
        <v>0</v>
      </c>
      <c r="Q30" s="607"/>
      <c r="R30" s="621"/>
      <c r="S30" s="607">
        <f t="shared" si="3"/>
        <v>0</v>
      </c>
      <c r="T30" s="512"/>
      <c r="U30" s="512"/>
      <c r="V30" s="512"/>
      <c r="W30" s="512"/>
    </row>
    <row r="31" spans="1:23">
      <c r="A31" s="620"/>
      <c r="B31" s="620"/>
      <c r="C31" s="621"/>
      <c r="D31" s="607"/>
      <c r="E31" s="621"/>
      <c r="F31" s="621"/>
      <c r="G31" s="621"/>
      <c r="H31" s="607">
        <f t="shared" si="0"/>
        <v>0</v>
      </c>
      <c r="I31" s="607"/>
      <c r="J31" s="621"/>
      <c r="K31" s="621"/>
      <c r="L31" s="621"/>
      <c r="M31" s="607">
        <f t="shared" si="1"/>
        <v>0</v>
      </c>
      <c r="N31" s="607"/>
      <c r="O31" s="621"/>
      <c r="P31" s="607">
        <f t="shared" si="2"/>
        <v>0</v>
      </c>
      <c r="Q31" s="607"/>
      <c r="R31" s="621"/>
      <c r="S31" s="607">
        <f t="shared" si="3"/>
        <v>0</v>
      </c>
      <c r="T31" s="512"/>
      <c r="U31" s="512"/>
      <c r="V31" s="512"/>
      <c r="W31" s="512"/>
    </row>
    <row r="32" spans="1:23">
      <c r="A32" s="620"/>
      <c r="B32" s="620"/>
      <c r="C32" s="622"/>
      <c r="D32" s="616"/>
      <c r="E32" s="622"/>
      <c r="F32" s="622"/>
      <c r="G32" s="622"/>
      <c r="H32" s="617">
        <f t="shared" si="0"/>
        <v>0</v>
      </c>
      <c r="I32" s="607"/>
      <c r="J32" s="622"/>
      <c r="K32" s="622"/>
      <c r="L32" s="622"/>
      <c r="M32" s="617">
        <f t="shared" si="1"/>
        <v>0</v>
      </c>
      <c r="N32" s="607"/>
      <c r="O32" s="622"/>
      <c r="P32" s="617">
        <f t="shared" si="2"/>
        <v>0</v>
      </c>
      <c r="Q32" s="607"/>
      <c r="R32" s="622"/>
      <c r="S32" s="617">
        <f t="shared" si="3"/>
        <v>0</v>
      </c>
      <c r="T32" s="512"/>
      <c r="U32" s="512"/>
      <c r="V32" s="512"/>
      <c r="W32" s="512"/>
    </row>
    <row r="33" spans="1:23">
      <c r="A33" s="609"/>
      <c r="B33" s="609"/>
      <c r="C33" s="607">
        <f>SUM(C27:C32)</f>
        <v>68992671</v>
      </c>
      <c r="D33" s="607"/>
      <c r="E33" s="607">
        <f>SUM(E27:E32)</f>
        <v>24377166</v>
      </c>
      <c r="F33" s="607">
        <f>SUM(F27:F32)</f>
        <v>0</v>
      </c>
      <c r="G33" s="607">
        <f>SUM(G27:G32)</f>
        <v>0</v>
      </c>
      <c r="H33" s="607">
        <f>SUM(H27:H32)</f>
        <v>24377166</v>
      </c>
      <c r="I33" s="607"/>
      <c r="J33" s="607">
        <f>SUM(J27:J32)</f>
        <v>0</v>
      </c>
      <c r="K33" s="607">
        <f>SUM(K27:K32)</f>
        <v>0</v>
      </c>
      <c r="L33" s="607">
        <f>SUM(L27:L32)</f>
        <v>0</v>
      </c>
      <c r="M33" s="607">
        <f>SUM(M27:M32)</f>
        <v>0</v>
      </c>
      <c r="N33" s="607"/>
      <c r="O33" s="607">
        <f>SUM(O27:O32)</f>
        <v>0</v>
      </c>
      <c r="P33" s="607">
        <f>SUM(P27:P32)</f>
        <v>44615505</v>
      </c>
      <c r="Q33" s="607"/>
      <c r="R33" s="607">
        <f>SUM(R27:R32)</f>
        <v>210417</v>
      </c>
      <c r="S33" s="621">
        <v>6005850</v>
      </c>
      <c r="T33" s="512"/>
      <c r="U33" s="512"/>
      <c r="V33" s="512"/>
      <c r="W33" s="512"/>
    </row>
    <row r="34" spans="1:23">
      <c r="A34" s="609"/>
      <c r="B34" s="609"/>
      <c r="C34" s="607"/>
      <c r="D34" s="607"/>
      <c r="E34" s="607"/>
      <c r="F34" s="607"/>
      <c r="G34" s="607"/>
      <c r="H34" s="607"/>
      <c r="I34" s="607"/>
      <c r="J34" s="607"/>
      <c r="K34" s="607"/>
      <c r="L34" s="607"/>
      <c r="M34" s="607"/>
      <c r="N34" s="607"/>
      <c r="O34" s="607"/>
      <c r="P34" s="607"/>
      <c r="Q34" s="607"/>
      <c r="R34" s="607"/>
      <c r="S34" s="618"/>
      <c r="T34" s="512"/>
      <c r="U34" s="512"/>
      <c r="V34" s="512"/>
      <c r="W34" s="512"/>
    </row>
    <row r="35" spans="1:23">
      <c r="A35" s="512"/>
      <c r="B35" s="512"/>
      <c r="C35" s="512"/>
      <c r="D35" s="512"/>
      <c r="E35" s="512"/>
      <c r="F35" s="512"/>
      <c r="G35" s="512"/>
      <c r="H35" s="512"/>
      <c r="I35" s="512"/>
      <c r="J35" s="512"/>
      <c r="K35" s="512"/>
      <c r="L35" s="512"/>
      <c r="M35" s="512"/>
      <c r="N35" s="512"/>
      <c r="O35" s="512"/>
      <c r="P35" s="512"/>
      <c r="Q35" s="512"/>
      <c r="T35" s="512"/>
      <c r="U35" s="512"/>
      <c r="V35" s="512"/>
      <c r="W35" s="512"/>
    </row>
    <row r="36" spans="1:23" ht="17.25">
      <c r="A36" s="217" t="s">
        <v>661</v>
      </c>
      <c r="B36" s="512"/>
      <c r="C36" s="512"/>
      <c r="D36" s="512"/>
      <c r="E36" s="512"/>
      <c r="F36" s="512"/>
      <c r="G36" s="512"/>
      <c r="H36" s="512"/>
      <c r="I36" s="512"/>
      <c r="J36" s="512"/>
      <c r="K36" s="512"/>
      <c r="L36" s="512"/>
      <c r="M36" s="512"/>
      <c r="N36" s="512"/>
      <c r="O36" s="512"/>
      <c r="P36" s="512"/>
      <c r="Q36" s="512"/>
      <c r="T36" s="512"/>
      <c r="U36" s="512"/>
      <c r="V36" s="512"/>
      <c r="W36" s="512"/>
    </row>
    <row r="37" spans="1:23" ht="15.75">
      <c r="A37" s="217" t="s">
        <v>662</v>
      </c>
    </row>
    <row r="38" spans="1:23" ht="15.75">
      <c r="A38" s="217" t="s">
        <v>663</v>
      </c>
    </row>
    <row r="39" spans="1:23" ht="15.75">
      <c r="A39" s="217" t="s">
        <v>664</v>
      </c>
    </row>
    <row r="40" spans="1:23" ht="17.25">
      <c r="A40" s="582" t="s">
        <v>665</v>
      </c>
      <c r="B40" s="619"/>
      <c r="C40" s="619"/>
      <c r="D40" s="619"/>
      <c r="E40" s="619"/>
      <c r="F40" s="619"/>
      <c r="G40" s="619"/>
      <c r="H40" s="619"/>
      <c r="I40" s="619"/>
      <c r="J40" s="619"/>
      <c r="K40" s="619"/>
      <c r="L40" s="619"/>
    </row>
    <row r="41" spans="1:23" ht="17.25">
      <c r="A41" s="217" t="s">
        <v>666</v>
      </c>
    </row>
  </sheetData>
  <mergeCells count="16">
    <mergeCell ref="A20:K20"/>
    <mergeCell ref="A21:K21"/>
    <mergeCell ref="E23:H23"/>
    <mergeCell ref="J23:M23"/>
    <mergeCell ref="A14:L14"/>
    <mergeCell ref="A15:K15"/>
    <mergeCell ref="A16:K16"/>
    <mergeCell ref="A17:K17"/>
    <mergeCell ref="A18:K18"/>
    <mergeCell ref="A19:K19"/>
    <mergeCell ref="A13:K13"/>
    <mergeCell ref="A1:P1"/>
    <mergeCell ref="A4:L4"/>
    <mergeCell ref="A6:L6"/>
    <mergeCell ref="A10:L10"/>
    <mergeCell ref="A11:K11"/>
  </mergeCells>
  <pageMargins left="0.7" right="0.7" top="0.75" bottom="0.75" header="0.3" footer="0.3"/>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pageSetUpPr fitToPage="1"/>
  </sheetPr>
  <dimension ref="A1:Z86"/>
  <sheetViews>
    <sheetView workbookViewId="0"/>
  </sheetViews>
  <sheetFormatPr defaultRowHeight="15"/>
  <cols>
    <col min="1" max="1" width="4" customWidth="1"/>
    <col min="2" max="2" width="11.88671875" bestFit="1" customWidth="1"/>
    <col min="3" max="3" width="5.21875" customWidth="1"/>
    <col min="4" max="4" width="11.5546875" customWidth="1"/>
    <col min="5" max="5" width="8.44140625" customWidth="1"/>
    <col min="6" max="6" width="11.5546875" customWidth="1"/>
    <col min="7" max="7" width="1.33203125" customWidth="1"/>
    <col min="8" max="9" width="11.6640625" customWidth="1"/>
    <col min="10" max="10" width="11.77734375" customWidth="1"/>
    <col min="11" max="11" width="11.33203125" bestFit="1" customWidth="1"/>
    <col min="12" max="12" width="10.77734375" bestFit="1" customWidth="1"/>
    <col min="13" max="13" width="1.109375" customWidth="1"/>
    <col min="14" max="14" width="10.88671875" customWidth="1"/>
    <col min="15" max="15" width="1.33203125" customWidth="1"/>
    <col min="16" max="16" width="10" customWidth="1"/>
    <col min="17" max="17" width="1.33203125" customWidth="1"/>
    <col min="18" max="18" width="12.21875" customWidth="1"/>
    <col min="19" max="19" width="8.88671875" customWidth="1"/>
    <col min="20" max="20" width="12.33203125" customWidth="1"/>
    <col min="21" max="23" width="8.88671875" customWidth="1"/>
  </cols>
  <sheetData>
    <row r="1" spans="1:18" ht="15.75">
      <c r="B1" s="234"/>
      <c r="C1" s="234"/>
      <c r="D1" s="234"/>
      <c r="E1" s="234"/>
      <c r="F1" s="234"/>
      <c r="G1" s="234"/>
      <c r="H1" s="234"/>
      <c r="I1" s="234"/>
      <c r="J1" s="234"/>
      <c r="K1" s="234"/>
      <c r="L1" s="234"/>
      <c r="M1" s="234"/>
      <c r="N1" s="240"/>
      <c r="O1" s="240"/>
      <c r="R1" s="5" t="s">
        <v>580</v>
      </c>
    </row>
    <row r="2" spans="1:18">
      <c r="B2" s="234"/>
      <c r="C2" s="234"/>
      <c r="D2" s="234"/>
      <c r="E2" s="233"/>
      <c r="F2" s="234"/>
      <c r="G2" s="234"/>
      <c r="H2" s="234"/>
      <c r="I2" s="234"/>
      <c r="J2" s="234"/>
      <c r="K2" s="234"/>
      <c r="L2" s="234"/>
      <c r="M2" s="234"/>
      <c r="N2" s="240"/>
      <c r="O2" s="240"/>
      <c r="P2" s="234"/>
      <c r="R2" s="238" t="s">
        <v>407</v>
      </c>
    </row>
    <row r="3" spans="1:18" ht="15.75">
      <c r="A3" s="631" t="s">
        <v>364</v>
      </c>
      <c r="B3" s="631"/>
      <c r="C3" s="631"/>
      <c r="D3" s="631"/>
      <c r="E3" s="631"/>
      <c r="F3" s="631"/>
      <c r="G3" s="631"/>
      <c r="H3" s="631"/>
      <c r="I3" s="631"/>
      <c r="J3" s="631"/>
      <c r="K3" s="631"/>
      <c r="L3" s="631"/>
      <c r="M3" s="631"/>
      <c r="N3" s="631"/>
      <c r="O3" s="631"/>
      <c r="P3" s="631"/>
    </row>
    <row r="4" spans="1:18" ht="15.75">
      <c r="A4" s="631" t="s">
        <v>509</v>
      </c>
      <c r="B4" s="631"/>
      <c r="C4" s="631"/>
      <c r="D4" s="631"/>
      <c r="E4" s="631"/>
      <c r="F4" s="631"/>
      <c r="G4" s="631"/>
      <c r="H4" s="631"/>
      <c r="I4" s="631"/>
      <c r="J4" s="631"/>
      <c r="K4" s="631"/>
      <c r="L4" s="631"/>
      <c r="M4" s="631"/>
      <c r="N4" s="631"/>
      <c r="O4" s="631"/>
      <c r="P4" s="631"/>
    </row>
    <row r="5" spans="1:18" ht="15.75">
      <c r="A5" s="1"/>
      <c r="B5" s="1"/>
      <c r="C5" s="1"/>
      <c r="D5" s="1"/>
      <c r="E5" s="1"/>
      <c r="F5" s="1"/>
      <c r="G5" s="1"/>
      <c r="H5" s="1"/>
      <c r="I5" s="1"/>
      <c r="J5" s="1"/>
      <c r="K5" s="1"/>
      <c r="L5" s="1"/>
      <c r="M5" s="1"/>
      <c r="N5" s="8"/>
      <c r="O5" s="8"/>
    </row>
    <row r="6" spans="1:18">
      <c r="N6" s="236"/>
      <c r="O6" s="236"/>
    </row>
    <row r="7" spans="1:18" ht="15.75">
      <c r="A7" s="641" t="str">
        <f>IF('True-up Interest'!$J$12&lt;0.5,CONCATENATE("FLTY Forecast for 12 Months Ended December 31, ",Coversheet!E41),CONCATENATE("True-up Actual for 12 Months Ended December 31, ",Coversheet!E41))</f>
        <v>FLTY Forecast for 12 Months Ended December 31, 2019</v>
      </c>
      <c r="B7" s="641"/>
      <c r="C7" s="641"/>
      <c r="D7" s="641"/>
      <c r="E7" s="641"/>
      <c r="F7" s="641"/>
      <c r="G7" s="641"/>
      <c r="H7" s="641"/>
      <c r="I7" s="641"/>
      <c r="J7" s="641"/>
      <c r="K7" s="641"/>
      <c r="L7" s="641"/>
      <c r="M7" s="641"/>
      <c r="N7" s="641"/>
      <c r="O7" s="641"/>
      <c r="P7" s="641"/>
    </row>
    <row r="8" spans="1:18">
      <c r="B8" s="234"/>
      <c r="C8" s="234"/>
      <c r="D8" s="234"/>
      <c r="E8" s="234"/>
      <c r="F8" s="234"/>
      <c r="G8" s="234"/>
      <c r="H8" s="234"/>
      <c r="I8" s="234"/>
      <c r="J8" s="234"/>
      <c r="K8" s="234"/>
      <c r="L8" s="234"/>
      <c r="M8" s="234"/>
      <c r="N8" s="240"/>
      <c r="O8" s="240"/>
      <c r="P8" s="234"/>
    </row>
    <row r="9" spans="1:18" ht="15.75">
      <c r="A9" s="642" t="s">
        <v>412</v>
      </c>
      <c r="B9" s="642"/>
      <c r="C9" s="642"/>
      <c r="D9" s="642"/>
      <c r="E9" s="642"/>
      <c r="F9" s="642"/>
      <c r="G9" s="642"/>
      <c r="H9" s="642"/>
      <c r="I9" s="642"/>
      <c r="J9" s="642"/>
      <c r="K9" s="642"/>
      <c r="L9" s="642"/>
      <c r="M9" s="642"/>
      <c r="N9" s="642"/>
      <c r="O9" s="642"/>
      <c r="P9" s="642"/>
      <c r="Q9" s="241"/>
      <c r="R9" s="241"/>
    </row>
    <row r="10" spans="1:18" ht="15.75">
      <c r="A10" s="4"/>
      <c r="B10" s="4"/>
      <c r="C10" s="4"/>
      <c r="D10" s="4"/>
      <c r="E10" s="4"/>
      <c r="F10" s="4"/>
      <c r="G10" s="4"/>
      <c r="H10" s="4"/>
      <c r="I10" s="4"/>
      <c r="J10" s="4"/>
      <c r="K10" s="4"/>
      <c r="L10" s="4"/>
      <c r="M10" s="4"/>
      <c r="N10" s="408"/>
      <c r="O10" s="408"/>
      <c r="P10" s="4"/>
      <c r="Q10" s="241"/>
      <c r="R10" s="241"/>
    </row>
    <row r="11" spans="1:18" ht="83.25" customHeight="1">
      <c r="A11" s="241"/>
      <c r="B11" s="241"/>
      <c r="C11" s="248" t="s">
        <v>198</v>
      </c>
      <c r="D11" s="409" t="s">
        <v>409</v>
      </c>
      <c r="E11" s="8"/>
      <c r="F11" s="409" t="s">
        <v>430</v>
      </c>
      <c r="G11" s="249"/>
      <c r="H11" s="248" t="s">
        <v>438</v>
      </c>
      <c r="I11" s="248" t="s">
        <v>439</v>
      </c>
      <c r="J11" s="409" t="s">
        <v>437</v>
      </c>
      <c r="K11" s="409" t="s">
        <v>440</v>
      </c>
      <c r="L11" s="409" t="s">
        <v>422</v>
      </c>
      <c r="M11" s="249"/>
      <c r="N11" s="409" t="s">
        <v>441</v>
      </c>
      <c r="O11" s="249"/>
      <c r="P11" s="249"/>
      <c r="Q11" s="241"/>
      <c r="R11" s="241"/>
    </row>
    <row r="12" spans="1:18" ht="15.75" customHeight="1">
      <c r="A12" s="241"/>
      <c r="B12" s="241"/>
      <c r="C12" s="241"/>
      <c r="D12" s="10"/>
      <c r="E12" s="249"/>
      <c r="F12" s="408" t="s">
        <v>423</v>
      </c>
      <c r="G12" s="249"/>
      <c r="H12" s="408" t="s">
        <v>424</v>
      </c>
      <c r="I12" s="408" t="s">
        <v>425</v>
      </c>
      <c r="J12" s="408" t="s">
        <v>426</v>
      </c>
      <c r="K12" s="408" t="s">
        <v>427</v>
      </c>
      <c r="L12" s="408" t="s">
        <v>442</v>
      </c>
      <c r="M12" s="408"/>
      <c r="N12" s="408" t="s">
        <v>443</v>
      </c>
      <c r="O12" s="249"/>
      <c r="P12" s="249"/>
      <c r="Q12" s="241"/>
      <c r="R12" s="241"/>
    </row>
    <row r="13" spans="1:18" ht="15.75">
      <c r="A13" s="241"/>
      <c r="B13" s="241"/>
      <c r="C13" s="408">
        <v>1</v>
      </c>
      <c r="D13" s="408" t="s">
        <v>428</v>
      </c>
      <c r="E13" s="249"/>
      <c r="F13" s="410">
        <f>J51</f>
        <v>41658829</v>
      </c>
      <c r="G13" s="249"/>
      <c r="H13" s="411">
        <v>0</v>
      </c>
      <c r="I13" s="410">
        <f>F13-H13</f>
        <v>41658829</v>
      </c>
      <c r="J13" s="410">
        <f>K51</f>
        <v>24377166</v>
      </c>
      <c r="K13" s="410">
        <f>I13-J13</f>
        <v>17281663</v>
      </c>
      <c r="L13" s="412">
        <f>IF(K15&gt;0,K13/K15,0)</f>
        <v>0.3873465737976069</v>
      </c>
      <c r="M13" s="249"/>
      <c r="N13" s="413">
        <f>ROUND(L13*N15,0)</f>
        <v>2326345</v>
      </c>
      <c r="O13" s="249"/>
      <c r="P13" s="249"/>
      <c r="Q13" s="241"/>
      <c r="R13" s="241"/>
    </row>
    <row r="14" spans="1:18" ht="15.75">
      <c r="A14" s="241"/>
      <c r="B14" s="241"/>
      <c r="C14" s="408">
        <v>2</v>
      </c>
      <c r="D14" s="408" t="s">
        <v>429</v>
      </c>
      <c r="E14" s="249"/>
      <c r="F14" s="414">
        <f>F51</f>
        <v>28678643</v>
      </c>
      <c r="G14" s="249"/>
      <c r="H14" s="581">
        <v>1344801</v>
      </c>
      <c r="I14" s="255">
        <f>F14-H14</f>
        <v>27333842</v>
      </c>
      <c r="J14" s="414">
        <v>0</v>
      </c>
      <c r="K14" s="414">
        <f>I14-J14</f>
        <v>27333842</v>
      </c>
      <c r="L14" s="415">
        <f>IF(K15&gt;0,K14/K15,0)</f>
        <v>0.61265342620239305</v>
      </c>
      <c r="M14" s="249"/>
      <c r="N14" s="416">
        <f>ROUND(L14*N15,0)</f>
        <v>3679505</v>
      </c>
      <c r="O14" s="249"/>
      <c r="P14" s="249"/>
      <c r="Q14" s="241"/>
      <c r="R14" s="241"/>
    </row>
    <row r="15" spans="1:18" ht="15.75" customHeight="1">
      <c r="A15" s="241"/>
      <c r="B15" s="241"/>
      <c r="C15" s="408">
        <v>3</v>
      </c>
      <c r="D15" s="408" t="s">
        <v>4</v>
      </c>
      <c r="E15" s="249"/>
      <c r="F15" s="410">
        <f>SUM(F13:F14)</f>
        <v>70337472</v>
      </c>
      <c r="G15" s="249"/>
      <c r="H15" s="410">
        <f t="shared" ref="H15:I15" si="0">SUM(H13:H14)</f>
        <v>1344801</v>
      </c>
      <c r="I15" s="417">
        <f t="shared" si="0"/>
        <v>68992671</v>
      </c>
      <c r="J15" s="410">
        <f>SUM(J13:J14)</f>
        <v>24377166</v>
      </c>
      <c r="K15" s="410">
        <f>SUM(K13:K14)</f>
        <v>44615505</v>
      </c>
      <c r="L15" s="412">
        <f>SUM(L13:L14)</f>
        <v>1</v>
      </c>
      <c r="M15" s="249"/>
      <c r="N15" s="580">
        <v>6005850</v>
      </c>
      <c r="O15" s="418" t="s">
        <v>5</v>
      </c>
      <c r="P15" s="249"/>
      <c r="Q15" s="241"/>
      <c r="R15" s="241"/>
    </row>
    <row r="16" spans="1:18" ht="19.5">
      <c r="A16" s="241"/>
      <c r="B16" s="241"/>
      <c r="C16" s="249"/>
      <c r="D16" s="419"/>
      <c r="E16" s="419"/>
      <c r="F16" s="419"/>
      <c r="G16" s="419"/>
      <c r="H16" s="250"/>
      <c r="I16" s="249"/>
      <c r="J16" s="10"/>
      <c r="K16" s="249"/>
      <c r="L16" s="249"/>
      <c r="M16" s="232"/>
      <c r="N16" s="249"/>
      <c r="O16" s="249"/>
      <c r="P16" s="249"/>
      <c r="Q16" s="241"/>
      <c r="R16" s="241"/>
    </row>
    <row r="17" spans="1:18" ht="15.75">
      <c r="A17" s="241"/>
      <c r="B17" s="241"/>
      <c r="C17" s="249"/>
      <c r="D17" s="420" t="s">
        <v>444</v>
      </c>
      <c r="E17" s="251"/>
      <c r="F17" s="251"/>
      <c r="G17" s="251"/>
      <c r="H17" s="251"/>
      <c r="I17" s="252"/>
      <c r="J17" s="421"/>
      <c r="K17" s="249"/>
      <c r="L17" s="249"/>
      <c r="M17" s="253"/>
      <c r="N17" s="249"/>
      <c r="O17" s="249"/>
      <c r="P17" s="249"/>
      <c r="Q17" s="241"/>
      <c r="R17" s="241"/>
    </row>
    <row r="18" spans="1:18" ht="15.75">
      <c r="A18" s="241"/>
      <c r="B18" s="241"/>
      <c r="C18" s="249"/>
      <c r="D18" s="10" t="str">
        <f>CONCATENATE("(2) Total RPU Gross Plant In Service from Att O_RPU, page 2 of 5, line 2, col (5) for ",Coversheet!E41)</f>
        <v>(2) Total RPU Gross Plant In Service from Att O_RPU, page 2 of 5, line 2, col (5) for 2019</v>
      </c>
      <c r="E18" s="249"/>
      <c r="F18" s="249"/>
      <c r="G18" s="249"/>
      <c r="H18" s="249"/>
      <c r="I18" s="249"/>
      <c r="J18" s="249"/>
      <c r="K18" s="249"/>
      <c r="L18" s="249"/>
      <c r="M18" s="249"/>
      <c r="N18" s="249"/>
      <c r="O18" s="249"/>
      <c r="P18" s="249"/>
      <c r="Q18" s="241"/>
      <c r="R18" s="241"/>
    </row>
    <row r="19" spans="1:18" ht="15.75">
      <c r="A19" s="241"/>
      <c r="B19" s="241"/>
      <c r="C19" s="249"/>
      <c r="D19" s="10" t="str">
        <f>CONCATENATE("(3) Total RPU ATRR from Att O_RPU, page 1 of 5, line 7 for ",Coversheet!E41)</f>
        <v>(3) Total RPU ATRR from Att O_RPU, page 1 of 5, line 7 for 2019</v>
      </c>
      <c r="E19" s="249"/>
      <c r="F19" s="249"/>
      <c r="G19" s="249"/>
      <c r="H19" s="249"/>
      <c r="I19" s="249"/>
      <c r="J19" s="249"/>
      <c r="K19" s="249"/>
      <c r="L19" s="249"/>
      <c r="M19" s="249"/>
      <c r="N19" s="249"/>
      <c r="O19" s="249"/>
      <c r="P19" s="249"/>
      <c r="Q19" s="241"/>
      <c r="R19" s="241"/>
    </row>
    <row r="20" spans="1:18" ht="16.5" customHeight="1">
      <c r="A20" s="241"/>
      <c r="B20" s="241"/>
      <c r="C20" s="249"/>
      <c r="D20" s="249"/>
      <c r="E20" s="249"/>
      <c r="F20" s="249"/>
      <c r="G20" s="249"/>
      <c r="H20" s="249"/>
      <c r="I20" s="249"/>
      <c r="J20" s="249"/>
      <c r="K20" s="249"/>
      <c r="L20" s="249"/>
      <c r="M20" s="249"/>
      <c r="N20" s="249"/>
      <c r="O20" s="249"/>
      <c r="P20" s="249"/>
      <c r="Q20" s="241"/>
      <c r="R20" s="241"/>
    </row>
    <row r="21" spans="1:18">
      <c r="A21" s="241"/>
      <c r="B21" s="241"/>
      <c r="C21" s="241"/>
      <c r="D21" s="241"/>
      <c r="E21" s="241"/>
      <c r="F21" s="241"/>
      <c r="G21" s="241"/>
      <c r="H21" s="241"/>
      <c r="I21" s="241"/>
      <c r="J21" s="241"/>
      <c r="K21" s="241"/>
      <c r="L21" s="241"/>
      <c r="M21" s="241"/>
      <c r="N21" s="249"/>
      <c r="O21" s="249"/>
      <c r="P21" s="241"/>
      <c r="Q21" s="241"/>
      <c r="R21" s="241"/>
    </row>
    <row r="22" spans="1:18">
      <c r="A22" s="241"/>
      <c r="B22" s="241"/>
      <c r="C22" s="241"/>
      <c r="D22" s="241"/>
      <c r="E22" s="241"/>
      <c r="F22" s="241"/>
      <c r="G22" s="241"/>
      <c r="H22" s="241"/>
      <c r="I22" s="241"/>
      <c r="J22" s="241"/>
      <c r="K22" s="241"/>
      <c r="L22" s="241"/>
      <c r="M22" s="241"/>
      <c r="N22" s="249"/>
      <c r="O22" s="249"/>
      <c r="P22" s="241"/>
      <c r="Q22" s="241"/>
      <c r="R22" s="241"/>
    </row>
    <row r="23" spans="1:18" ht="18" customHeight="1">
      <c r="A23" s="241"/>
      <c r="B23" s="241"/>
      <c r="C23" s="241"/>
      <c r="D23" s="241"/>
      <c r="E23" s="241"/>
      <c r="F23" s="241"/>
      <c r="G23" s="241"/>
      <c r="H23" s="241"/>
      <c r="I23" s="241"/>
      <c r="J23" s="241"/>
      <c r="K23" s="241"/>
      <c r="L23" s="241"/>
      <c r="M23" s="241"/>
      <c r="N23" s="249"/>
      <c r="O23" s="249"/>
      <c r="P23" s="241"/>
      <c r="Q23" s="241"/>
      <c r="R23" s="241"/>
    </row>
    <row r="24" spans="1:18" ht="15.75" customHeight="1">
      <c r="A24" s="241"/>
      <c r="B24" s="241"/>
      <c r="C24" s="241"/>
      <c r="D24" s="241"/>
      <c r="E24" s="241"/>
      <c r="F24" s="241"/>
      <c r="G24" s="241"/>
      <c r="H24" s="241"/>
      <c r="I24" s="241"/>
      <c r="J24" s="241"/>
      <c r="K24" s="241"/>
      <c r="L24" s="241"/>
      <c r="M24" s="241"/>
      <c r="N24" s="249"/>
      <c r="O24" s="249"/>
      <c r="P24" s="241"/>
      <c r="Q24" s="241"/>
      <c r="R24" s="241"/>
    </row>
    <row r="25" spans="1:18">
      <c r="A25" s="241"/>
      <c r="B25" s="241"/>
      <c r="C25" s="241"/>
      <c r="D25" s="241"/>
      <c r="E25" s="241"/>
      <c r="F25" s="241"/>
      <c r="G25" s="241"/>
      <c r="H25" s="241"/>
      <c r="I25" s="241"/>
      <c r="J25" s="241"/>
      <c r="K25" s="241"/>
      <c r="L25" s="241"/>
      <c r="M25" s="241"/>
      <c r="N25" s="249"/>
      <c r="O25" s="249"/>
      <c r="P25" s="241"/>
      <c r="Q25" s="241"/>
      <c r="R25" s="241"/>
    </row>
    <row r="26" spans="1:18" ht="15.75">
      <c r="A26" s="241"/>
      <c r="B26" s="407"/>
      <c r="C26" s="407"/>
      <c r="D26" s="407"/>
      <c r="E26" s="407"/>
      <c r="F26" s="407"/>
      <c r="G26" s="407"/>
      <c r="H26" s="407"/>
      <c r="I26" s="407"/>
      <c r="J26" s="407"/>
      <c r="K26" s="407"/>
      <c r="L26" s="407"/>
      <c r="M26" s="407"/>
      <c r="N26" s="8"/>
      <c r="O26" s="8"/>
      <c r="P26" s="241"/>
      <c r="Q26" s="241"/>
      <c r="R26" s="3" t="str">
        <f>'Interzonal Alloc'!R1</f>
        <v>For the 12 months ended 12/31/19</v>
      </c>
    </row>
    <row r="27" spans="1:18" ht="15.75">
      <c r="A27" s="241"/>
      <c r="B27" s="407"/>
      <c r="C27" s="407"/>
      <c r="D27" s="407"/>
      <c r="E27" s="3"/>
      <c r="F27" s="407"/>
      <c r="G27" s="407"/>
      <c r="H27" s="407"/>
      <c r="I27" s="407"/>
      <c r="J27" s="407"/>
      <c r="K27" s="407"/>
      <c r="L27" s="407"/>
      <c r="M27" s="407"/>
      <c r="N27" s="8"/>
      <c r="O27" s="8"/>
      <c r="P27" s="407"/>
      <c r="Q27" s="241"/>
      <c r="R27" s="9" t="s">
        <v>408</v>
      </c>
    </row>
    <row r="28" spans="1:18" ht="15.75">
      <c r="A28" s="631" t="s">
        <v>364</v>
      </c>
      <c r="B28" s="631"/>
      <c r="C28" s="631"/>
      <c r="D28" s="631"/>
      <c r="E28" s="631"/>
      <c r="F28" s="631"/>
      <c r="G28" s="631"/>
      <c r="H28" s="631"/>
      <c r="I28" s="631"/>
      <c r="J28" s="631"/>
      <c r="K28" s="631"/>
      <c r="L28" s="631"/>
      <c r="M28" s="631"/>
      <c r="N28" s="631"/>
      <c r="O28" s="631"/>
      <c r="P28" s="631"/>
      <c r="Q28" s="241"/>
      <c r="R28" s="241"/>
    </row>
    <row r="29" spans="1:18" ht="15.75">
      <c r="A29" s="631" t="s">
        <v>411</v>
      </c>
      <c r="B29" s="631"/>
      <c r="C29" s="631"/>
      <c r="D29" s="631"/>
      <c r="E29" s="631"/>
      <c r="F29" s="631"/>
      <c r="G29" s="631"/>
      <c r="H29" s="631"/>
      <c r="I29" s="631"/>
      <c r="J29" s="631"/>
      <c r="K29" s="631"/>
      <c r="L29" s="631"/>
      <c r="M29" s="631"/>
      <c r="N29" s="631"/>
      <c r="O29" s="631"/>
      <c r="P29" s="631"/>
      <c r="Q29" s="241"/>
      <c r="R29" s="241"/>
    </row>
    <row r="30" spans="1:18" ht="15.75">
      <c r="A30" s="407"/>
      <c r="B30" s="407"/>
      <c r="C30" s="407"/>
      <c r="D30" s="407"/>
      <c r="E30" s="407"/>
      <c r="F30" s="407"/>
      <c r="G30" s="407"/>
      <c r="H30" s="407"/>
      <c r="I30" s="407"/>
      <c r="J30" s="407"/>
      <c r="K30" s="407"/>
      <c r="L30" s="407"/>
      <c r="M30" s="407"/>
      <c r="N30" s="8"/>
      <c r="O30" s="8"/>
      <c r="P30" s="241"/>
      <c r="Q30" s="241"/>
      <c r="R30" s="241"/>
    </row>
    <row r="31" spans="1:18">
      <c r="A31" s="241"/>
      <c r="B31" s="241"/>
      <c r="C31" s="241"/>
      <c r="D31" s="241"/>
      <c r="E31" s="241"/>
      <c r="F31" s="241"/>
      <c r="G31" s="241"/>
      <c r="H31" s="241"/>
      <c r="I31" s="241"/>
      <c r="J31" s="241"/>
      <c r="K31" s="241"/>
      <c r="L31" s="241"/>
      <c r="M31" s="241"/>
      <c r="N31" s="249"/>
      <c r="O31" s="249"/>
      <c r="P31" s="241"/>
      <c r="Q31" s="241"/>
      <c r="R31" s="241"/>
    </row>
    <row r="32" spans="1:18" ht="15.75">
      <c r="A32" s="641" t="s">
        <v>420</v>
      </c>
      <c r="B32" s="641"/>
      <c r="C32" s="641"/>
      <c r="D32" s="641"/>
      <c r="E32" s="641"/>
      <c r="F32" s="641"/>
      <c r="G32" s="641"/>
      <c r="H32" s="641"/>
      <c r="I32" s="641"/>
      <c r="J32" s="641"/>
      <c r="K32" s="641"/>
      <c r="L32" s="641"/>
      <c r="M32" s="641"/>
      <c r="N32" s="641"/>
      <c r="O32" s="641"/>
      <c r="P32" s="641"/>
      <c r="Q32" s="241"/>
      <c r="R32" s="241"/>
    </row>
    <row r="33" spans="1:18" ht="15.75">
      <c r="A33" s="241"/>
      <c r="B33" s="407"/>
      <c r="C33" s="407"/>
      <c r="D33" s="407"/>
      <c r="E33" s="407"/>
      <c r="F33" s="407"/>
      <c r="G33" s="407"/>
      <c r="H33" s="407"/>
      <c r="I33" s="407"/>
      <c r="J33" s="407"/>
      <c r="K33" s="407"/>
      <c r="L33" s="407"/>
      <c r="M33" s="407"/>
      <c r="N33" s="8"/>
      <c r="O33" s="8"/>
      <c r="P33" s="407"/>
      <c r="Q33" s="241"/>
      <c r="R33" s="241"/>
    </row>
    <row r="34" spans="1:18" ht="15" customHeight="1">
      <c r="A34" s="642" t="s">
        <v>412</v>
      </c>
      <c r="B34" s="642"/>
      <c r="C34" s="642"/>
      <c r="D34" s="642"/>
      <c r="E34" s="642"/>
      <c r="F34" s="642"/>
      <c r="G34" s="642"/>
      <c r="H34" s="642"/>
      <c r="I34" s="642"/>
      <c r="J34" s="642"/>
      <c r="K34" s="642"/>
      <c r="L34" s="642"/>
      <c r="M34" s="642"/>
      <c r="N34" s="642"/>
      <c r="O34" s="642"/>
      <c r="P34" s="642"/>
      <c r="Q34" s="241"/>
      <c r="R34" s="241"/>
    </row>
    <row r="35" spans="1:18" ht="15.75">
      <c r="A35" s="241"/>
      <c r="B35" s="422"/>
      <c r="C35" s="241"/>
      <c r="D35" s="643" t="s">
        <v>413</v>
      </c>
      <c r="E35" s="643"/>
      <c r="F35" s="643"/>
      <c r="G35" s="422"/>
      <c r="H35" s="643" t="s">
        <v>414</v>
      </c>
      <c r="I35" s="643"/>
      <c r="J35" s="643"/>
      <c r="K35" s="643"/>
      <c r="L35" s="643"/>
      <c r="M35" s="306"/>
      <c r="N35" s="422"/>
      <c r="O35" s="422"/>
      <c r="P35" s="423"/>
      <c r="Q35" s="306"/>
      <c r="R35" s="422"/>
    </row>
    <row r="36" spans="1:18" ht="62.25" customHeight="1">
      <c r="A36" s="254" t="s">
        <v>198</v>
      </c>
      <c r="B36" s="6" t="s">
        <v>421</v>
      </c>
      <c r="C36" s="357" t="s">
        <v>200</v>
      </c>
      <c r="D36" s="321" t="s">
        <v>415</v>
      </c>
      <c r="E36" s="321" t="s">
        <v>129</v>
      </c>
      <c r="F36" s="321" t="s">
        <v>416</v>
      </c>
      <c r="G36" s="321"/>
      <c r="H36" s="321" t="s">
        <v>415</v>
      </c>
      <c r="I36" s="321" t="s">
        <v>129</v>
      </c>
      <c r="J36" s="321" t="s">
        <v>417</v>
      </c>
      <c r="K36" s="321" t="s">
        <v>418</v>
      </c>
      <c r="L36" s="424" t="s">
        <v>419</v>
      </c>
      <c r="M36" s="321"/>
      <c r="N36" s="321" t="s">
        <v>445</v>
      </c>
      <c r="O36" s="321"/>
      <c r="P36" s="424" t="s">
        <v>446</v>
      </c>
      <c r="Q36" s="321"/>
      <c r="R36" s="321" t="s">
        <v>398</v>
      </c>
    </row>
    <row r="37" spans="1:18">
      <c r="A37" s="241"/>
      <c r="B37" s="241"/>
      <c r="C37" s="241"/>
      <c r="D37" s="241"/>
      <c r="E37" s="241"/>
      <c r="F37" s="241"/>
      <c r="G37" s="241"/>
      <c r="H37" s="241"/>
      <c r="I37" s="241"/>
      <c r="J37" s="241"/>
      <c r="K37" s="241"/>
      <c r="L37" s="241"/>
      <c r="M37" s="241"/>
      <c r="N37" s="241"/>
      <c r="O37" s="241"/>
      <c r="P37" s="249"/>
      <c r="Q37" s="241"/>
      <c r="R37" s="241"/>
    </row>
    <row r="38" spans="1:18" ht="15.75">
      <c r="A38" s="4">
        <v>1</v>
      </c>
      <c r="B38" s="296" t="s">
        <v>196</v>
      </c>
      <c r="C38" s="425">
        <f>Coversheet!E40</f>
        <v>2018</v>
      </c>
      <c r="D38" s="426">
        <v>28678643</v>
      </c>
      <c r="E38" s="426">
        <v>0</v>
      </c>
      <c r="F38" s="426">
        <f>D38+E38</f>
        <v>28678643</v>
      </c>
      <c r="G38" s="427"/>
      <c r="H38" s="426">
        <f>Plant!G6+Plant!H6-D38</f>
        <v>41658829</v>
      </c>
      <c r="I38" s="428">
        <v>0</v>
      </c>
      <c r="J38" s="426">
        <f>+H38+I38</f>
        <v>41658829</v>
      </c>
      <c r="K38" s="426">
        <f>Plant!H6</f>
        <v>24377166</v>
      </c>
      <c r="L38" s="426">
        <f>+J38-K38</f>
        <v>17281663</v>
      </c>
      <c r="M38" s="427"/>
      <c r="N38" s="426">
        <f>F38+J38</f>
        <v>70337472</v>
      </c>
      <c r="O38" s="427"/>
      <c r="P38" s="426">
        <f>Plant!I6</f>
        <v>1928351</v>
      </c>
      <c r="Q38" s="427"/>
      <c r="R38" s="426">
        <f>F38+J38+P38</f>
        <v>72265823</v>
      </c>
    </row>
    <row r="39" spans="1:18" ht="15.75">
      <c r="A39" s="4">
        <v>2</v>
      </c>
      <c r="B39" s="296" t="s">
        <v>185</v>
      </c>
      <c r="C39" s="425">
        <f>Coversheet!E41</f>
        <v>2019</v>
      </c>
      <c r="D39" s="428">
        <f>D38</f>
        <v>28678643</v>
      </c>
      <c r="E39" s="428">
        <v>0</v>
      </c>
      <c r="F39" s="429">
        <f>D39+E39</f>
        <v>28678643</v>
      </c>
      <c r="G39" s="427"/>
      <c r="H39" s="428">
        <f>H38</f>
        <v>41658829</v>
      </c>
      <c r="I39" s="428">
        <f>Plant!H7-Plant!H$6</f>
        <v>0</v>
      </c>
      <c r="J39" s="428">
        <f>+H39+I39</f>
        <v>41658829</v>
      </c>
      <c r="K39" s="428">
        <f>Plant!H7</f>
        <v>24377166</v>
      </c>
      <c r="L39" s="428">
        <f>+J39-K39</f>
        <v>17281663</v>
      </c>
      <c r="M39" s="427"/>
      <c r="N39" s="428">
        <f>F39+J39</f>
        <v>70337472</v>
      </c>
      <c r="O39" s="427"/>
      <c r="P39" s="428">
        <f>Plant!I7</f>
        <v>1928351</v>
      </c>
      <c r="Q39" s="427"/>
      <c r="R39" s="428">
        <f t="shared" ref="R39:R50" si="1">+F39+J39+P39</f>
        <v>72265823</v>
      </c>
    </row>
    <row r="40" spans="1:18" ht="15.75">
      <c r="A40" s="4">
        <v>3</v>
      </c>
      <c r="B40" s="296" t="s">
        <v>186</v>
      </c>
      <c r="C40" s="425">
        <f>C39</f>
        <v>2019</v>
      </c>
      <c r="D40" s="428">
        <f t="shared" ref="D40:D50" si="2">D39</f>
        <v>28678643</v>
      </c>
      <c r="E40" s="428">
        <v>0</v>
      </c>
      <c r="F40" s="429">
        <f t="shared" ref="F40:F50" si="3">D40+E40</f>
        <v>28678643</v>
      </c>
      <c r="G40" s="427"/>
      <c r="H40" s="428">
        <f t="shared" ref="H40:H50" si="4">H39</f>
        <v>41658829</v>
      </c>
      <c r="I40" s="428">
        <f>Plant!H8-Plant!H$6</f>
        <v>0</v>
      </c>
      <c r="J40" s="428">
        <f t="shared" ref="J40:J50" si="5">+H40+I40</f>
        <v>41658829</v>
      </c>
      <c r="K40" s="429">
        <f>Plant!H8</f>
        <v>24377166</v>
      </c>
      <c r="L40" s="429">
        <f t="shared" ref="L40:L50" si="6">+J40-K40</f>
        <v>17281663</v>
      </c>
      <c r="M40" s="427"/>
      <c r="N40" s="428">
        <f t="shared" ref="N40:N50" si="7">F40+J40</f>
        <v>70337472</v>
      </c>
      <c r="O40" s="427"/>
      <c r="P40" s="428">
        <f>Plant!I8</f>
        <v>1928351</v>
      </c>
      <c r="Q40" s="427"/>
      <c r="R40" s="428">
        <f t="shared" si="1"/>
        <v>72265823</v>
      </c>
    </row>
    <row r="41" spans="1:18" ht="15.75">
      <c r="A41" s="4">
        <v>4</v>
      </c>
      <c r="B41" s="296" t="s">
        <v>187</v>
      </c>
      <c r="C41" s="425">
        <f t="shared" ref="C41:C50" si="8">C40</f>
        <v>2019</v>
      </c>
      <c r="D41" s="428">
        <f t="shared" si="2"/>
        <v>28678643</v>
      </c>
      <c r="E41" s="428">
        <v>0</v>
      </c>
      <c r="F41" s="429">
        <f t="shared" si="3"/>
        <v>28678643</v>
      </c>
      <c r="G41" s="427"/>
      <c r="H41" s="428">
        <f t="shared" si="4"/>
        <v>41658829</v>
      </c>
      <c r="I41" s="428">
        <f>Plant!H9-Plant!H$6</f>
        <v>0</v>
      </c>
      <c r="J41" s="428">
        <f t="shared" si="5"/>
        <v>41658829</v>
      </c>
      <c r="K41" s="429">
        <f>Plant!H9</f>
        <v>24377166</v>
      </c>
      <c r="L41" s="429">
        <f t="shared" si="6"/>
        <v>17281663</v>
      </c>
      <c r="M41" s="427"/>
      <c r="N41" s="428">
        <f t="shared" si="7"/>
        <v>70337472</v>
      </c>
      <c r="O41" s="427"/>
      <c r="P41" s="428">
        <f>Plant!I9</f>
        <v>1928351</v>
      </c>
      <c r="Q41" s="427"/>
      <c r="R41" s="428">
        <f t="shared" si="1"/>
        <v>72265823</v>
      </c>
    </row>
    <row r="42" spans="1:18" ht="15.75">
      <c r="A42" s="4">
        <v>5</v>
      </c>
      <c r="B42" s="296" t="s">
        <v>188</v>
      </c>
      <c r="C42" s="425">
        <f t="shared" si="8"/>
        <v>2019</v>
      </c>
      <c r="D42" s="428">
        <f t="shared" si="2"/>
        <v>28678643</v>
      </c>
      <c r="E42" s="428">
        <v>0</v>
      </c>
      <c r="F42" s="429">
        <f t="shared" si="3"/>
        <v>28678643</v>
      </c>
      <c r="G42" s="427"/>
      <c r="H42" s="428">
        <f t="shared" si="4"/>
        <v>41658829</v>
      </c>
      <c r="I42" s="428">
        <f>Plant!H10-Plant!H$6</f>
        <v>0</v>
      </c>
      <c r="J42" s="428">
        <f t="shared" si="5"/>
        <v>41658829</v>
      </c>
      <c r="K42" s="429">
        <f>Plant!H10</f>
        <v>24377166</v>
      </c>
      <c r="L42" s="429">
        <f t="shared" si="6"/>
        <v>17281663</v>
      </c>
      <c r="M42" s="427"/>
      <c r="N42" s="428">
        <f t="shared" si="7"/>
        <v>70337472</v>
      </c>
      <c r="O42" s="427"/>
      <c r="P42" s="428">
        <f>Plant!I10</f>
        <v>1928351</v>
      </c>
      <c r="Q42" s="427"/>
      <c r="R42" s="428">
        <f t="shared" si="1"/>
        <v>72265823</v>
      </c>
    </row>
    <row r="43" spans="1:18" ht="15.75">
      <c r="A43" s="4">
        <v>6</v>
      </c>
      <c r="B43" s="296" t="s">
        <v>189</v>
      </c>
      <c r="C43" s="425">
        <f t="shared" si="8"/>
        <v>2019</v>
      </c>
      <c r="D43" s="428">
        <f t="shared" si="2"/>
        <v>28678643</v>
      </c>
      <c r="E43" s="428">
        <v>0</v>
      </c>
      <c r="F43" s="429">
        <f t="shared" si="3"/>
        <v>28678643</v>
      </c>
      <c r="G43" s="427"/>
      <c r="H43" s="428">
        <f t="shared" si="4"/>
        <v>41658829</v>
      </c>
      <c r="I43" s="428">
        <f>Plant!H11-Plant!H$6</f>
        <v>0</v>
      </c>
      <c r="J43" s="428">
        <f t="shared" si="5"/>
        <v>41658829</v>
      </c>
      <c r="K43" s="429">
        <f>Plant!H11</f>
        <v>24377166</v>
      </c>
      <c r="L43" s="429">
        <f t="shared" si="6"/>
        <v>17281663</v>
      </c>
      <c r="M43" s="427"/>
      <c r="N43" s="428">
        <f t="shared" si="7"/>
        <v>70337472</v>
      </c>
      <c r="O43" s="427"/>
      <c r="P43" s="428">
        <f>Plant!I11</f>
        <v>1928351</v>
      </c>
      <c r="Q43" s="427"/>
      <c r="R43" s="428">
        <f t="shared" si="1"/>
        <v>72265823</v>
      </c>
    </row>
    <row r="44" spans="1:18" ht="15.75">
      <c r="A44" s="4">
        <v>7</v>
      </c>
      <c r="B44" s="296" t="s">
        <v>190</v>
      </c>
      <c r="C44" s="425">
        <f t="shared" si="8"/>
        <v>2019</v>
      </c>
      <c r="D44" s="428">
        <f t="shared" si="2"/>
        <v>28678643</v>
      </c>
      <c r="E44" s="428">
        <v>0</v>
      </c>
      <c r="F44" s="429">
        <f t="shared" si="3"/>
        <v>28678643</v>
      </c>
      <c r="G44" s="427"/>
      <c r="H44" s="428">
        <f t="shared" si="4"/>
        <v>41658829</v>
      </c>
      <c r="I44" s="428">
        <f>Plant!H12-Plant!H$6</f>
        <v>0</v>
      </c>
      <c r="J44" s="428">
        <f t="shared" si="5"/>
        <v>41658829</v>
      </c>
      <c r="K44" s="429">
        <f>Plant!H12</f>
        <v>24377166</v>
      </c>
      <c r="L44" s="429">
        <f t="shared" si="6"/>
        <v>17281663</v>
      </c>
      <c r="M44" s="427"/>
      <c r="N44" s="428">
        <f t="shared" si="7"/>
        <v>70337472</v>
      </c>
      <c r="O44" s="427"/>
      <c r="P44" s="428">
        <f>Plant!I12</f>
        <v>1928351</v>
      </c>
      <c r="Q44" s="427"/>
      <c r="R44" s="428">
        <f t="shared" si="1"/>
        <v>72265823</v>
      </c>
    </row>
    <row r="45" spans="1:18" ht="15.75">
      <c r="A45" s="4">
        <v>8</v>
      </c>
      <c r="B45" s="296" t="s">
        <v>191</v>
      </c>
      <c r="C45" s="425">
        <f t="shared" si="8"/>
        <v>2019</v>
      </c>
      <c r="D45" s="428">
        <f t="shared" si="2"/>
        <v>28678643</v>
      </c>
      <c r="E45" s="428">
        <v>0</v>
      </c>
      <c r="F45" s="429">
        <f t="shared" si="3"/>
        <v>28678643</v>
      </c>
      <c r="G45" s="427"/>
      <c r="H45" s="428">
        <f t="shared" si="4"/>
        <v>41658829</v>
      </c>
      <c r="I45" s="428">
        <f>Plant!H13-Plant!H$6</f>
        <v>0</v>
      </c>
      <c r="J45" s="428">
        <f t="shared" si="5"/>
        <v>41658829</v>
      </c>
      <c r="K45" s="429">
        <f>Plant!H13</f>
        <v>24377166</v>
      </c>
      <c r="L45" s="429">
        <f t="shared" si="6"/>
        <v>17281663</v>
      </c>
      <c r="M45" s="427"/>
      <c r="N45" s="428">
        <f t="shared" si="7"/>
        <v>70337472</v>
      </c>
      <c r="O45" s="427"/>
      <c r="P45" s="428">
        <f>Plant!I13</f>
        <v>1928351</v>
      </c>
      <c r="Q45" s="427"/>
      <c r="R45" s="428">
        <f t="shared" si="1"/>
        <v>72265823</v>
      </c>
    </row>
    <row r="46" spans="1:18" ht="15.75">
      <c r="A46" s="4">
        <v>9</v>
      </c>
      <c r="B46" s="296" t="s">
        <v>192</v>
      </c>
      <c r="C46" s="425">
        <f t="shared" si="8"/>
        <v>2019</v>
      </c>
      <c r="D46" s="428">
        <f t="shared" si="2"/>
        <v>28678643</v>
      </c>
      <c r="E46" s="428">
        <v>0</v>
      </c>
      <c r="F46" s="429">
        <f t="shared" si="3"/>
        <v>28678643</v>
      </c>
      <c r="G46" s="427"/>
      <c r="H46" s="428">
        <f t="shared" si="4"/>
        <v>41658829</v>
      </c>
      <c r="I46" s="428">
        <f>Plant!H14-Plant!H$6</f>
        <v>0</v>
      </c>
      <c r="J46" s="428">
        <f t="shared" si="5"/>
        <v>41658829</v>
      </c>
      <c r="K46" s="429">
        <f>Plant!H14</f>
        <v>24377166</v>
      </c>
      <c r="L46" s="429">
        <f t="shared" si="6"/>
        <v>17281663</v>
      </c>
      <c r="M46" s="427"/>
      <c r="N46" s="428">
        <f t="shared" si="7"/>
        <v>70337472</v>
      </c>
      <c r="O46" s="427"/>
      <c r="P46" s="428">
        <f>Plant!I14</f>
        <v>1928351</v>
      </c>
      <c r="Q46" s="427"/>
      <c r="R46" s="428">
        <f t="shared" si="1"/>
        <v>72265823</v>
      </c>
    </row>
    <row r="47" spans="1:18" ht="15.75">
      <c r="A47" s="4">
        <v>10</v>
      </c>
      <c r="B47" s="296" t="s">
        <v>193</v>
      </c>
      <c r="C47" s="425">
        <f t="shared" si="8"/>
        <v>2019</v>
      </c>
      <c r="D47" s="428">
        <f t="shared" si="2"/>
        <v>28678643</v>
      </c>
      <c r="E47" s="428">
        <v>0</v>
      </c>
      <c r="F47" s="429">
        <f t="shared" si="3"/>
        <v>28678643</v>
      </c>
      <c r="G47" s="427"/>
      <c r="H47" s="428">
        <f t="shared" si="4"/>
        <v>41658829</v>
      </c>
      <c r="I47" s="428">
        <f>Plant!H15-Plant!H$6</f>
        <v>0</v>
      </c>
      <c r="J47" s="428">
        <f t="shared" si="5"/>
        <v>41658829</v>
      </c>
      <c r="K47" s="429">
        <f>Plant!H15</f>
        <v>24377166</v>
      </c>
      <c r="L47" s="429">
        <f t="shared" si="6"/>
        <v>17281663</v>
      </c>
      <c r="M47" s="427"/>
      <c r="N47" s="428">
        <f t="shared" si="7"/>
        <v>70337472</v>
      </c>
      <c r="O47" s="427"/>
      <c r="P47" s="428">
        <f>Plant!I15</f>
        <v>1928351</v>
      </c>
      <c r="Q47" s="427"/>
      <c r="R47" s="428">
        <f t="shared" si="1"/>
        <v>72265823</v>
      </c>
    </row>
    <row r="48" spans="1:18" ht="15.75">
      <c r="A48" s="4">
        <v>11</v>
      </c>
      <c r="B48" s="296" t="s">
        <v>194</v>
      </c>
      <c r="C48" s="425">
        <f t="shared" si="8"/>
        <v>2019</v>
      </c>
      <c r="D48" s="428">
        <f t="shared" si="2"/>
        <v>28678643</v>
      </c>
      <c r="E48" s="428">
        <v>0</v>
      </c>
      <c r="F48" s="429">
        <f t="shared" si="3"/>
        <v>28678643</v>
      </c>
      <c r="G48" s="427"/>
      <c r="H48" s="428">
        <f t="shared" si="4"/>
        <v>41658829</v>
      </c>
      <c r="I48" s="428">
        <f>Plant!H16-Plant!H$6</f>
        <v>0</v>
      </c>
      <c r="J48" s="428">
        <f t="shared" si="5"/>
        <v>41658829</v>
      </c>
      <c r="K48" s="429">
        <f>Plant!H16</f>
        <v>24377166</v>
      </c>
      <c r="L48" s="429">
        <f t="shared" si="6"/>
        <v>17281663</v>
      </c>
      <c r="M48" s="427"/>
      <c r="N48" s="428">
        <f t="shared" si="7"/>
        <v>70337472</v>
      </c>
      <c r="O48" s="427"/>
      <c r="P48" s="428">
        <f>Plant!I16</f>
        <v>1928351</v>
      </c>
      <c r="Q48" s="427"/>
      <c r="R48" s="428">
        <f t="shared" si="1"/>
        <v>72265823</v>
      </c>
    </row>
    <row r="49" spans="1:26" ht="15.75">
      <c r="A49" s="4">
        <v>12</v>
      </c>
      <c r="B49" s="296" t="s">
        <v>195</v>
      </c>
      <c r="C49" s="425">
        <f t="shared" si="8"/>
        <v>2019</v>
      </c>
      <c r="D49" s="428">
        <f t="shared" si="2"/>
        <v>28678643</v>
      </c>
      <c r="E49" s="428">
        <v>0</v>
      </c>
      <c r="F49" s="429">
        <f t="shared" si="3"/>
        <v>28678643</v>
      </c>
      <c r="G49" s="427"/>
      <c r="H49" s="428">
        <f t="shared" si="4"/>
        <v>41658829</v>
      </c>
      <c r="I49" s="428">
        <f>Plant!H17-Plant!H$6</f>
        <v>0</v>
      </c>
      <c r="J49" s="428">
        <f t="shared" si="5"/>
        <v>41658829</v>
      </c>
      <c r="K49" s="429">
        <f>Plant!H17</f>
        <v>24377166</v>
      </c>
      <c r="L49" s="429">
        <f t="shared" si="6"/>
        <v>17281663</v>
      </c>
      <c r="M49" s="427"/>
      <c r="N49" s="428">
        <f t="shared" si="7"/>
        <v>70337472</v>
      </c>
      <c r="O49" s="427"/>
      <c r="P49" s="428">
        <f>Plant!I17</f>
        <v>1928351</v>
      </c>
      <c r="Q49" s="427"/>
      <c r="R49" s="428">
        <f t="shared" si="1"/>
        <v>72265823</v>
      </c>
    </row>
    <row r="50" spans="1:26" ht="18">
      <c r="A50" s="4">
        <v>13</v>
      </c>
      <c r="B50" s="296" t="s">
        <v>196</v>
      </c>
      <c r="C50" s="425">
        <f t="shared" si="8"/>
        <v>2019</v>
      </c>
      <c r="D50" s="428">
        <f t="shared" si="2"/>
        <v>28678643</v>
      </c>
      <c r="E50" s="428">
        <f>Plant!G18-Plant!G$6</f>
        <v>0</v>
      </c>
      <c r="F50" s="429">
        <f t="shared" si="3"/>
        <v>28678643</v>
      </c>
      <c r="G50" s="430"/>
      <c r="H50" s="428">
        <f t="shared" si="4"/>
        <v>41658829</v>
      </c>
      <c r="I50" s="428">
        <f>Plant!H18-Plant!H$6</f>
        <v>0</v>
      </c>
      <c r="J50" s="429">
        <f t="shared" si="5"/>
        <v>41658829</v>
      </c>
      <c r="K50" s="429">
        <f>Plant!H18</f>
        <v>24377166</v>
      </c>
      <c r="L50" s="429">
        <f t="shared" si="6"/>
        <v>17281663</v>
      </c>
      <c r="M50" s="431"/>
      <c r="N50" s="428">
        <f t="shared" si="7"/>
        <v>70337472</v>
      </c>
      <c r="O50" s="431"/>
      <c r="P50" s="428">
        <f>Plant!I18</f>
        <v>1928351</v>
      </c>
      <c r="Q50" s="431"/>
      <c r="R50" s="428">
        <f t="shared" si="1"/>
        <v>72265823</v>
      </c>
    </row>
    <row r="51" spans="1:26" ht="16.5" thickBot="1">
      <c r="A51" s="4">
        <v>14</v>
      </c>
      <c r="B51" s="7" t="s">
        <v>208</v>
      </c>
      <c r="C51" s="7"/>
      <c r="D51" s="7"/>
      <c r="E51" s="432"/>
      <c r="F51" s="433">
        <f>AVERAGE(F38:F50)</f>
        <v>28678643</v>
      </c>
      <c r="G51" s="432"/>
      <c r="H51" s="432"/>
      <c r="I51" s="432"/>
      <c r="J51" s="433">
        <f>AVERAGE(J38:J50)</f>
        <v>41658829</v>
      </c>
      <c r="K51" s="433">
        <f>AVERAGE(K38:K50)</f>
        <v>24377166</v>
      </c>
      <c r="L51" s="433">
        <f>AVERAGE(L38:L50)</f>
        <v>17281663</v>
      </c>
      <c r="M51" s="432"/>
      <c r="N51" s="433">
        <f>AVERAGE(N38:N50)</f>
        <v>70337472</v>
      </c>
      <c r="O51" s="432"/>
      <c r="P51" s="434"/>
      <c r="Q51" s="432"/>
      <c r="R51" s="433">
        <f>AVERAGE(R38:R50)</f>
        <v>72265823</v>
      </c>
      <c r="T51" s="263"/>
      <c r="U51" s="405" t="s">
        <v>433</v>
      </c>
    </row>
    <row r="52" spans="1:26" ht="15.75" thickTop="1">
      <c r="A52" s="241"/>
      <c r="B52" s="241"/>
      <c r="C52" s="241"/>
      <c r="D52" s="241"/>
      <c r="E52" s="241"/>
      <c r="F52" s="241"/>
      <c r="G52" s="241"/>
      <c r="H52" s="241"/>
      <c r="I52" s="241"/>
      <c r="J52" s="241"/>
      <c r="K52" s="241"/>
      <c r="L52" s="241"/>
      <c r="M52" s="241"/>
      <c r="N52" s="241"/>
      <c r="O52" s="241"/>
      <c r="P52" s="249"/>
      <c r="Q52" s="241"/>
      <c r="R52" s="241"/>
      <c r="U52" s="405" t="s">
        <v>431</v>
      </c>
      <c r="Z52" t="s">
        <v>455</v>
      </c>
    </row>
    <row r="53" spans="1:26">
      <c r="A53" s="241"/>
      <c r="B53" s="241"/>
      <c r="C53" s="241"/>
      <c r="D53" s="241"/>
      <c r="E53" s="241"/>
      <c r="F53" s="241"/>
      <c r="G53" s="241"/>
      <c r="H53" s="241"/>
      <c r="I53" s="241"/>
      <c r="J53" s="241"/>
      <c r="L53" s="241"/>
      <c r="M53" s="241"/>
      <c r="N53" s="241"/>
      <c r="O53" s="241"/>
      <c r="P53" s="241"/>
      <c r="Q53" s="241"/>
      <c r="R53" s="241"/>
    </row>
    <row r="54" spans="1:26" ht="15.75">
      <c r="A54" s="241"/>
      <c r="B54" s="435" t="s">
        <v>449</v>
      </c>
      <c r="C54" s="435"/>
      <c r="D54" s="435"/>
      <c r="E54" s="435"/>
      <c r="F54" s="435"/>
      <c r="G54" s="241"/>
      <c r="H54" s="241"/>
      <c r="I54" s="241"/>
      <c r="J54" s="241"/>
      <c r="K54" s="241"/>
      <c r="L54" s="241"/>
      <c r="M54" s="241"/>
      <c r="N54" s="241"/>
      <c r="O54" s="241"/>
      <c r="P54" s="241"/>
      <c r="Q54" s="241"/>
      <c r="R54" s="241"/>
      <c r="V54" t="s">
        <v>0</v>
      </c>
    </row>
    <row r="55" spans="1:26" ht="15.75">
      <c r="A55" s="241"/>
      <c r="B55" s="436" t="s">
        <v>452</v>
      </c>
      <c r="C55" s="435"/>
      <c r="D55" s="435"/>
      <c r="E55" s="241"/>
      <c r="F55" s="241"/>
      <c r="G55" s="241"/>
      <c r="H55" s="426">
        <f>Plant!H62</f>
        <v>1590071</v>
      </c>
      <c r="I55" s="241"/>
      <c r="J55" s="241"/>
      <c r="K55" s="241"/>
      <c r="L55" s="241"/>
      <c r="M55" s="241"/>
      <c r="N55" s="241"/>
      <c r="O55" s="241"/>
      <c r="P55" s="241"/>
      <c r="Q55" s="241"/>
      <c r="R55" s="241"/>
    </row>
    <row r="56" spans="1:26" ht="15.75">
      <c r="A56" s="241"/>
      <c r="B56" s="436" t="s">
        <v>453</v>
      </c>
      <c r="C56" s="435"/>
      <c r="D56" s="435"/>
      <c r="E56" s="241"/>
      <c r="F56" s="241"/>
      <c r="G56" s="241"/>
      <c r="H56" s="437">
        <f>Plant!H63</f>
        <v>338280</v>
      </c>
      <c r="I56" s="241"/>
      <c r="J56" s="241"/>
      <c r="K56" s="241"/>
      <c r="L56" s="241"/>
      <c r="M56" s="241"/>
      <c r="N56" s="241"/>
      <c r="O56" s="241"/>
      <c r="P56" s="241"/>
      <c r="Q56" s="241"/>
      <c r="R56" s="241"/>
    </row>
    <row r="57" spans="1:26" ht="15.75">
      <c r="A57" s="241"/>
      <c r="B57" s="435"/>
      <c r="C57" s="435"/>
      <c r="D57" s="435"/>
      <c r="E57" s="435"/>
      <c r="F57" s="241"/>
      <c r="G57" s="241"/>
      <c r="H57" s="426">
        <f>SUM(H55:H56)</f>
        <v>1928351</v>
      </c>
      <c r="I57" s="241"/>
      <c r="J57" s="241"/>
      <c r="K57" s="241"/>
      <c r="L57" s="241"/>
      <c r="M57" s="241"/>
      <c r="N57" s="241"/>
      <c r="O57" s="241"/>
      <c r="P57" s="241"/>
      <c r="Q57" s="241"/>
      <c r="R57" s="241"/>
    </row>
    <row r="58" spans="1:26">
      <c r="K58" s="469">
        <f>E50+K50-Plant!H18</f>
        <v>0</v>
      </c>
      <c r="R58" s="469">
        <f>R51-'Plant Sched 4'!G17</f>
        <v>0</v>
      </c>
    </row>
    <row r="62" spans="1:26" ht="18.75" customHeight="1"/>
    <row r="86" ht="19.5" customHeight="1"/>
  </sheetData>
  <mergeCells count="10">
    <mergeCell ref="A32:P32"/>
    <mergeCell ref="A34:P34"/>
    <mergeCell ref="D35:F35"/>
    <mergeCell ref="H35:L35"/>
    <mergeCell ref="A3:P3"/>
    <mergeCell ref="A4:P4"/>
    <mergeCell ref="A7:P7"/>
    <mergeCell ref="A9:P9"/>
    <mergeCell ref="A28:P28"/>
    <mergeCell ref="A29:P29"/>
  </mergeCells>
  <pageMargins left="0.45" right="0.45" top="0.75" bottom="0.5" header="0.3" footer="0.3"/>
  <pageSetup scale="72" fitToHeight="0" orientation="landscape" r:id="rId1"/>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76"/>
  <sheetViews>
    <sheetView topLeftCell="C34" workbookViewId="0">
      <selection activeCell="F15" sqref="F15"/>
    </sheetView>
  </sheetViews>
  <sheetFormatPr defaultColWidth="8.88671875" defaultRowHeight="12.75"/>
  <cols>
    <col min="1" max="1" width="5.21875" style="12" customWidth="1"/>
    <col min="2" max="2" width="30.88671875" style="12" customWidth="1"/>
    <col min="3" max="3" width="13" style="12" customWidth="1"/>
    <col min="4" max="4" width="5.21875" style="12" customWidth="1"/>
    <col min="5" max="5" width="30.88671875" style="12" customWidth="1"/>
    <col min="6" max="6" width="13" style="11" customWidth="1"/>
    <col min="7" max="16384" width="8.88671875" style="12"/>
  </cols>
  <sheetData>
    <row r="1" spans="1:6" s="11" customFormat="1" ht="15.75">
      <c r="A1" s="644" t="str">
        <f>Coversheet!B3</f>
        <v>Rochester Public Utilities</v>
      </c>
      <c r="B1" s="644"/>
      <c r="C1" s="644"/>
      <c r="D1" s="644"/>
      <c r="E1" s="644"/>
      <c r="F1" s="644"/>
    </row>
    <row r="2" spans="1:6" s="11" customFormat="1" ht="15">
      <c r="A2" s="645" t="s">
        <v>9</v>
      </c>
      <c r="B2" s="645"/>
      <c r="C2" s="645"/>
      <c r="D2" s="645"/>
      <c r="E2" s="645"/>
      <c r="F2" s="645"/>
    </row>
    <row r="3" spans="1:6" s="11" customFormat="1" ht="15">
      <c r="A3" s="645" t="s">
        <v>10</v>
      </c>
      <c r="B3" s="645"/>
      <c r="C3" s="645"/>
      <c r="D3" s="645"/>
      <c r="E3" s="645"/>
      <c r="F3" s="645"/>
    </row>
    <row r="4" spans="1:6" s="11" customFormat="1" ht="15.75">
      <c r="A4" s="646" t="str">
        <f>IF('True-up Interest'!$J$12&lt;0.5,CONCATENATE("FLTY Forecast for 12 Months Ended December 31, ",Coversheet!E41),CONCATENATE("True-up Actual for 12 Months Ended December 31, ",Coversheet!E41))</f>
        <v>FLTY Forecast for 12 Months Ended December 31, 2019</v>
      </c>
      <c r="B4" s="646"/>
      <c r="C4" s="646"/>
      <c r="D4" s="646"/>
      <c r="E4" s="646"/>
      <c r="F4" s="646"/>
    </row>
    <row r="6" spans="1:6" ht="15">
      <c r="A6" s="647" t="s">
        <v>11</v>
      </c>
      <c r="B6" s="647"/>
      <c r="C6" s="647"/>
      <c r="D6" s="647"/>
      <c r="E6" s="647"/>
      <c r="F6" s="647"/>
    </row>
    <row r="7" spans="1:6">
      <c r="A7" s="13" t="s">
        <v>1</v>
      </c>
      <c r="B7" s="14"/>
      <c r="C7" s="15" t="s">
        <v>12</v>
      </c>
      <c r="D7" s="15" t="s">
        <v>1</v>
      </c>
      <c r="E7" s="14"/>
      <c r="F7" s="109" t="s">
        <v>12</v>
      </c>
    </row>
    <row r="8" spans="1:6">
      <c r="A8" s="16" t="s">
        <v>2</v>
      </c>
      <c r="B8" s="17" t="s">
        <v>13</v>
      </c>
      <c r="C8" s="18" t="s">
        <v>14</v>
      </c>
      <c r="D8" s="18" t="s">
        <v>15</v>
      </c>
      <c r="E8" s="18" t="s">
        <v>16</v>
      </c>
      <c r="F8" s="114" t="s">
        <v>14</v>
      </c>
    </row>
    <row r="9" spans="1:6" ht="15">
      <c r="A9" s="19"/>
      <c r="B9" s="20" t="s">
        <v>17</v>
      </c>
      <c r="C9" s="21"/>
      <c r="D9" s="22"/>
      <c r="E9" s="23" t="s">
        <v>18</v>
      </c>
      <c r="F9" s="115"/>
    </row>
    <row r="10" spans="1:6" ht="15">
      <c r="A10" s="19">
        <v>1</v>
      </c>
      <c r="B10" s="24" t="s">
        <v>19</v>
      </c>
      <c r="C10" s="25"/>
      <c r="D10" s="26"/>
      <c r="E10" s="27"/>
      <c r="F10" s="116"/>
    </row>
    <row r="11" spans="1:6">
      <c r="A11" s="16"/>
      <c r="B11" s="28" t="s">
        <v>20</v>
      </c>
      <c r="C11" s="29">
        <f>ROUND('Plant Sched 4'!G25,0)</f>
        <v>458944753</v>
      </c>
      <c r="D11" s="30">
        <v>29</v>
      </c>
      <c r="E11" s="31" t="s">
        <v>21</v>
      </c>
      <c r="F11" s="29">
        <v>91229800</v>
      </c>
    </row>
    <row r="12" spans="1:6">
      <c r="A12" s="32">
        <v>2</v>
      </c>
      <c r="B12" s="33" t="s">
        <v>22</v>
      </c>
      <c r="C12" s="497">
        <f>ROUND('Plant Sched 4'!G27,0)</f>
        <v>15825829</v>
      </c>
      <c r="D12" s="34">
        <v>30</v>
      </c>
      <c r="E12" s="35" t="s">
        <v>23</v>
      </c>
      <c r="F12" s="117">
        <v>0</v>
      </c>
    </row>
    <row r="13" spans="1:6" ht="15">
      <c r="A13" s="19">
        <v>3</v>
      </c>
      <c r="B13" s="24" t="s">
        <v>24</v>
      </c>
      <c r="C13" s="25"/>
      <c r="D13" s="26"/>
      <c r="E13" s="27"/>
      <c r="F13" s="116"/>
    </row>
    <row r="14" spans="1:6" ht="15">
      <c r="A14" s="19"/>
      <c r="B14" s="36" t="s">
        <v>25</v>
      </c>
      <c r="C14" s="25"/>
      <c r="D14" s="26">
        <v>31</v>
      </c>
      <c r="E14" s="27" t="s">
        <v>26</v>
      </c>
      <c r="F14" s="116"/>
    </row>
    <row r="15" spans="1:6" ht="13.5" thickBot="1">
      <c r="A15" s="16"/>
      <c r="B15" s="28" t="s">
        <v>27</v>
      </c>
      <c r="C15" s="37">
        <v>227864756</v>
      </c>
      <c r="D15" s="30"/>
      <c r="E15" s="38" t="s">
        <v>28</v>
      </c>
      <c r="F15" s="37">
        <v>58414247</v>
      </c>
    </row>
    <row r="16" spans="1:6" ht="13.5" thickBot="1">
      <c r="A16" s="32">
        <v>4</v>
      </c>
      <c r="B16" s="39" t="s">
        <v>29</v>
      </c>
      <c r="C16" s="40">
        <f>+C11+C12-C15</f>
        <v>246905826</v>
      </c>
      <c r="D16" s="41">
        <v>32</v>
      </c>
      <c r="E16" s="42" t="s">
        <v>30</v>
      </c>
      <c r="F16" s="40">
        <f>+F15+F11+F12</f>
        <v>149644047</v>
      </c>
    </row>
    <row r="17" spans="1:6">
      <c r="A17" s="22">
        <v>5</v>
      </c>
      <c r="B17" s="27" t="s">
        <v>31</v>
      </c>
      <c r="C17" s="43">
        <v>0</v>
      </c>
      <c r="D17" s="26"/>
      <c r="E17" s="44" t="s">
        <v>32</v>
      </c>
      <c r="F17" s="116"/>
    </row>
    <row r="18" spans="1:6" ht="15">
      <c r="A18" s="26">
        <v>6</v>
      </c>
      <c r="B18" s="45" t="s">
        <v>24</v>
      </c>
      <c r="C18" s="25"/>
      <c r="D18" s="46"/>
      <c r="E18" s="27"/>
      <c r="F18" s="116"/>
    </row>
    <row r="19" spans="1:6" ht="15">
      <c r="A19" s="19"/>
      <c r="B19" s="36" t="s">
        <v>33</v>
      </c>
      <c r="C19" s="25"/>
      <c r="D19" s="26"/>
      <c r="E19" s="27"/>
      <c r="F19" s="116"/>
    </row>
    <row r="20" spans="1:6">
      <c r="A20" s="19"/>
      <c r="B20" s="36" t="s">
        <v>34</v>
      </c>
      <c r="C20" s="37">
        <v>0</v>
      </c>
      <c r="D20" s="30">
        <v>33</v>
      </c>
      <c r="E20" s="31" t="s">
        <v>35</v>
      </c>
      <c r="F20" s="125">
        <v>171180000</v>
      </c>
    </row>
    <row r="21" spans="1:6" ht="13.5" thickBot="1">
      <c r="A21" s="47">
        <v>7</v>
      </c>
      <c r="B21" s="48" t="s">
        <v>36</v>
      </c>
      <c r="C21" s="49"/>
      <c r="D21" s="46">
        <v>34</v>
      </c>
      <c r="E21" s="27" t="s">
        <v>37</v>
      </c>
      <c r="F21" s="116"/>
    </row>
    <row r="22" spans="1:6" ht="13.5" thickBot="1">
      <c r="A22" s="16"/>
      <c r="B22" s="50" t="s">
        <v>38</v>
      </c>
      <c r="C22" s="40">
        <f>+C16+C17-C20</f>
        <v>246905826</v>
      </c>
      <c r="D22" s="18"/>
      <c r="E22" s="38" t="s">
        <v>39</v>
      </c>
      <c r="F22" s="126">
        <v>0</v>
      </c>
    </row>
    <row r="23" spans="1:6" ht="15">
      <c r="A23" s="19"/>
      <c r="B23" s="51" t="s">
        <v>40</v>
      </c>
      <c r="C23" s="25"/>
      <c r="D23" s="26">
        <v>35</v>
      </c>
      <c r="E23" s="27" t="s">
        <v>41</v>
      </c>
      <c r="F23" s="116"/>
    </row>
    <row r="24" spans="1:6">
      <c r="A24" s="16">
        <v>8</v>
      </c>
      <c r="B24" s="52" t="s">
        <v>42</v>
      </c>
      <c r="C24" s="53">
        <v>5866332</v>
      </c>
      <c r="D24" s="30"/>
      <c r="E24" s="38" t="s">
        <v>43</v>
      </c>
      <c r="F24" s="53">
        <v>19056084</v>
      </c>
    </row>
    <row r="25" spans="1:6" ht="15">
      <c r="A25" s="19">
        <v>9</v>
      </c>
      <c r="B25" s="24" t="s">
        <v>24</v>
      </c>
      <c r="C25" s="54"/>
      <c r="D25" s="26">
        <v>36</v>
      </c>
      <c r="E25" s="27" t="s">
        <v>44</v>
      </c>
      <c r="F25" s="118"/>
    </row>
    <row r="26" spans="1:6">
      <c r="A26" s="16"/>
      <c r="B26" s="28" t="s">
        <v>45</v>
      </c>
      <c r="C26" s="53">
        <v>4098988</v>
      </c>
      <c r="D26" s="30"/>
      <c r="E26" s="38" t="s">
        <v>46</v>
      </c>
      <c r="F26" s="53">
        <v>76291</v>
      </c>
    </row>
    <row r="27" spans="1:6" ht="15.75" thickBot="1">
      <c r="A27" s="19">
        <v>10</v>
      </c>
      <c r="B27" s="24" t="s">
        <v>47</v>
      </c>
      <c r="C27" s="54"/>
      <c r="D27" s="26"/>
      <c r="E27" s="27"/>
      <c r="F27" s="118"/>
    </row>
    <row r="28" spans="1:6" ht="13.5" thickBot="1">
      <c r="A28" s="16"/>
      <c r="B28" s="28" t="s">
        <v>48</v>
      </c>
      <c r="C28" s="37">
        <v>0</v>
      </c>
      <c r="D28" s="30">
        <v>37</v>
      </c>
      <c r="E28" s="55" t="s">
        <v>49</v>
      </c>
      <c r="F28" s="56">
        <f>+F20+F22+F24-F26</f>
        <v>190159793</v>
      </c>
    </row>
    <row r="29" spans="1:6" ht="13.5" thickBot="1">
      <c r="A29" s="32">
        <v>11</v>
      </c>
      <c r="B29" s="33" t="s">
        <v>50</v>
      </c>
      <c r="C29" s="498">
        <v>28044400</v>
      </c>
      <c r="D29" s="30"/>
      <c r="E29" s="31"/>
      <c r="F29" s="119"/>
    </row>
    <row r="30" spans="1:6" ht="13.5" thickBot="1">
      <c r="A30" s="32">
        <v>12</v>
      </c>
      <c r="B30" s="57" t="s">
        <v>51</v>
      </c>
      <c r="C30" s="56">
        <f>+C24-C26+C28+C29</f>
        <v>29811744</v>
      </c>
      <c r="D30" s="18"/>
      <c r="E30" s="58" t="s">
        <v>52</v>
      </c>
      <c r="F30" s="119"/>
    </row>
    <row r="31" spans="1:6" ht="15">
      <c r="A31" s="19"/>
      <c r="B31" s="51" t="s">
        <v>53</v>
      </c>
      <c r="C31" s="54"/>
      <c r="D31" s="34">
        <v>38</v>
      </c>
      <c r="E31" s="35" t="s">
        <v>54</v>
      </c>
      <c r="F31" s="499">
        <v>16269628</v>
      </c>
    </row>
    <row r="32" spans="1:6" ht="15.75" thickBot="1">
      <c r="A32" s="19">
        <v>13</v>
      </c>
      <c r="B32" s="24" t="s">
        <v>55</v>
      </c>
      <c r="C32" s="54"/>
      <c r="D32" s="34">
        <v>39</v>
      </c>
      <c r="E32" s="35" t="s">
        <v>56</v>
      </c>
      <c r="F32" s="37">
        <v>0</v>
      </c>
    </row>
    <row r="33" spans="1:8" ht="13.5" thickBot="1">
      <c r="A33" s="16"/>
      <c r="B33" s="28" t="s">
        <v>57</v>
      </c>
      <c r="C33" s="53">
        <v>64440098</v>
      </c>
      <c r="D33" s="30">
        <v>40</v>
      </c>
      <c r="E33" s="55" t="s">
        <v>58</v>
      </c>
      <c r="F33" s="56">
        <f>SUM(F31:F32)</f>
        <v>16269628</v>
      </c>
    </row>
    <row r="34" spans="1:8" ht="15">
      <c r="A34" s="19">
        <v>14</v>
      </c>
      <c r="B34" s="24" t="s">
        <v>59</v>
      </c>
      <c r="C34" s="54"/>
      <c r="D34" s="26"/>
      <c r="E34" s="27"/>
      <c r="F34" s="118"/>
    </row>
    <row r="35" spans="1:8">
      <c r="A35" s="16"/>
      <c r="B35" s="28" t="s">
        <v>60</v>
      </c>
      <c r="C35" s="53"/>
      <c r="D35" s="30"/>
      <c r="E35" s="58" t="s">
        <v>61</v>
      </c>
      <c r="F35" s="119"/>
      <c r="H35" s="59"/>
    </row>
    <row r="36" spans="1:8">
      <c r="A36" s="32">
        <v>15</v>
      </c>
      <c r="B36" s="33" t="s">
        <v>62</v>
      </c>
      <c r="C36" s="499">
        <v>12472700</v>
      </c>
      <c r="D36" s="30">
        <v>41</v>
      </c>
      <c r="E36" s="31" t="s">
        <v>63</v>
      </c>
      <c r="F36" s="497">
        <v>0</v>
      </c>
      <c r="H36" s="59"/>
    </row>
    <row r="37" spans="1:8" ht="15">
      <c r="A37" s="19">
        <v>16</v>
      </c>
      <c r="B37" s="24" t="s">
        <v>24</v>
      </c>
      <c r="C37" s="54"/>
      <c r="D37" s="26"/>
      <c r="E37" s="27"/>
      <c r="F37" s="118"/>
      <c r="H37" s="59"/>
    </row>
    <row r="38" spans="1:8">
      <c r="A38" s="16"/>
      <c r="B38" s="28" t="s">
        <v>64</v>
      </c>
      <c r="C38" s="53">
        <v>220000</v>
      </c>
      <c r="D38" s="30">
        <v>42</v>
      </c>
      <c r="E38" s="31" t="s">
        <v>65</v>
      </c>
      <c r="F38" s="53">
        <v>12759100</v>
      </c>
    </row>
    <row r="39" spans="1:8" ht="15">
      <c r="A39" s="19">
        <v>17</v>
      </c>
      <c r="B39" s="24" t="s">
        <v>66</v>
      </c>
      <c r="C39" s="54"/>
      <c r="D39" s="26">
        <v>43</v>
      </c>
      <c r="E39" s="27" t="s">
        <v>67</v>
      </c>
      <c r="F39" s="118"/>
    </row>
    <row r="40" spans="1:8">
      <c r="A40" s="16"/>
      <c r="B40" s="28" t="s">
        <v>68</v>
      </c>
      <c r="C40" s="53">
        <v>150000</v>
      </c>
      <c r="D40" s="30"/>
      <c r="E40" s="38" t="s">
        <v>69</v>
      </c>
      <c r="F40" s="53">
        <v>2779400</v>
      </c>
    </row>
    <row r="41" spans="1:8">
      <c r="A41" s="32">
        <v>18</v>
      </c>
      <c r="B41" s="33" t="s">
        <v>70</v>
      </c>
      <c r="C41" s="499">
        <v>4698900</v>
      </c>
      <c r="D41" s="30">
        <v>44</v>
      </c>
      <c r="E41" s="31" t="s">
        <v>71</v>
      </c>
      <c r="F41" s="53">
        <v>858400</v>
      </c>
    </row>
    <row r="42" spans="1:8">
      <c r="A42" s="32">
        <v>19</v>
      </c>
      <c r="B42" s="33" t="s">
        <v>72</v>
      </c>
      <c r="C42" s="499">
        <v>0</v>
      </c>
      <c r="D42" s="30">
        <v>45</v>
      </c>
      <c r="E42" s="31" t="s">
        <v>73</v>
      </c>
      <c r="F42" s="53">
        <v>0</v>
      </c>
    </row>
    <row r="43" spans="1:8">
      <c r="A43" s="32">
        <v>20</v>
      </c>
      <c r="B43" s="33" t="s">
        <v>74</v>
      </c>
      <c r="C43" s="37">
        <v>967700</v>
      </c>
      <c r="D43" s="30">
        <v>46</v>
      </c>
      <c r="E43" s="31" t="s">
        <v>75</v>
      </c>
      <c r="F43" s="53">
        <v>0</v>
      </c>
    </row>
    <row r="44" spans="1:8" ht="13.5" thickBot="1">
      <c r="A44" s="34">
        <v>21</v>
      </c>
      <c r="B44" s="33" t="s">
        <v>76</v>
      </c>
      <c r="C44" s="499">
        <v>6216500</v>
      </c>
      <c r="D44" s="30">
        <v>47</v>
      </c>
      <c r="E44" s="31" t="s">
        <v>77</v>
      </c>
      <c r="F44" s="500">
        <v>3566400</v>
      </c>
    </row>
    <row r="45" spans="1:8" ht="13.5" thickBot="1">
      <c r="A45" s="34">
        <v>22</v>
      </c>
      <c r="B45" s="33" t="s">
        <v>78</v>
      </c>
      <c r="C45" s="37">
        <v>0</v>
      </c>
      <c r="D45" s="30">
        <v>48</v>
      </c>
      <c r="E45" s="55" t="s">
        <v>79</v>
      </c>
      <c r="F45" s="56">
        <f>+F44+F43+F42+F41+F40+F38+F36</f>
        <v>19963300</v>
      </c>
    </row>
    <row r="46" spans="1:8" ht="13.5" thickBot="1">
      <c r="A46" s="34">
        <v>23</v>
      </c>
      <c r="B46" s="57" t="s">
        <v>80</v>
      </c>
      <c r="C46" s="56">
        <f>+C33+C35+C36-C38+C40+C42+C43+C44+C45+C41</f>
        <v>88725898</v>
      </c>
      <c r="D46" s="18"/>
      <c r="E46" s="58" t="s">
        <v>81</v>
      </c>
      <c r="F46" s="119"/>
    </row>
    <row r="47" spans="1:8" ht="15">
      <c r="A47" s="24"/>
      <c r="B47" s="51" t="s">
        <v>82</v>
      </c>
      <c r="C47" s="54"/>
      <c r="D47" s="26">
        <v>49</v>
      </c>
      <c r="E47" s="27" t="s">
        <v>83</v>
      </c>
      <c r="F47" s="118"/>
    </row>
    <row r="48" spans="1:8">
      <c r="A48" s="30">
        <v>24</v>
      </c>
      <c r="B48" s="52" t="s">
        <v>84</v>
      </c>
      <c r="C48" s="125">
        <v>0</v>
      </c>
      <c r="D48" s="30"/>
      <c r="E48" s="60" t="s">
        <v>85</v>
      </c>
      <c r="F48" s="125">
        <v>0</v>
      </c>
    </row>
    <row r="49" spans="1:6" ht="15">
      <c r="A49" s="26">
        <v>25</v>
      </c>
      <c r="B49" s="24" t="s">
        <v>86</v>
      </c>
      <c r="C49" s="54"/>
      <c r="D49" s="26">
        <v>50</v>
      </c>
      <c r="E49" s="27" t="s">
        <v>87</v>
      </c>
      <c r="F49" s="118"/>
    </row>
    <row r="50" spans="1:6">
      <c r="A50" s="52"/>
      <c r="B50" s="28" t="s">
        <v>88</v>
      </c>
      <c r="C50" s="53">
        <v>12576700</v>
      </c>
      <c r="D50" s="30"/>
      <c r="E50" s="38" t="s">
        <v>89</v>
      </c>
      <c r="F50" s="53">
        <v>9881300</v>
      </c>
    </row>
    <row r="51" spans="1:6" ht="15">
      <c r="A51" s="26">
        <v>26</v>
      </c>
      <c r="B51" s="24" t="s">
        <v>90</v>
      </c>
      <c r="C51" s="54"/>
      <c r="D51" s="26"/>
      <c r="E51" s="27"/>
      <c r="F51" s="118"/>
    </row>
    <row r="52" spans="1:6" ht="15">
      <c r="A52" s="19"/>
      <c r="B52" s="36" t="s">
        <v>91</v>
      </c>
      <c r="C52" s="54"/>
      <c r="D52" s="26">
        <v>51</v>
      </c>
      <c r="E52" s="27" t="s">
        <v>92</v>
      </c>
      <c r="F52" s="118"/>
    </row>
    <row r="53" spans="1:6" ht="13.5" thickBot="1">
      <c r="A53" s="16"/>
      <c r="B53" s="28" t="s">
        <v>93</v>
      </c>
      <c r="C53" s="501">
        <v>7897900</v>
      </c>
      <c r="D53" s="30"/>
      <c r="E53" s="60" t="s">
        <v>94</v>
      </c>
      <c r="F53" s="502">
        <v>0</v>
      </c>
    </row>
    <row r="54" spans="1:6" ht="13.5" thickBot="1">
      <c r="A54" s="32">
        <v>27</v>
      </c>
      <c r="B54" s="57" t="s">
        <v>95</v>
      </c>
      <c r="C54" s="56">
        <f>C48+C50+C53</f>
        <v>20474600</v>
      </c>
      <c r="D54" s="18">
        <v>52</v>
      </c>
      <c r="E54" s="55" t="s">
        <v>96</v>
      </c>
      <c r="F54" s="56">
        <f>+F53+F50+F48</f>
        <v>9881300</v>
      </c>
    </row>
    <row r="55" spans="1:6" ht="13.5" thickBot="1">
      <c r="A55" s="19"/>
      <c r="B55" s="61"/>
      <c r="C55" s="62"/>
      <c r="D55" s="26"/>
      <c r="E55" s="27"/>
      <c r="F55" s="118"/>
    </row>
    <row r="56" spans="1:6" ht="13.5" thickBot="1">
      <c r="A56" s="63">
        <v>28</v>
      </c>
      <c r="B56" s="64" t="s">
        <v>97</v>
      </c>
      <c r="C56" s="65">
        <f>+C54+C46+C21+C22+C30</f>
        <v>385918068</v>
      </c>
      <c r="D56" s="66">
        <v>53</v>
      </c>
      <c r="E56" s="67" t="s">
        <v>98</v>
      </c>
      <c r="F56" s="65">
        <f>+F54+F45+F28+F16+F33</f>
        <v>385918068</v>
      </c>
    </row>
    <row r="57" spans="1:6" ht="15">
      <c r="A57" s="68"/>
      <c r="B57" s="68"/>
      <c r="C57" s="69"/>
      <c r="D57" s="70"/>
      <c r="E57" s="70"/>
      <c r="F57" s="120"/>
    </row>
    <row r="58" spans="1:6" ht="15">
      <c r="A58" s="68"/>
      <c r="B58" s="70"/>
      <c r="C58" s="69"/>
      <c r="D58" s="70"/>
      <c r="E58" s="70"/>
      <c r="F58" s="472">
        <f>ROUND(+C56-F56,0)</f>
        <v>0</v>
      </c>
    </row>
    <row r="59" spans="1:6">
      <c r="A59" s="68"/>
      <c r="B59" s="216" t="s">
        <v>383</v>
      </c>
      <c r="C59" s="71"/>
      <c r="D59" s="70"/>
      <c r="E59" s="70"/>
      <c r="F59" s="121"/>
    </row>
    <row r="60" spans="1:6">
      <c r="A60" s="68"/>
      <c r="B60" s="216" t="s">
        <v>384</v>
      </c>
      <c r="C60" s="72"/>
      <c r="D60" s="68"/>
      <c r="E60" s="68"/>
      <c r="F60" s="122"/>
    </row>
    <row r="61" spans="1:6">
      <c r="A61" s="68"/>
      <c r="B61" s="68"/>
      <c r="C61" s="72"/>
      <c r="D61" s="68"/>
      <c r="E61" s="68"/>
      <c r="F61" s="122"/>
    </row>
    <row r="62" spans="1:6">
      <c r="A62" s="68"/>
      <c r="B62" s="68"/>
      <c r="C62" s="72"/>
      <c r="D62" s="68"/>
      <c r="E62" s="68"/>
      <c r="F62" s="123"/>
    </row>
    <row r="63" spans="1:6">
      <c r="A63" s="68"/>
      <c r="B63" s="68"/>
      <c r="C63" s="72"/>
      <c r="D63" s="68"/>
      <c r="E63" s="68"/>
      <c r="F63" s="123"/>
    </row>
    <row r="64" spans="1:6">
      <c r="A64" s="68"/>
      <c r="B64" s="68"/>
      <c r="C64" s="72"/>
      <c r="D64" s="68"/>
      <c r="E64" s="68"/>
      <c r="F64" s="107"/>
    </row>
    <row r="65" spans="1:6">
      <c r="A65" s="68"/>
      <c r="B65" s="68"/>
      <c r="C65" s="72"/>
      <c r="D65" s="68"/>
      <c r="E65" s="68"/>
      <c r="F65" s="124"/>
    </row>
    <row r="66" spans="1:6">
      <c r="A66" s="68"/>
      <c r="B66" s="68"/>
      <c r="C66" s="72"/>
      <c r="D66" s="68"/>
      <c r="E66" s="68"/>
      <c r="F66" s="107"/>
    </row>
    <row r="67" spans="1:6">
      <c r="A67" s="68"/>
      <c r="B67" s="68"/>
      <c r="C67" s="72"/>
      <c r="D67" s="68"/>
      <c r="E67" s="68"/>
      <c r="F67" s="107"/>
    </row>
    <row r="68" spans="1:6">
      <c r="A68" s="68"/>
      <c r="B68" s="68"/>
      <c r="C68" s="72"/>
      <c r="D68" s="68"/>
      <c r="E68" s="68"/>
      <c r="F68" s="107"/>
    </row>
    <row r="69" spans="1:6">
      <c r="A69" s="68"/>
      <c r="B69" s="68"/>
      <c r="C69" s="68"/>
      <c r="D69" s="68"/>
      <c r="E69" s="68"/>
      <c r="F69" s="107"/>
    </row>
    <row r="70" spans="1:6">
      <c r="A70" s="68"/>
      <c r="B70" s="68"/>
      <c r="C70" s="68"/>
      <c r="D70" s="68"/>
      <c r="E70" s="68"/>
      <c r="F70" s="107"/>
    </row>
    <row r="71" spans="1:6">
      <c r="A71" s="68"/>
      <c r="B71" s="68"/>
      <c r="C71" s="68"/>
      <c r="D71" s="68"/>
      <c r="E71" s="68"/>
      <c r="F71" s="107"/>
    </row>
    <row r="72" spans="1:6">
      <c r="A72" s="68"/>
      <c r="B72" s="68"/>
      <c r="C72" s="68"/>
      <c r="D72" s="68"/>
      <c r="E72" s="68"/>
      <c r="F72" s="107"/>
    </row>
    <row r="73" spans="1:6">
      <c r="A73" s="68"/>
      <c r="B73" s="68"/>
      <c r="C73" s="68"/>
      <c r="D73" s="68"/>
      <c r="E73" s="68"/>
      <c r="F73" s="107"/>
    </row>
    <row r="74" spans="1:6">
      <c r="A74" s="68"/>
      <c r="B74" s="68"/>
      <c r="C74" s="68"/>
      <c r="D74" s="68"/>
      <c r="E74" s="68"/>
      <c r="F74" s="107"/>
    </row>
    <row r="75" spans="1:6">
      <c r="A75" s="68"/>
      <c r="B75" s="68"/>
      <c r="C75" s="68"/>
      <c r="D75" s="68"/>
      <c r="E75" s="68"/>
      <c r="F75" s="107"/>
    </row>
    <row r="76" spans="1:6">
      <c r="A76" s="68"/>
      <c r="B76" s="68"/>
      <c r="C76" s="68"/>
      <c r="D76" s="68"/>
      <c r="E76" s="68"/>
      <c r="F76" s="107"/>
    </row>
  </sheetData>
  <mergeCells count="5">
    <mergeCell ref="A1:F1"/>
    <mergeCell ref="A2:F2"/>
    <mergeCell ref="A3:F3"/>
    <mergeCell ref="A4:F4"/>
    <mergeCell ref="A6:F6"/>
  </mergeCells>
  <pageMargins left="0.5" right="0.2" top="0.75" bottom="0.5" header="0.5" footer="0.5"/>
  <pageSetup scale="84" orientation="portrait" r:id="rId1"/>
  <headerFooter alignWithMargins="0">
    <oddHeader>&amp;L&amp;"Arial MT,Bold"Rochester Public Utilities
2019 Work Papers&amp;R&amp;"Arial MT,Bold"Exhibit RPU-8
Page 1 of 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7"/>
  <sheetViews>
    <sheetView topLeftCell="A7" workbookViewId="0">
      <selection activeCell="C25" sqref="C25"/>
    </sheetView>
  </sheetViews>
  <sheetFormatPr defaultColWidth="8.88671875" defaultRowHeight="12.75"/>
  <cols>
    <col min="1" max="1" width="5.21875" style="12" customWidth="1"/>
    <col min="2" max="2" width="60" style="12" customWidth="1"/>
    <col min="3" max="3" width="13" style="12" customWidth="1"/>
    <col min="4" max="4" width="10.44140625" style="12" customWidth="1"/>
    <col min="5" max="5" width="16.88671875" style="12" customWidth="1"/>
    <col min="6" max="6" width="10.77734375" style="12" bestFit="1" customWidth="1"/>
    <col min="7" max="7" width="3.6640625" style="12" customWidth="1"/>
    <col min="8" max="8" width="10.77734375" style="12" bestFit="1" customWidth="1"/>
    <col min="9" max="9" width="9" style="12" bestFit="1" customWidth="1"/>
    <col min="10" max="16384" width="8.88671875" style="12"/>
  </cols>
  <sheetData>
    <row r="1" spans="1:9" s="11" customFormat="1" ht="15.75">
      <c r="A1" s="644" t="str">
        <f>Coversheet!B3</f>
        <v>Rochester Public Utilities</v>
      </c>
      <c r="B1" s="644"/>
      <c r="C1" s="644"/>
      <c r="D1" s="73"/>
      <c r="E1" s="73"/>
      <c r="F1" s="73"/>
    </row>
    <row r="2" spans="1:9" s="11" customFormat="1" ht="15">
      <c r="A2" s="645" t="s">
        <v>9</v>
      </c>
      <c r="B2" s="645"/>
      <c r="C2" s="645"/>
      <c r="D2" s="73"/>
      <c r="E2" s="73"/>
      <c r="F2" s="73"/>
    </row>
    <row r="3" spans="1:9" s="11" customFormat="1" ht="15">
      <c r="A3" s="645" t="s">
        <v>99</v>
      </c>
      <c r="B3" s="645"/>
      <c r="C3" s="645"/>
      <c r="D3" s="73"/>
      <c r="E3" s="73"/>
      <c r="F3" s="73"/>
    </row>
    <row r="4" spans="1:9" s="11" customFormat="1" ht="15.75">
      <c r="A4" s="646" t="str">
        <f>'Balance sheet Sched 2'!A4:F4</f>
        <v>FLTY Forecast for 12 Months Ended December 31, 2019</v>
      </c>
      <c r="B4" s="646"/>
      <c r="C4" s="646"/>
      <c r="D4" s="74"/>
      <c r="E4" s="74"/>
      <c r="F4" s="74"/>
    </row>
    <row r="5" spans="1:9" s="11" customFormat="1" ht="15">
      <c r="A5" s="75"/>
      <c r="B5" s="75"/>
      <c r="C5" s="75"/>
      <c r="D5" s="171"/>
      <c r="E5" s="171"/>
      <c r="F5" s="75"/>
    </row>
    <row r="6" spans="1:9" ht="15">
      <c r="A6" s="648" t="s">
        <v>100</v>
      </c>
      <c r="B6" s="648"/>
      <c r="C6" s="648"/>
      <c r="D6" s="170"/>
      <c r="E6" s="170"/>
      <c r="F6" s="76"/>
    </row>
    <row r="7" spans="1:9" ht="15">
      <c r="A7" s="22" t="s">
        <v>1</v>
      </c>
      <c r="B7" s="77"/>
      <c r="C7" s="78" t="s">
        <v>3</v>
      </c>
      <c r="D7" s="172"/>
      <c r="E7" s="172"/>
    </row>
    <row r="8" spans="1:9" ht="15">
      <c r="A8" s="30" t="s">
        <v>2</v>
      </c>
      <c r="B8" s="79"/>
      <c r="C8" s="18" t="s">
        <v>14</v>
      </c>
      <c r="D8" s="172"/>
      <c r="E8" s="172"/>
    </row>
    <row r="9" spans="1:9" ht="15">
      <c r="A9" s="30">
        <v>1</v>
      </c>
      <c r="B9" s="79" t="s">
        <v>101</v>
      </c>
      <c r="C9" s="503">
        <v>165004420</v>
      </c>
      <c r="D9" s="172"/>
      <c r="E9" s="172"/>
    </row>
    <row r="10" spans="1:9" ht="15.75" customHeight="1">
      <c r="A10" s="30">
        <v>2</v>
      </c>
      <c r="B10" s="79" t="s">
        <v>102</v>
      </c>
      <c r="C10" s="80">
        <f>'Op &amp; Maint Sched 7'!D41</f>
        <v>117809800</v>
      </c>
      <c r="D10" s="172"/>
      <c r="E10" s="172"/>
    </row>
    <row r="11" spans="1:9" ht="15">
      <c r="A11" s="30">
        <v>3</v>
      </c>
      <c r="B11" s="79" t="s">
        <v>103</v>
      </c>
      <c r="C11" s="80">
        <f>'Op &amp; Maint Sched 7'!E41</f>
        <v>6351200</v>
      </c>
      <c r="D11" s="172"/>
      <c r="E11" s="172"/>
      <c r="F11" s="142"/>
      <c r="G11" s="142"/>
      <c r="H11" s="142"/>
      <c r="I11" s="142"/>
    </row>
    <row r="12" spans="1:9" ht="15">
      <c r="A12" s="34">
        <v>4</v>
      </c>
      <c r="B12" s="81" t="s">
        <v>104</v>
      </c>
      <c r="C12" s="80">
        <v>12390738</v>
      </c>
      <c r="D12" s="172"/>
      <c r="E12" s="231"/>
      <c r="F12" s="142"/>
      <c r="G12" s="142"/>
      <c r="H12" s="142"/>
      <c r="I12" s="142"/>
    </row>
    <row r="13" spans="1:9" ht="15">
      <c r="A13" s="30">
        <v>5</v>
      </c>
      <c r="B13" s="79" t="s">
        <v>105</v>
      </c>
      <c r="C13" s="80">
        <f>512600+425050</f>
        <v>937650</v>
      </c>
      <c r="D13" s="172"/>
      <c r="E13" s="172"/>
      <c r="F13" s="142"/>
      <c r="G13" s="142"/>
      <c r="H13" s="142"/>
      <c r="I13" s="142"/>
    </row>
    <row r="14" spans="1:9" ht="15.75" thickBot="1">
      <c r="A14" s="26">
        <v>6</v>
      </c>
      <c r="B14" s="82" t="s">
        <v>106</v>
      </c>
      <c r="C14" s="80">
        <v>9849000</v>
      </c>
      <c r="D14" s="172"/>
      <c r="E14" s="172"/>
      <c r="F14" s="142"/>
      <c r="G14" s="142"/>
      <c r="H14" s="142"/>
      <c r="I14" s="142"/>
    </row>
    <row r="15" spans="1:9" ht="15.75" thickBot="1">
      <c r="A15" s="84">
        <v>7</v>
      </c>
      <c r="B15" s="85" t="s">
        <v>107</v>
      </c>
      <c r="C15" s="86">
        <f>SUM(C10:C14)</f>
        <v>147338388</v>
      </c>
      <c r="D15" s="172"/>
      <c r="E15" s="172"/>
      <c r="F15" s="142"/>
      <c r="G15" s="142"/>
      <c r="H15" s="142"/>
      <c r="I15" s="142"/>
    </row>
    <row r="16" spans="1:9" ht="15.75" thickBot="1">
      <c r="A16" s="84">
        <v>8</v>
      </c>
      <c r="B16" s="87" t="s">
        <v>108</v>
      </c>
      <c r="C16" s="86">
        <f>+C9-C15</f>
        <v>17666032</v>
      </c>
      <c r="D16" s="172"/>
      <c r="E16" s="172"/>
      <c r="F16" s="142"/>
      <c r="G16" s="142"/>
      <c r="H16" s="142"/>
      <c r="I16" s="142"/>
    </row>
    <row r="17" spans="1:5" ht="15.75" thickBot="1">
      <c r="A17" s="26">
        <v>9</v>
      </c>
      <c r="B17" s="82" t="s">
        <v>109</v>
      </c>
      <c r="C17" s="83">
        <v>0</v>
      </c>
      <c r="D17" s="172"/>
      <c r="E17" s="172"/>
    </row>
    <row r="18" spans="1:5" ht="15.75" thickBot="1">
      <c r="A18" s="88">
        <v>10</v>
      </c>
      <c r="B18" s="89" t="s">
        <v>110</v>
      </c>
      <c r="C18" s="86">
        <f>+C17+C16</f>
        <v>17666032</v>
      </c>
      <c r="D18" s="172"/>
      <c r="E18" s="172"/>
    </row>
    <row r="19" spans="1:5" ht="15">
      <c r="A19" s="30">
        <v>11</v>
      </c>
      <c r="B19" s="79" t="s">
        <v>111</v>
      </c>
      <c r="C19" s="80">
        <v>1172204</v>
      </c>
      <c r="D19" s="172"/>
      <c r="E19" s="172"/>
    </row>
    <row r="20" spans="1:5" ht="15">
      <c r="A20" s="30">
        <v>12</v>
      </c>
      <c r="B20" s="79" t="s">
        <v>112</v>
      </c>
      <c r="C20" s="80">
        <v>795400</v>
      </c>
      <c r="D20" s="172"/>
      <c r="E20" s="172"/>
    </row>
    <row r="21" spans="1:5" ht="15">
      <c r="A21" s="30">
        <v>13</v>
      </c>
      <c r="B21" s="79" t="s">
        <v>113</v>
      </c>
      <c r="C21" s="80"/>
      <c r="D21" s="172"/>
      <c r="E21" s="172"/>
    </row>
    <row r="22" spans="1:5" ht="15.75" thickBot="1">
      <c r="A22" s="26">
        <v>14</v>
      </c>
      <c r="B22" s="82" t="s">
        <v>114</v>
      </c>
      <c r="C22" s="83">
        <v>0</v>
      </c>
      <c r="D22" s="172"/>
      <c r="E22" s="172"/>
    </row>
    <row r="23" spans="1:5" ht="15.75" thickBot="1">
      <c r="A23" s="84">
        <v>15</v>
      </c>
      <c r="B23" s="85" t="s">
        <v>115</v>
      </c>
      <c r="C23" s="86">
        <f>+C18+C19-C20-C21-C22</f>
        <v>18042836</v>
      </c>
      <c r="D23" s="172"/>
      <c r="E23" s="172"/>
    </row>
    <row r="24" spans="1:5" ht="15">
      <c r="A24" s="30">
        <v>16</v>
      </c>
      <c r="B24" s="79" t="s">
        <v>116</v>
      </c>
      <c r="C24" s="80">
        <v>8600000</v>
      </c>
      <c r="D24" s="172"/>
      <c r="E24" s="172"/>
    </row>
    <row r="25" spans="1:5" ht="15">
      <c r="A25" s="30">
        <v>17</v>
      </c>
      <c r="B25" s="79" t="s">
        <v>117</v>
      </c>
      <c r="C25" s="80">
        <v>-357298</v>
      </c>
      <c r="D25" s="172"/>
      <c r="E25" s="172"/>
    </row>
    <row r="26" spans="1:5" ht="15.75" thickBot="1">
      <c r="A26" s="26">
        <v>18</v>
      </c>
      <c r="B26" s="82" t="s">
        <v>118</v>
      </c>
      <c r="C26" s="80">
        <v>-1137800</v>
      </c>
      <c r="D26" s="172"/>
      <c r="E26" s="172"/>
    </row>
    <row r="27" spans="1:5" ht="15.75" thickBot="1">
      <c r="A27" s="84">
        <v>19</v>
      </c>
      <c r="B27" s="85" t="s">
        <v>119</v>
      </c>
      <c r="C27" s="86">
        <f>SUM(C24:C26)</f>
        <v>7104902</v>
      </c>
      <c r="D27" s="172"/>
      <c r="E27" s="172"/>
    </row>
    <row r="28" spans="1:5" ht="15.75" thickBot="1">
      <c r="A28" s="84">
        <v>20</v>
      </c>
      <c r="B28" s="85" t="s">
        <v>120</v>
      </c>
      <c r="C28" s="86">
        <f>+C23-C27</f>
        <v>10937934</v>
      </c>
      <c r="D28" s="172"/>
      <c r="E28" s="172"/>
    </row>
    <row r="29" spans="1:5" ht="15">
      <c r="A29" s="30">
        <v>21</v>
      </c>
      <c r="B29" s="79" t="s">
        <v>121</v>
      </c>
      <c r="C29" s="80"/>
      <c r="D29" s="172"/>
      <c r="E29" s="173"/>
    </row>
    <row r="30" spans="1:5" ht="15.75" thickBot="1">
      <c r="A30" s="26">
        <v>22</v>
      </c>
      <c r="B30" s="82" t="s">
        <v>122</v>
      </c>
      <c r="C30" s="80">
        <v>0</v>
      </c>
      <c r="D30" s="172"/>
      <c r="E30" s="172"/>
    </row>
    <row r="31" spans="1:5" ht="15.75" thickBot="1">
      <c r="A31" s="84">
        <v>23</v>
      </c>
      <c r="B31" s="87" t="s">
        <v>123</v>
      </c>
      <c r="C31" s="90">
        <f>SUM(C28:C30)</f>
        <v>10937934</v>
      </c>
      <c r="D31" s="172"/>
      <c r="E31" s="172"/>
    </row>
    <row r="32" spans="1:5" ht="15">
      <c r="A32" s="68"/>
      <c r="B32" s="68"/>
      <c r="D32" s="471"/>
      <c r="E32" s="172"/>
    </row>
    <row r="33" spans="1:5" ht="15">
      <c r="A33" s="216" t="s">
        <v>385</v>
      </c>
      <c r="B33" s="174"/>
      <c r="C33" s="175"/>
      <c r="D33" s="174"/>
      <c r="E33" s="172"/>
    </row>
    <row r="34" spans="1:5">
      <c r="A34" s="216" t="s">
        <v>386</v>
      </c>
      <c r="C34" s="72"/>
      <c r="D34" s="68"/>
    </row>
    <row r="35" spans="1:5">
      <c r="A35" s="68"/>
      <c r="C35" s="72"/>
      <c r="D35" s="68"/>
    </row>
    <row r="36" spans="1:5">
      <c r="A36" s="68"/>
      <c r="B36" s="68"/>
      <c r="C36" s="72"/>
      <c r="D36" s="68"/>
    </row>
    <row r="37" spans="1:5">
      <c r="A37" s="68"/>
      <c r="B37" s="68"/>
      <c r="C37" s="72"/>
      <c r="D37" s="68"/>
    </row>
    <row r="38" spans="1:5">
      <c r="C38" s="91"/>
    </row>
    <row r="39" spans="1:5">
      <c r="C39" s="91"/>
    </row>
    <row r="40" spans="1:5">
      <c r="C40" s="91"/>
    </row>
    <row r="41" spans="1:5">
      <c r="C41" s="91"/>
    </row>
    <row r="42" spans="1:5">
      <c r="C42" s="91"/>
    </row>
    <row r="43" spans="1:5">
      <c r="C43" s="91"/>
    </row>
    <row r="44" spans="1:5">
      <c r="C44" s="91"/>
    </row>
    <row r="45" spans="1:5">
      <c r="C45" s="91"/>
    </row>
    <row r="46" spans="1:5">
      <c r="C46" s="91"/>
    </row>
    <row r="47" spans="1:5">
      <c r="C47" s="91"/>
    </row>
  </sheetData>
  <mergeCells count="5">
    <mergeCell ref="A1:C1"/>
    <mergeCell ref="A2:C2"/>
    <mergeCell ref="A3:C3"/>
    <mergeCell ref="A4:C4"/>
    <mergeCell ref="A6:C6"/>
  </mergeCells>
  <pageMargins left="0.25" right="0.25" top="0.75" bottom="0.5" header="0.5" footer="0.5"/>
  <pageSetup scale="96" orientation="portrait" r:id="rId1"/>
  <headerFooter alignWithMargins="0">
    <oddHeader>&amp;L&amp;"Arial MT,Bold"Rochester Public Utilities
2019 Work Papers&amp;R&amp;"Arial MT,Bold"Exhibit RPU-8
Page 2 of 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4"/>
  <sheetViews>
    <sheetView topLeftCell="C1" workbookViewId="0">
      <selection activeCell="B10" sqref="B10"/>
    </sheetView>
  </sheetViews>
  <sheetFormatPr defaultColWidth="8.88671875" defaultRowHeight="12.75"/>
  <cols>
    <col min="1" max="1" width="5.21875" style="144" customWidth="1"/>
    <col min="2" max="2" width="24.77734375" style="144" customWidth="1"/>
    <col min="3" max="3" width="12.21875" style="144" customWidth="1"/>
    <col min="4" max="4" width="6.6640625" style="144" bestFit="1" customWidth="1"/>
    <col min="5" max="5" width="8" style="144" bestFit="1" customWidth="1"/>
    <col min="6" max="6" width="9.33203125" style="144" bestFit="1" customWidth="1"/>
    <col min="7" max="7" width="10.109375" style="144" bestFit="1" customWidth="1"/>
    <col min="8" max="8" width="0.77734375" style="144" customWidth="1"/>
    <col min="9" max="9" width="10.109375" style="144" bestFit="1" customWidth="1"/>
    <col min="10" max="10" width="0.77734375" style="144" customWidth="1"/>
    <col min="11" max="11" width="12.109375" style="144" bestFit="1" customWidth="1"/>
    <col min="12" max="12" width="0.77734375" style="144" customWidth="1"/>
    <col min="13" max="13" width="11.6640625" style="144" bestFit="1" customWidth="1"/>
    <col min="14" max="14" width="10.33203125" style="144" bestFit="1" customWidth="1"/>
    <col min="15" max="16" width="11.5546875" style="144" bestFit="1" customWidth="1"/>
    <col min="17" max="17" width="10.77734375" style="144" bestFit="1" customWidth="1"/>
    <col min="18" max="16384" width="8.88671875" style="144"/>
  </cols>
  <sheetData>
    <row r="1" spans="1:12" ht="15.75">
      <c r="A1" s="650" t="str">
        <f>Coversheet!B3</f>
        <v>Rochester Public Utilities</v>
      </c>
      <c r="B1" s="650"/>
      <c r="C1" s="650"/>
      <c r="D1" s="650"/>
      <c r="E1" s="650"/>
      <c r="F1" s="650"/>
      <c r="G1" s="650"/>
      <c r="H1" s="650"/>
      <c r="I1" s="650"/>
      <c r="J1" s="650"/>
      <c r="K1" s="650"/>
    </row>
    <row r="2" spans="1:12" ht="15.75">
      <c r="A2" s="651" t="s">
        <v>9</v>
      </c>
      <c r="B2" s="651"/>
      <c r="C2" s="651"/>
      <c r="D2" s="651"/>
      <c r="E2" s="651"/>
      <c r="F2" s="651"/>
      <c r="G2" s="651"/>
      <c r="H2" s="651"/>
      <c r="I2" s="651"/>
      <c r="J2" s="651"/>
      <c r="K2" s="651"/>
    </row>
    <row r="3" spans="1:12" ht="15.75">
      <c r="A3" s="651" t="s">
        <v>124</v>
      </c>
      <c r="B3" s="651"/>
      <c r="C3" s="651"/>
      <c r="D3" s="651"/>
      <c r="E3" s="651"/>
      <c r="F3" s="651"/>
      <c r="G3" s="651"/>
      <c r="H3" s="651"/>
      <c r="I3" s="651"/>
      <c r="J3" s="651"/>
      <c r="K3" s="651"/>
    </row>
    <row r="4" spans="1:12" ht="15.75">
      <c r="A4" s="652" t="str">
        <f>'Income Sched 3'!A4:C4</f>
        <v>FLTY Forecast for 12 Months Ended December 31, 2019</v>
      </c>
      <c r="B4" s="652"/>
      <c r="C4" s="652"/>
      <c r="D4" s="652"/>
      <c r="E4" s="652"/>
      <c r="F4" s="652"/>
      <c r="G4" s="652"/>
      <c r="H4" s="652"/>
      <c r="I4" s="652"/>
      <c r="J4" s="652"/>
      <c r="K4" s="652"/>
    </row>
    <row r="5" spans="1:12">
      <c r="A5" s="145"/>
      <c r="B5" s="145"/>
      <c r="C5" s="145"/>
    </row>
    <row r="6" spans="1:12" ht="15">
      <c r="A6" s="649" t="s">
        <v>17</v>
      </c>
      <c r="B6" s="649"/>
      <c r="C6" s="649"/>
      <c r="D6" s="649"/>
      <c r="E6" s="649"/>
      <c r="F6" s="649"/>
      <c r="G6" s="649"/>
    </row>
    <row r="7" spans="1:12">
      <c r="A7" s="146" t="s">
        <v>1</v>
      </c>
      <c r="B7" s="147"/>
      <c r="C7" s="147" t="s">
        <v>125</v>
      </c>
      <c r="D7" s="147"/>
      <c r="E7" s="147"/>
      <c r="F7" s="147"/>
      <c r="G7" s="147" t="s">
        <v>126</v>
      </c>
      <c r="I7" s="146" t="s">
        <v>127</v>
      </c>
      <c r="K7" s="146" t="str">
        <f>CONCATENATE(Coversheet!E41," Depreciation")</f>
        <v>2019 Depreciation</v>
      </c>
    </row>
    <row r="8" spans="1:12">
      <c r="A8" s="148" t="s">
        <v>2</v>
      </c>
      <c r="B8" s="149"/>
      <c r="C8" s="149" t="s">
        <v>128</v>
      </c>
      <c r="D8" s="149" t="s">
        <v>129</v>
      </c>
      <c r="E8" s="149" t="s">
        <v>130</v>
      </c>
      <c r="F8" s="149" t="s">
        <v>131</v>
      </c>
      <c r="G8" s="149" t="s">
        <v>128</v>
      </c>
      <c r="I8" s="150" t="s">
        <v>132</v>
      </c>
      <c r="K8" s="150" t="s">
        <v>133</v>
      </c>
    </row>
    <row r="9" spans="1:12" ht="20.100000000000001" customHeight="1">
      <c r="A9" s="151">
        <v>1</v>
      </c>
      <c r="B9" s="152" t="s">
        <v>134</v>
      </c>
      <c r="C9" s="264">
        <v>0</v>
      </c>
      <c r="D9" s="264">
        <v>0</v>
      </c>
      <c r="E9" s="264">
        <v>0</v>
      </c>
      <c r="F9" s="264">
        <v>0</v>
      </c>
      <c r="G9" s="504">
        <f>+C9+D9-E9+F9</f>
        <v>0</v>
      </c>
      <c r="H9" s="154"/>
      <c r="I9" s="264">
        <v>0</v>
      </c>
      <c r="J9" s="154"/>
      <c r="K9" s="264">
        <v>0</v>
      </c>
    </row>
    <row r="10" spans="1:12" ht="12.75" customHeight="1">
      <c r="A10" s="151"/>
      <c r="B10" s="152"/>
      <c r="C10" s="265"/>
      <c r="D10" s="265"/>
      <c r="E10" s="265"/>
      <c r="F10" s="265"/>
      <c r="G10" s="504"/>
      <c r="H10" s="154"/>
      <c r="I10" s="155"/>
      <c r="J10" s="154"/>
      <c r="K10" s="155"/>
    </row>
    <row r="11" spans="1:12" ht="20.100000000000001" customHeight="1">
      <c r="A11" s="151">
        <v>2</v>
      </c>
      <c r="B11" s="152" t="s">
        <v>135</v>
      </c>
      <c r="C11" s="153">
        <v>71761771</v>
      </c>
      <c r="D11" s="153">
        <v>0</v>
      </c>
      <c r="E11" s="153">
        <v>0</v>
      </c>
      <c r="F11" s="153">
        <v>0</v>
      </c>
      <c r="G11" s="505">
        <f>+C11+D11-E11+F11</f>
        <v>71761771</v>
      </c>
      <c r="H11" s="154"/>
      <c r="I11" s="506">
        <v>68340840</v>
      </c>
      <c r="J11" s="269"/>
      <c r="K11" s="506">
        <v>201556</v>
      </c>
    </row>
    <row r="12" spans="1:12" ht="20.100000000000001" customHeight="1">
      <c r="A12" s="151">
        <v>3</v>
      </c>
      <c r="B12" s="152" t="s">
        <v>136</v>
      </c>
      <c r="C12" s="153">
        <v>0</v>
      </c>
      <c r="D12" s="153">
        <v>0</v>
      </c>
      <c r="E12" s="153">
        <v>0</v>
      </c>
      <c r="F12" s="153">
        <v>0</v>
      </c>
      <c r="G12" s="505">
        <f>+C12+D12-E12+F12</f>
        <v>0</v>
      </c>
      <c r="H12" s="154"/>
      <c r="I12" s="506">
        <v>0</v>
      </c>
      <c r="J12" s="269"/>
      <c r="K12" s="506">
        <v>0</v>
      </c>
      <c r="L12" s="154"/>
    </row>
    <row r="13" spans="1:12" ht="20.100000000000001" customHeight="1">
      <c r="A13" s="151">
        <v>4</v>
      </c>
      <c r="B13" s="152" t="s">
        <v>137</v>
      </c>
      <c r="C13" s="153">
        <v>4561361</v>
      </c>
      <c r="D13" s="153">
        <v>0</v>
      </c>
      <c r="E13" s="153">
        <v>0</v>
      </c>
      <c r="F13" s="153">
        <v>0</v>
      </c>
      <c r="G13" s="505">
        <f>+C13+D13-E13+F13</f>
        <v>4561361</v>
      </c>
      <c r="H13" s="154"/>
      <c r="I13" s="506">
        <v>2807956</v>
      </c>
      <c r="J13" s="269"/>
      <c r="K13" s="506">
        <v>40604</v>
      </c>
      <c r="L13" s="154"/>
    </row>
    <row r="14" spans="1:12" ht="20.100000000000001" customHeight="1" thickBot="1">
      <c r="A14" s="151">
        <v>5</v>
      </c>
      <c r="B14" s="152" t="s">
        <v>138</v>
      </c>
      <c r="C14" s="153">
        <v>98773759</v>
      </c>
      <c r="D14" s="156">
        <v>0</v>
      </c>
      <c r="E14" s="156"/>
      <c r="F14" s="156">
        <v>0</v>
      </c>
      <c r="G14" s="505">
        <f>+C14+D14-E14+F14</f>
        <v>98773759</v>
      </c>
      <c r="H14" s="154"/>
      <c r="I14" s="506">
        <f>Plant!F36-I13-I11</f>
        <v>22372118</v>
      </c>
      <c r="J14" s="269"/>
      <c r="K14" s="506">
        <v>2324665</v>
      </c>
      <c r="L14" s="154"/>
    </row>
    <row r="15" spans="1:12" ht="20.100000000000001" customHeight="1" thickBot="1">
      <c r="A15" s="151">
        <v>6</v>
      </c>
      <c r="B15" s="158" t="s">
        <v>139</v>
      </c>
      <c r="C15" s="159">
        <f>SUM(C11:C14)</f>
        <v>175096891</v>
      </c>
      <c r="D15" s="160">
        <f>SUM(D11:D14)</f>
        <v>0</v>
      </c>
      <c r="E15" s="160">
        <f>SUM(E11:E14)</f>
        <v>0</v>
      </c>
      <c r="F15" s="160">
        <f>SUM(F11:F14)</f>
        <v>0</v>
      </c>
      <c r="G15" s="161">
        <f>+C15+D15-E15+F15</f>
        <v>175096891</v>
      </c>
      <c r="H15" s="154"/>
      <c r="I15" s="162">
        <f>SUM(I11:I14)</f>
        <v>93520914</v>
      </c>
      <c r="J15" s="154"/>
      <c r="K15" s="159">
        <f>SUM(K11:K14)</f>
        <v>2566825</v>
      </c>
      <c r="L15" s="154"/>
    </row>
    <row r="16" spans="1:12" ht="12" customHeight="1">
      <c r="A16" s="151"/>
      <c r="B16" s="163"/>
      <c r="C16" s="164"/>
      <c r="D16" s="164"/>
      <c r="E16" s="164"/>
      <c r="F16" s="164"/>
      <c r="G16" s="164"/>
      <c r="H16" s="154"/>
      <c r="I16" s="165"/>
      <c r="J16" s="154"/>
      <c r="K16" s="177"/>
      <c r="L16" s="154"/>
    </row>
    <row r="17" spans="1:17" ht="20.100000000000001" customHeight="1">
      <c r="A17" s="151">
        <v>7</v>
      </c>
      <c r="B17" s="152" t="s">
        <v>140</v>
      </c>
      <c r="C17" s="153">
        <v>72265823</v>
      </c>
      <c r="D17" s="153">
        <v>0</v>
      </c>
      <c r="E17" s="153">
        <v>0</v>
      </c>
      <c r="F17" s="156">
        <v>0</v>
      </c>
      <c r="G17" s="505">
        <f t="shared" ref="G17:G19" si="0">+C17+D17-E17+F17</f>
        <v>72265823</v>
      </c>
      <c r="H17" s="154"/>
      <c r="I17" s="155">
        <f>Plant!J36</f>
        <v>18802612.160000008</v>
      </c>
      <c r="J17" s="154"/>
      <c r="K17" s="506">
        <v>1804304</v>
      </c>
      <c r="L17" s="154"/>
    </row>
    <row r="18" spans="1:17" ht="20.100000000000001" customHeight="1">
      <c r="A18" s="151">
        <v>8</v>
      </c>
      <c r="B18" s="152" t="s">
        <v>141</v>
      </c>
      <c r="C18" s="153">
        <v>158188508</v>
      </c>
      <c r="D18" s="153">
        <v>0</v>
      </c>
      <c r="E18" s="153">
        <v>0</v>
      </c>
      <c r="F18" s="156">
        <v>0</v>
      </c>
      <c r="G18" s="505">
        <f t="shared" si="0"/>
        <v>158188508</v>
      </c>
      <c r="H18" s="154">
        <v>0</v>
      </c>
      <c r="I18" s="155">
        <f>Plant!K36</f>
        <v>80066565.99999994</v>
      </c>
      <c r="J18" s="154">
        <v>0</v>
      </c>
      <c r="K18" s="506">
        <v>4300000</v>
      </c>
      <c r="L18" s="154"/>
      <c r="O18" s="143"/>
      <c r="P18" s="143"/>
      <c r="Q18" s="143"/>
    </row>
    <row r="19" spans="1:17" ht="20.100000000000001" customHeight="1" thickBot="1">
      <c r="A19" s="151">
        <v>9</v>
      </c>
      <c r="B19" s="152" t="s">
        <v>142</v>
      </c>
      <c r="C19" s="153">
        <v>48929248</v>
      </c>
      <c r="D19" s="153">
        <v>0</v>
      </c>
      <c r="E19" s="153">
        <v>0</v>
      </c>
      <c r="F19" s="156">
        <v>4464283</v>
      </c>
      <c r="G19" s="505">
        <f t="shared" si="0"/>
        <v>53393531</v>
      </c>
      <c r="H19" s="154"/>
      <c r="I19" s="157">
        <f>Plant!L36</f>
        <v>35474664</v>
      </c>
      <c r="J19" s="154"/>
      <c r="K19" s="506">
        <v>3000000</v>
      </c>
      <c r="L19" s="154"/>
    </row>
    <row r="20" spans="1:17" ht="20.100000000000001" customHeight="1" thickBot="1">
      <c r="A20" s="151">
        <v>10</v>
      </c>
      <c r="B20" s="158" t="s">
        <v>143</v>
      </c>
      <c r="C20" s="159">
        <f>SUM(C15:C19)+C9</f>
        <v>454480470</v>
      </c>
      <c r="D20" s="159">
        <f>SUM(D15:D19)+D9</f>
        <v>0</v>
      </c>
      <c r="E20" s="159">
        <f>SUM(E15:E19)+E9</f>
        <v>0</v>
      </c>
      <c r="F20" s="159">
        <f>SUM(F15:F19)+F9</f>
        <v>4464283</v>
      </c>
      <c r="G20" s="161">
        <f>+C20+D20-E20+F20</f>
        <v>458944753</v>
      </c>
      <c r="H20" s="154"/>
      <c r="I20" s="159">
        <f>SUM(I15:I19)+I9</f>
        <v>227864756.15999997</v>
      </c>
      <c r="J20" s="154"/>
      <c r="K20" s="159">
        <f>SUM(K15:K19)+K9</f>
        <v>11671129</v>
      </c>
      <c r="L20" s="154"/>
      <c r="N20" s="166"/>
    </row>
    <row r="21" spans="1:17" ht="11.25" customHeight="1">
      <c r="A21" s="151"/>
      <c r="B21" s="163"/>
      <c r="C21" s="164"/>
      <c r="D21" s="164"/>
      <c r="E21" s="164"/>
      <c r="F21" s="164"/>
      <c r="G21" s="164"/>
      <c r="H21" s="154"/>
      <c r="I21" s="167"/>
      <c r="J21" s="154"/>
      <c r="K21" s="178"/>
      <c r="L21" s="154"/>
    </row>
    <row r="22" spans="1:17" ht="20.100000000000001" customHeight="1">
      <c r="A22" s="151">
        <v>11</v>
      </c>
      <c r="B22" s="152" t="s">
        <v>144</v>
      </c>
      <c r="C22" s="153">
        <v>0</v>
      </c>
      <c r="D22" s="153">
        <v>0</v>
      </c>
      <c r="E22" s="153">
        <v>0</v>
      </c>
      <c r="F22" s="153">
        <v>0</v>
      </c>
      <c r="G22" s="153">
        <f>+C22+D22+E22+F22</f>
        <v>0</v>
      </c>
      <c r="H22" s="154"/>
      <c r="I22" s="155">
        <v>0</v>
      </c>
      <c r="J22" s="154"/>
      <c r="K22" s="507">
        <v>0</v>
      </c>
      <c r="L22" s="154"/>
    </row>
    <row r="23" spans="1:17" ht="20.100000000000001" customHeight="1">
      <c r="A23" s="151">
        <v>12</v>
      </c>
      <c r="B23" s="152" t="s">
        <v>145</v>
      </c>
      <c r="C23" s="153">
        <v>0</v>
      </c>
      <c r="D23" s="153">
        <v>0</v>
      </c>
      <c r="E23" s="153">
        <v>0</v>
      </c>
      <c r="F23" s="153">
        <v>0</v>
      </c>
      <c r="G23" s="153">
        <f>+C23+D23+E23+F23</f>
        <v>0</v>
      </c>
      <c r="H23" s="154"/>
      <c r="I23" s="155">
        <v>0</v>
      </c>
      <c r="J23" s="154"/>
      <c r="K23" s="507">
        <v>0</v>
      </c>
      <c r="L23" s="154"/>
    </row>
    <row r="24" spans="1:17" ht="20.100000000000001" customHeight="1" thickBot="1">
      <c r="A24" s="151">
        <v>13</v>
      </c>
      <c r="B24" s="152" t="s">
        <v>146</v>
      </c>
      <c r="C24" s="156">
        <v>0</v>
      </c>
      <c r="D24" s="156">
        <v>0</v>
      </c>
      <c r="E24" s="156">
        <v>0</v>
      </c>
      <c r="F24" s="156">
        <v>0</v>
      </c>
      <c r="G24" s="156">
        <f>+C24+D24+E24+F24</f>
        <v>0</v>
      </c>
      <c r="H24" s="154"/>
      <c r="I24" s="157">
        <v>0</v>
      </c>
      <c r="J24" s="154"/>
      <c r="K24" s="176">
        <v>0</v>
      </c>
      <c r="L24" s="154"/>
    </row>
    <row r="25" spans="1:17" ht="20.100000000000001" customHeight="1" thickBot="1">
      <c r="A25" s="151">
        <v>14</v>
      </c>
      <c r="B25" s="158" t="s">
        <v>19</v>
      </c>
      <c r="C25" s="159">
        <f>SUM(C20:C24)</f>
        <v>454480470</v>
      </c>
      <c r="D25" s="160">
        <f>SUM(D20:D24)</f>
        <v>0</v>
      </c>
      <c r="E25" s="160">
        <f>SUM(E20:E24)</f>
        <v>0</v>
      </c>
      <c r="F25" s="160">
        <f>SUM(F20:F24)</f>
        <v>4464283</v>
      </c>
      <c r="G25" s="161">
        <f>+C25+D25-E25+F25</f>
        <v>458944753</v>
      </c>
      <c r="H25" s="154"/>
      <c r="I25" s="162">
        <f>SUM(I20:I24)</f>
        <v>227864756.15999997</v>
      </c>
      <c r="J25" s="154"/>
      <c r="K25" s="159">
        <f>SUM(K20:K24)</f>
        <v>11671129</v>
      </c>
      <c r="L25" s="154"/>
    </row>
    <row r="26" spans="1:17" ht="11.25" customHeight="1" thickBot="1">
      <c r="A26" s="151"/>
      <c r="B26" s="163"/>
      <c r="C26" s="168"/>
      <c r="D26" s="168"/>
      <c r="E26" s="168"/>
      <c r="F26" s="168"/>
      <c r="G26" s="168"/>
      <c r="H26" s="154"/>
      <c r="I26" s="167"/>
      <c r="J26" s="154"/>
      <c r="K26" s="178"/>
      <c r="L26" s="154"/>
    </row>
    <row r="27" spans="1:17" ht="20.100000000000001" customHeight="1" thickBot="1">
      <c r="A27" s="151">
        <v>15</v>
      </c>
      <c r="B27" s="152" t="s">
        <v>147</v>
      </c>
      <c r="C27" s="153">
        <v>20290112</v>
      </c>
      <c r="D27" s="156">
        <v>0</v>
      </c>
      <c r="E27" s="156">
        <v>0</v>
      </c>
      <c r="F27" s="156">
        <v>-4464283</v>
      </c>
      <c r="G27" s="161">
        <f>+C27+D27-E27+F27</f>
        <v>15825829</v>
      </c>
      <c r="H27" s="154"/>
      <c r="I27" s="157"/>
      <c r="J27" s="154"/>
      <c r="K27" s="176"/>
      <c r="L27" s="154"/>
    </row>
    <row r="28" spans="1:17" ht="20.100000000000001" customHeight="1" thickBot="1">
      <c r="A28" s="151">
        <v>16</v>
      </c>
      <c r="B28" s="158" t="s">
        <v>148</v>
      </c>
      <c r="C28" s="159">
        <f>SUM(C25:C27)</f>
        <v>474770582</v>
      </c>
      <c r="D28" s="160">
        <f>SUM(D25:D27)</f>
        <v>0</v>
      </c>
      <c r="E28" s="160">
        <f>SUM(E25:E27)</f>
        <v>0</v>
      </c>
      <c r="F28" s="160">
        <f>SUM(F25:F27)</f>
        <v>0</v>
      </c>
      <c r="G28" s="161">
        <f>+C28+D28-E28+F28</f>
        <v>474770582</v>
      </c>
      <c r="H28" s="154"/>
      <c r="I28" s="162">
        <f>SUM(I25:I27)</f>
        <v>227864756.15999997</v>
      </c>
      <c r="J28" s="154"/>
      <c r="K28" s="159">
        <f>SUM(K25:K27)</f>
        <v>11671129</v>
      </c>
      <c r="L28" s="154"/>
      <c r="N28" s="166"/>
    </row>
    <row r="29" spans="1:17" ht="20.100000000000001" customHeight="1">
      <c r="C29" s="154"/>
      <c r="D29" s="154"/>
      <c r="E29" s="154"/>
      <c r="F29" s="154"/>
      <c r="G29" s="508" t="s">
        <v>0</v>
      </c>
      <c r="H29" s="154"/>
      <c r="I29" s="154"/>
      <c r="J29" s="154"/>
      <c r="K29" s="154"/>
    </row>
    <row r="30" spans="1:17">
      <c r="I30" s="470">
        <f>ROUND(I28-'Balance sheet Sched 2'!C15,0)</f>
        <v>0</v>
      </c>
    </row>
    <row r="32" spans="1:17">
      <c r="I32" s="483" t="s">
        <v>551</v>
      </c>
      <c r="J32" s="477"/>
      <c r="K32" s="484">
        <v>719609</v>
      </c>
    </row>
    <row r="33" spans="9:11">
      <c r="I33" s="481" t="s">
        <v>552</v>
      </c>
      <c r="J33" s="477"/>
      <c r="K33" s="485">
        <f>K28+K32</f>
        <v>12390738</v>
      </c>
    </row>
    <row r="34" spans="9:11">
      <c r="I34" s="480"/>
      <c r="J34" s="480"/>
      <c r="K34" s="482">
        <f>'Income Sched 3'!C12-K33</f>
        <v>0</v>
      </c>
    </row>
  </sheetData>
  <mergeCells count="5">
    <mergeCell ref="A6:G6"/>
    <mergeCell ref="A1:K1"/>
    <mergeCell ref="A2:K2"/>
    <mergeCell ref="A3:K3"/>
    <mergeCell ref="A4:K4"/>
  </mergeCells>
  <pageMargins left="0.25" right="0.25" top="0.75" bottom="0.5" header="0.5" footer="0.5"/>
  <pageSetup orientation="landscape" r:id="rId1"/>
  <headerFooter alignWithMargins="0">
    <oddHeader>&amp;L&amp;"Arial MT,Bold"Rochester Public Utilities
2019 Work Papers&amp;R&amp;"Arial MT,Bold"Exhibit RPU-8
Page 3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9"/>
  <sheetViews>
    <sheetView workbookViewId="0">
      <selection activeCell="C8" sqref="C8"/>
    </sheetView>
  </sheetViews>
  <sheetFormatPr defaultColWidth="8.88671875" defaultRowHeight="12.75"/>
  <cols>
    <col min="1" max="1" width="4.109375" style="12" bestFit="1" customWidth="1"/>
    <col min="2" max="2" width="38.6640625" style="12" customWidth="1"/>
    <col min="3" max="3" width="9.44140625" style="12" customWidth="1"/>
    <col min="4" max="16384" width="8.88671875" style="12"/>
  </cols>
  <sheetData>
    <row r="1" spans="1:3" ht="15.75">
      <c r="A1" s="653" t="str">
        <f>Coversheet!B3</f>
        <v>Rochester Public Utilities</v>
      </c>
      <c r="B1" s="653"/>
      <c r="C1" s="653"/>
    </row>
    <row r="2" spans="1:3" ht="15">
      <c r="A2" s="645" t="s">
        <v>9</v>
      </c>
      <c r="B2" s="645"/>
      <c r="C2" s="645"/>
    </row>
    <row r="3" spans="1:3" ht="15">
      <c r="A3" s="645" t="s">
        <v>180</v>
      </c>
      <c r="B3" s="645"/>
      <c r="C3" s="645"/>
    </row>
    <row r="4" spans="1:3" ht="15.75">
      <c r="A4" s="654" t="str">
        <f>'Balance sheet Sched 2'!A4:F4</f>
        <v>FLTY Forecast for 12 Months Ended December 31, 2019</v>
      </c>
      <c r="B4" s="654"/>
      <c r="C4" s="654"/>
    </row>
    <row r="5" spans="1:3">
      <c r="A5" s="213"/>
      <c r="B5" s="213"/>
      <c r="C5" s="213"/>
    </row>
    <row r="6" spans="1:3" ht="15.75">
      <c r="A6" s="318" t="s">
        <v>181</v>
      </c>
      <c r="B6" s="319"/>
      <c r="C6" s="319"/>
    </row>
    <row r="7" spans="1:3" ht="15.75">
      <c r="A7" s="320" t="s">
        <v>15</v>
      </c>
      <c r="B7" s="319"/>
      <c r="C7" s="319"/>
    </row>
    <row r="8" spans="1:3" ht="15.75">
      <c r="A8" s="318">
        <v>1</v>
      </c>
      <c r="B8" s="319" t="s">
        <v>182</v>
      </c>
      <c r="C8" s="402">
        <f>ROUND('Taxes other than inc tax'!D11,0)</f>
        <v>8801000</v>
      </c>
    </row>
    <row r="9" spans="1:3" ht="15.75">
      <c r="A9" s="319"/>
      <c r="B9" s="319"/>
      <c r="C9" s="319"/>
    </row>
  </sheetData>
  <mergeCells count="4">
    <mergeCell ref="A1:C1"/>
    <mergeCell ref="A2:C2"/>
    <mergeCell ref="A3:C3"/>
    <mergeCell ref="A4:C4"/>
  </mergeCells>
  <pageMargins left="0.75" right="0.75" top="1" bottom="1" header="0.5" footer="0.5"/>
  <pageSetup scale="105" orientation="portrait" r:id="rId1"/>
  <headerFooter alignWithMargins="0">
    <oddHeader>&amp;L&amp;"Arial MT,Bold"Rochester Public Utilities
2019 Work Papers&amp;R&amp;"Arial MT,Bold"Exhibit RPU-8
Page 4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Coversheet</vt:lpstr>
      <vt:lpstr>Sch 1 Rcvble Exp</vt:lpstr>
      <vt:lpstr>True-up Interest</vt:lpstr>
      <vt:lpstr>Gross Plant Transmission Form</vt:lpstr>
      <vt:lpstr>Interzonal Alloc</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'Balance sheet Sched 2'!Print_Area</vt:lpstr>
      <vt:lpstr>'Capital Structure'!Print_Area</vt:lpstr>
      <vt:lpstr>Coversheet!Print_Area</vt:lpstr>
      <vt:lpstr>Divisor!Print_Area</vt:lpstr>
      <vt:lpstr>'EPRI Reg Comm Non Safety'!Print_Area</vt:lpstr>
      <vt:lpstr>'FERC Fees'!Print_Area</vt:lpstr>
      <vt:lpstr>'Income Sched 3'!Print_Area</vt:lpstr>
      <vt:lpstr>'Interzonal Alloc'!Print_Area</vt:lpstr>
      <vt:lpstr>'Land Held for Future Use'!Print_Area</vt:lpstr>
      <vt:lpstr>'Materials and Prepayments'!Print_Area</vt:lpstr>
      <vt:lpstr>'Op &amp; Maint Sched 7'!Print_Area</vt:lpstr>
      <vt:lpstr>Plant!Print_Area</vt:lpstr>
      <vt:lpstr>'Plant Sched 4'!Print_Area</vt:lpstr>
      <vt:lpstr>'Taxes other than inc tax'!Print_Area</vt:lpstr>
      <vt:lpstr>'Taxes Sched 5'!Print_Area</vt:lpstr>
      <vt:lpstr>'Transmission O&amp;M'!Print_Area</vt:lpstr>
      <vt:lpstr>'Wages &amp; Salaries'!Print_Area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Tina Livingston</cp:lastModifiedBy>
  <cp:lastPrinted>2018-09-13T15:40:30Z</cp:lastPrinted>
  <dcterms:created xsi:type="dcterms:W3CDTF">2008-03-20T17:17:49Z</dcterms:created>
  <dcterms:modified xsi:type="dcterms:W3CDTF">2018-09-13T16:03:37Z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2019_RPU_YE123119_AttO_GGWkpr.xlsx</vt:lpwstr>
  </property>
</Properties>
</file>