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9405" tabRatio="773"/>
  </bookViews>
  <sheets>
    <sheet name="Coversheet" sheetId="12" r:id="rId1"/>
    <sheet name="FLTY Att O_RPU" sheetId="1" r:id="rId2"/>
    <sheet name="2015 Att GG_RPU" sheetId="43" r:id="rId3"/>
    <sheet name="Balance sheet Sched 2" sheetId="2" r:id="rId4"/>
    <sheet name="Income Sched 3" sheetId="3" r:id="rId5"/>
    <sheet name="Plant Sched 4" sheetId="4" r:id="rId6"/>
    <sheet name="Taxes Sched 5" sheetId="34" r:id="rId7"/>
    <sheet name="Op &amp; Maint Sched 7" sheetId="5" r:id="rId8"/>
    <sheet name="Divisor" sheetId="13" r:id="rId9"/>
    <sheet name="Plant" sheetId="14" r:id="rId10"/>
    <sheet name="Adj to Rate Base" sheetId="16" r:id="rId11"/>
    <sheet name="Land Held for Future Use" sheetId="18" r:id="rId12"/>
    <sheet name="Materials and Prepayments" sheetId="19" r:id="rId13"/>
    <sheet name="Capital Structure" sheetId="20" r:id="rId14"/>
    <sheet name="Transmission O&amp;M" sheetId="24" r:id="rId15"/>
    <sheet name="Admin &amp; General" sheetId="25" r:id="rId16"/>
    <sheet name="Wages &amp; Salaries" sheetId="33" r:id="rId17"/>
    <sheet name="FERC Fees" sheetId="26" r:id="rId18"/>
    <sheet name="EPRI Reg Comm Non Safety" sheetId="27" r:id="rId19"/>
    <sheet name="Taxes other than inc tax" sheetId="28" r:id="rId20"/>
    <sheet name="Account 454" sheetId="31" r:id="rId21"/>
    <sheet name="Account 456.1" sheetId="32" r:id="rId22"/>
  </sheets>
  <externalReferences>
    <externalReference r:id="rId23"/>
    <externalReference r:id="rId24"/>
    <externalReference r:id="rId25"/>
    <externalReference r:id="rId26"/>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CIP_Year">OFFSET(#REF!,0,0,COUNTA(#REF!)-1,1)</definedName>
    <definedName name="Current_Year">'[4]Electric Fund Historical'!$D$1</definedName>
    <definedName name="CUSTAR">#REF!</definedName>
    <definedName name="CUYAHOGA_FALLS">#REF!</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HMonth">#REF!</definedName>
    <definedName name="LHYear">#REF!</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MBERVILLE">#REF!</definedName>
    <definedName name="PIONEER">#REF!</definedName>
    <definedName name="_xlnm.Print_Area" localSheetId="21">'Account 456.1'!$A$1:$F$30</definedName>
    <definedName name="_xlnm.Print_Area" localSheetId="10">'Adj to Rate Base'!$D$4:$H$18</definedName>
    <definedName name="_xlnm.Print_Area" localSheetId="13">'Capital Structure'!$D$4:$K$27</definedName>
    <definedName name="_xlnm.Print_Area" localSheetId="8">Divisor!$B$4:$G$26</definedName>
    <definedName name="_xlnm.Print_Area" localSheetId="17">'FERC Fees'!$A$1:$G$18</definedName>
    <definedName name="_xlnm.Print_Area" localSheetId="1">'FLTY Att O_RPU'!$A$1:$K$309</definedName>
    <definedName name="_xlnm.Print_Area" localSheetId="4">'Income Sched 3'!$A$1:$F$31</definedName>
    <definedName name="_xlnm.Print_Area" localSheetId="9">Plant!$B$4:$O$61</definedName>
    <definedName name="_xlnm.Print_Area" localSheetId="19">'Taxes other than inc tax'!$A$1:$M$16</definedName>
    <definedName name="_xlnm.Print_Area">#REF!</definedName>
    <definedName name="Print_Area_MI">#REF!</definedName>
    <definedName name="Print_Titles_MI">#REF!</definedName>
    <definedName name="PROSPECT">#REF!</definedName>
    <definedName name="queryp1">[2]DANDE!#REF!</definedName>
    <definedName name="revreq">#REF!</definedName>
    <definedName name="SEVILLE">#REF!</definedName>
    <definedName name="SOUTH_VIENNA">#REF!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WADSWORTH">#REF!</definedName>
    <definedName name="wrn.ARREC." hidden="1">{#N/A,#N/A,FALSE,"ARREC"}</definedName>
    <definedName name="wrn.EMPPAY." hidden="1">{#N/A,#N/A,FALSE,"EMPPAY"}</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I63" i="14" l="1"/>
  <c r="K57" i="14"/>
  <c r="H57" i="14"/>
  <c r="L56" i="14"/>
  <c r="I56" i="14"/>
  <c r="F56" i="14"/>
  <c r="K55" i="14"/>
  <c r="I55" i="14"/>
  <c r="K54" i="14"/>
  <c r="F54" i="14"/>
  <c r="L53" i="14"/>
  <c r="K53" i="14"/>
  <c r="F52" i="14"/>
  <c r="K51" i="14"/>
  <c r="L50" i="14"/>
  <c r="F50" i="14"/>
  <c r="F48" i="14"/>
  <c r="L47" i="14"/>
  <c r="N46" i="14"/>
  <c r="F46" i="14"/>
  <c r="N45" i="14"/>
  <c r="M45" i="14"/>
  <c r="I45" i="14"/>
  <c r="N42" i="14"/>
  <c r="D92" i="1" s="1"/>
  <c r="M42" i="14"/>
  <c r="L42" i="14"/>
  <c r="K42" i="14"/>
  <c r="D90" i="1" s="1"/>
  <c r="I42" i="14"/>
  <c r="H42" i="14"/>
  <c r="G42" i="14"/>
  <c r="D88" i="1" s="1"/>
  <c r="O40" i="14"/>
  <c r="O39" i="14"/>
  <c r="O37" i="14"/>
  <c r="O36" i="14"/>
  <c r="O35" i="14"/>
  <c r="O31" i="14"/>
  <c r="O29" i="14"/>
  <c r="J40" i="14"/>
  <c r="J39" i="14"/>
  <c r="J38" i="14"/>
  <c r="O38" i="14" s="1"/>
  <c r="J37" i="14"/>
  <c r="J36" i="14"/>
  <c r="J35" i="14"/>
  <c r="J34" i="14"/>
  <c r="O34" i="14" s="1"/>
  <c r="J33" i="14"/>
  <c r="O33" i="14" s="1"/>
  <c r="J32" i="14"/>
  <c r="O32" i="14" s="1"/>
  <c r="J31" i="14"/>
  <c r="J30" i="14"/>
  <c r="O30" i="14" s="1"/>
  <c r="J29" i="14"/>
  <c r="J28" i="14"/>
  <c r="O28" i="14" s="1"/>
  <c r="F39" i="14"/>
  <c r="F38" i="14"/>
  <c r="F37" i="14"/>
  <c r="F35" i="14"/>
  <c r="F34" i="14"/>
  <c r="F33" i="14"/>
  <c r="F31" i="14"/>
  <c r="F30" i="14"/>
  <c r="F29" i="14"/>
  <c r="L22" i="14"/>
  <c r="L57" i="14" s="1"/>
  <c r="I22" i="14"/>
  <c r="I57" i="14" s="1"/>
  <c r="F22" i="14"/>
  <c r="K21" i="14"/>
  <c r="K56" i="14" s="1"/>
  <c r="I21" i="14"/>
  <c r="F21" i="14"/>
  <c r="L19" i="14"/>
  <c r="J10" i="14"/>
  <c r="F20" i="14"/>
  <c r="K19" i="14"/>
  <c r="K17" i="14"/>
  <c r="K52" i="14" s="1"/>
  <c r="L16" i="14"/>
  <c r="L51" i="14" s="1"/>
  <c r="K10" i="14"/>
  <c r="K11" i="14" s="1"/>
  <c r="K46" i="14" s="1"/>
  <c r="L14" i="14"/>
  <c r="L49" i="14" s="1"/>
  <c r="L13" i="14"/>
  <c r="L48" i="14" s="1"/>
  <c r="N13" i="14"/>
  <c r="N48" i="14" s="1"/>
  <c r="N11" i="14"/>
  <c r="N12" i="14" s="1"/>
  <c r="N47" i="14" s="1"/>
  <c r="L10" i="14"/>
  <c r="F19" i="14"/>
  <c r="F18" i="14"/>
  <c r="F17" i="14"/>
  <c r="F16" i="14"/>
  <c r="F15" i="14"/>
  <c r="F14" i="14"/>
  <c r="F13" i="14"/>
  <c r="F12" i="14"/>
  <c r="I11" i="14"/>
  <c r="I46" i="14" s="1"/>
  <c r="F11" i="14"/>
  <c r="O10" i="14"/>
  <c r="O45" i="14" s="1"/>
  <c r="M10" i="14"/>
  <c r="M11" i="14" s="1"/>
  <c r="M46" i="14" s="1"/>
  <c r="H10" i="14"/>
  <c r="G10" i="14"/>
  <c r="G11" i="14" s="1"/>
  <c r="F10" i="14"/>
  <c r="G7" i="14"/>
  <c r="F57" i="14" s="1"/>
  <c r="D6" i="14"/>
  <c r="D5" i="14"/>
  <c r="D273" i="1"/>
  <c r="D272" i="1"/>
  <c r="K271" i="1"/>
  <c r="C271" i="1"/>
  <c r="B271" i="1"/>
  <c r="I264" i="1"/>
  <c r="I262" i="1"/>
  <c r="I258" i="1"/>
  <c r="I256" i="1"/>
  <c r="G246" i="1"/>
  <c r="D246" i="1"/>
  <c r="D245" i="1"/>
  <c r="D247" i="1" s="1"/>
  <c r="D242" i="1"/>
  <c r="G245" i="1" s="1"/>
  <c r="G232" i="1"/>
  <c r="G231" i="1"/>
  <c r="G230" i="1"/>
  <c r="D232" i="1"/>
  <c r="D231" i="1"/>
  <c r="D230" i="1"/>
  <c r="D229" i="1"/>
  <c r="G229" i="1" s="1"/>
  <c r="G233" i="1" s="1"/>
  <c r="L228" i="1"/>
  <c r="I221" i="1"/>
  <c r="L221" i="1" s="1"/>
  <c r="L223" i="1" s="1"/>
  <c r="L229" i="1" s="1"/>
  <c r="D208" i="1"/>
  <c r="D206" i="1"/>
  <c r="D205" i="1"/>
  <c r="K205" i="1"/>
  <c r="B205" i="1"/>
  <c r="D175" i="1"/>
  <c r="D179" i="1" s="1"/>
  <c r="D183" i="1" s="1"/>
  <c r="D172" i="1"/>
  <c r="D171" i="1"/>
  <c r="F170" i="1"/>
  <c r="D169" i="1"/>
  <c r="D168" i="1"/>
  <c r="F166" i="1"/>
  <c r="D166" i="1"/>
  <c r="D165" i="1"/>
  <c r="B160" i="1"/>
  <c r="D159" i="1"/>
  <c r="B158" i="1"/>
  <c r="I154" i="1"/>
  <c r="I147" i="1"/>
  <c r="F152" i="1"/>
  <c r="F151" i="1"/>
  <c r="F150" i="1"/>
  <c r="D152" i="1"/>
  <c r="D151" i="1"/>
  <c r="D150" i="1"/>
  <c r="D149" i="1"/>
  <c r="D148" i="1"/>
  <c r="D147" i="1"/>
  <c r="D146" i="1"/>
  <c r="I220" i="1" s="1"/>
  <c r="D141" i="1"/>
  <c r="D139" i="1"/>
  <c r="D138" i="1"/>
  <c r="K138" i="1"/>
  <c r="B138" i="1"/>
  <c r="D116" i="1"/>
  <c r="D115" i="1"/>
  <c r="D111" i="1"/>
  <c r="D108" i="1"/>
  <c r="D107" i="1"/>
  <c r="D106" i="1"/>
  <c r="D105" i="1"/>
  <c r="D104" i="1"/>
  <c r="F107" i="1"/>
  <c r="B99" i="1"/>
  <c r="D91" i="1"/>
  <c r="B92" i="1"/>
  <c r="B100" i="1" s="1"/>
  <c r="B91" i="1"/>
  <c r="B90" i="1"/>
  <c r="B98" i="1" s="1"/>
  <c r="B89" i="1"/>
  <c r="B97" i="1" s="1"/>
  <c r="B88" i="1"/>
  <c r="B96" i="1" s="1"/>
  <c r="F92" i="1"/>
  <c r="F91" i="1"/>
  <c r="G90" i="1"/>
  <c r="F90" i="1"/>
  <c r="F89" i="1"/>
  <c r="F111" i="1" s="1"/>
  <c r="G88" i="1"/>
  <c r="F88" i="1"/>
  <c r="O84" i="1"/>
  <c r="N83" i="1"/>
  <c r="N84" i="1" s="1"/>
  <c r="P82" i="1"/>
  <c r="P84" i="1" s="1"/>
  <c r="Q83" i="1" s="1"/>
  <c r="D75" i="1"/>
  <c r="D73" i="1"/>
  <c r="D72" i="1"/>
  <c r="K72" i="1"/>
  <c r="B72" i="1"/>
  <c r="I53" i="1"/>
  <c r="I52" i="1"/>
  <c r="I34" i="1"/>
  <c r="I41" i="1" s="1"/>
  <c r="I25" i="1"/>
  <c r="I27" i="1" s="1"/>
  <c r="I21" i="1"/>
  <c r="F14" i="1"/>
  <c r="D13" i="1"/>
  <c r="G46" i="14" l="1"/>
  <c r="G12" i="14"/>
  <c r="O42" i="14"/>
  <c r="M12" i="14"/>
  <c r="K45" i="14"/>
  <c r="L11" i="14"/>
  <c r="L46" i="14" s="1"/>
  <c r="N14" i="14"/>
  <c r="K12" i="14"/>
  <c r="J22" i="14"/>
  <c r="G45" i="14"/>
  <c r="L45" i="14"/>
  <c r="H11" i="14"/>
  <c r="I12" i="14"/>
  <c r="L17" i="14"/>
  <c r="L52" i="14" s="1"/>
  <c r="H45" i="14"/>
  <c r="J42" i="14"/>
  <c r="D89" i="1" s="1"/>
  <c r="D93" i="1" s="1"/>
  <c r="J57" i="14"/>
  <c r="L54" i="14"/>
  <c r="L20" i="14"/>
  <c r="L55" i="14" s="1"/>
  <c r="F28" i="14"/>
  <c r="F32" i="14"/>
  <c r="F36" i="14"/>
  <c r="F40" i="14"/>
  <c r="F45" i="14"/>
  <c r="F47" i="14"/>
  <c r="F49" i="14"/>
  <c r="F51" i="14"/>
  <c r="F53" i="14"/>
  <c r="F55" i="14"/>
  <c r="O36" i="1"/>
  <c r="O38" i="1" s="1"/>
  <c r="I246" i="1"/>
  <c r="I222" i="1"/>
  <c r="I224" i="1" s="1"/>
  <c r="I245" i="1"/>
  <c r="I247" i="1" s="1"/>
  <c r="E246" i="1"/>
  <c r="E245" i="1"/>
  <c r="E247" i="1" s="1"/>
  <c r="D233" i="1"/>
  <c r="I233" i="1" s="1"/>
  <c r="Q82" i="1"/>
  <c r="Q84" i="1" s="1"/>
  <c r="D109" i="1"/>
  <c r="D155" i="1"/>
  <c r="D114" i="1" s="1"/>
  <c r="D117" i="1" s="1"/>
  <c r="J45" i="14" l="1"/>
  <c r="I47" i="14"/>
  <c r="I13" i="14"/>
  <c r="K47" i="14"/>
  <c r="K13" i="14"/>
  <c r="H46" i="14"/>
  <c r="J46" i="14" s="1"/>
  <c r="H12" i="14"/>
  <c r="J11" i="14"/>
  <c r="N49" i="14"/>
  <c r="N15" i="14"/>
  <c r="M47" i="14"/>
  <c r="M13" i="14"/>
  <c r="G47" i="14"/>
  <c r="G13" i="14"/>
  <c r="L24" i="14"/>
  <c r="L59" i="14"/>
  <c r="G151" i="1"/>
  <c r="I151" i="1" s="1"/>
  <c r="G150" i="1"/>
  <c r="I150" i="1" s="1"/>
  <c r="I237" i="1"/>
  <c r="G149" i="1"/>
  <c r="G83" i="1"/>
  <c r="D176" i="1"/>
  <c r="I250" i="1"/>
  <c r="I48" i="14" l="1"/>
  <c r="I14" i="14"/>
  <c r="M48" i="14"/>
  <c r="M14" i="14"/>
  <c r="O11" i="14"/>
  <c r="K48" i="14"/>
  <c r="K14" i="14"/>
  <c r="N16" i="14"/>
  <c r="N50" i="14"/>
  <c r="G14" i="14"/>
  <c r="G48" i="14"/>
  <c r="H13" i="14"/>
  <c r="H47" i="14"/>
  <c r="J47" i="14" s="1"/>
  <c r="J12" i="14"/>
  <c r="O12" i="14" s="1"/>
  <c r="O47" i="14" s="1"/>
  <c r="G91" i="1"/>
  <c r="I91" i="1" s="1"/>
  <c r="G159" i="1"/>
  <c r="I149" i="1"/>
  <c r="G49" i="14" l="1"/>
  <c r="G15" i="14"/>
  <c r="K15" i="14"/>
  <c r="K50" i="14" s="1"/>
  <c r="K59" i="14" s="1"/>
  <c r="K49" i="14"/>
  <c r="H48" i="14"/>
  <c r="J48" i="14" s="1"/>
  <c r="H14" i="14"/>
  <c r="J13" i="14"/>
  <c r="O13" i="14" s="1"/>
  <c r="O48" i="14" s="1"/>
  <c r="M49" i="14"/>
  <c r="M15" i="14"/>
  <c r="I49" i="14"/>
  <c r="I15" i="14"/>
  <c r="N51" i="14"/>
  <c r="N17" i="14"/>
  <c r="O46" i="14"/>
  <c r="I159" i="1"/>
  <c r="G165" i="1"/>
  <c r="N52" i="14" l="1"/>
  <c r="N18" i="14"/>
  <c r="J14" i="14"/>
  <c r="H15" i="14"/>
  <c r="H49" i="14"/>
  <c r="J49" i="14" s="1"/>
  <c r="K24" i="14"/>
  <c r="D82" i="1" s="1"/>
  <c r="D98" i="1" s="1"/>
  <c r="G50" i="14"/>
  <c r="G16" i="14"/>
  <c r="I50" i="14"/>
  <c r="I16" i="14"/>
  <c r="M50" i="14"/>
  <c r="M16" i="14"/>
  <c r="I165" i="1"/>
  <c r="G166" i="1"/>
  <c r="I166" i="1" s="1"/>
  <c r="M51" i="14" l="1"/>
  <c r="M17" i="14"/>
  <c r="I51" i="14"/>
  <c r="I17" i="14"/>
  <c r="G17" i="14"/>
  <c r="G51" i="14"/>
  <c r="H50" i="14"/>
  <c r="H16" i="14"/>
  <c r="J15" i="14"/>
  <c r="O15" i="14" s="1"/>
  <c r="O50" i="14" s="1"/>
  <c r="N53" i="14"/>
  <c r="N19" i="14"/>
  <c r="O14" i="14"/>
  <c r="J50" i="14" l="1"/>
  <c r="O49" i="14"/>
  <c r="H17" i="14"/>
  <c r="H51" i="14"/>
  <c r="J51" i="14" s="1"/>
  <c r="J16" i="14"/>
  <c r="M52" i="14"/>
  <c r="M18" i="14"/>
  <c r="N20" i="14"/>
  <c r="N54" i="14"/>
  <c r="G52" i="14"/>
  <c r="G18" i="14"/>
  <c r="I52" i="14"/>
  <c r="I18" i="14"/>
  <c r="G19" i="14" l="1"/>
  <c r="G53" i="14"/>
  <c r="H52" i="14"/>
  <c r="J52" i="14" s="1"/>
  <c r="H18" i="14"/>
  <c r="J17" i="14"/>
  <c r="O17" i="14" s="1"/>
  <c r="O52" i="14" s="1"/>
  <c r="I53" i="14"/>
  <c r="I19" i="14"/>
  <c r="N55" i="14"/>
  <c r="N21" i="14"/>
  <c r="O16" i="14"/>
  <c r="M19" i="14"/>
  <c r="M53" i="14"/>
  <c r="I54" i="14" l="1"/>
  <c r="I59" i="14" s="1"/>
  <c r="I24" i="14"/>
  <c r="J18" i="14"/>
  <c r="H19" i="14"/>
  <c r="H53" i="14"/>
  <c r="J53" i="14" s="1"/>
  <c r="O51" i="14"/>
  <c r="M54" i="14"/>
  <c r="M20" i="14"/>
  <c r="N22" i="14"/>
  <c r="N57" i="14" s="1"/>
  <c r="N56" i="14"/>
  <c r="G54" i="14"/>
  <c r="G20" i="14"/>
  <c r="H11" i="20"/>
  <c r="J24" i="20"/>
  <c r="I24" i="20"/>
  <c r="H7" i="20"/>
  <c r="G20" i="20" s="1"/>
  <c r="E6" i="20"/>
  <c r="E5" i="20"/>
  <c r="O18" i="14" l="1"/>
  <c r="G55" i="14"/>
  <c r="G21" i="14"/>
  <c r="N59" i="14"/>
  <c r="M55" i="14"/>
  <c r="M21" i="14"/>
  <c r="N24" i="14"/>
  <c r="D84" i="1" s="1"/>
  <c r="D100" i="1" s="1"/>
  <c r="H54" i="14"/>
  <c r="J54" i="14" s="1"/>
  <c r="J19" i="14"/>
  <c r="O19" i="14" s="1"/>
  <c r="O54" i="14" s="1"/>
  <c r="H20" i="14"/>
  <c r="G17" i="20"/>
  <c r="G21" i="20"/>
  <c r="G13" i="20"/>
  <c r="H12" i="20"/>
  <c r="G10" i="20"/>
  <c r="G18" i="20"/>
  <c r="G11" i="20"/>
  <c r="G15" i="20"/>
  <c r="G19" i="20"/>
  <c r="G14" i="20"/>
  <c r="G22" i="20"/>
  <c r="G12" i="20"/>
  <c r="G16" i="20"/>
  <c r="O53" i="14" l="1"/>
  <c r="H21" i="14"/>
  <c r="H55" i="14"/>
  <c r="J55" i="14" s="1"/>
  <c r="J20" i="14"/>
  <c r="O20" i="14" s="1"/>
  <c r="O55" i="14" s="1"/>
  <c r="M56" i="14"/>
  <c r="M22" i="14"/>
  <c r="G22" i="14"/>
  <c r="G56" i="14"/>
  <c r="H13" i="20"/>
  <c r="K24" i="20"/>
  <c r="M57" i="14" l="1"/>
  <c r="M59" i="14" s="1"/>
  <c r="M24" i="14"/>
  <c r="D83" i="1" s="1"/>
  <c r="H56" i="14"/>
  <c r="J21" i="14"/>
  <c r="H24" i="14"/>
  <c r="G57" i="14"/>
  <c r="G59" i="14" s="1"/>
  <c r="O22" i="14"/>
  <c r="O57" i="14" s="1"/>
  <c r="G24" i="14"/>
  <c r="D80" i="1" s="1"/>
  <c r="H14" i="20"/>
  <c r="J56" i="14" l="1"/>
  <c r="J59" i="14" s="1"/>
  <c r="H59" i="14"/>
  <c r="D99" i="1"/>
  <c r="I83" i="1"/>
  <c r="I99" i="1" s="1"/>
  <c r="D96" i="1"/>
  <c r="D85" i="1"/>
  <c r="D236" i="1" s="1"/>
  <c r="D239" i="1" s="1"/>
  <c r="G237" i="1" s="1"/>
  <c r="K237" i="1" s="1"/>
  <c r="J24" i="14"/>
  <c r="D81" i="1" s="1"/>
  <c r="O21" i="14"/>
  <c r="H15" i="20"/>
  <c r="G153" i="1" l="1"/>
  <c r="G84" i="1"/>
  <c r="O56" i="14"/>
  <c r="O59" i="14" s="1"/>
  <c r="O24" i="14"/>
  <c r="I212" i="1"/>
  <c r="D97" i="1"/>
  <c r="D101" i="1" s="1"/>
  <c r="D119" i="1" s="1"/>
  <c r="D186" i="1" s="1"/>
  <c r="D182" i="1" s="1"/>
  <c r="D184" i="1" s="1"/>
  <c r="H16" i="20"/>
  <c r="I84" i="1" l="1"/>
  <c r="G92" i="1"/>
  <c r="I92" i="1" s="1"/>
  <c r="I215" i="1"/>
  <c r="I217" i="1" s="1"/>
  <c r="G160" i="1"/>
  <c r="I160" i="1" s="1"/>
  <c r="I153" i="1"/>
  <c r="H17" i="20"/>
  <c r="I225" i="1" l="1"/>
  <c r="I226" i="1" s="1"/>
  <c r="G13" i="1"/>
  <c r="G81" i="1"/>
  <c r="I100" i="1"/>
  <c r="H18" i="20"/>
  <c r="I81" i="1" l="1"/>
  <c r="G89" i="1"/>
  <c r="G14" i="1"/>
  <c r="I13" i="1"/>
  <c r="G15" i="1"/>
  <c r="I15" i="1" s="1"/>
  <c r="G16" i="1"/>
  <c r="I16" i="1" s="1"/>
  <c r="G146" i="1"/>
  <c r="G115" i="1"/>
  <c r="I115" i="1" s="1"/>
  <c r="H19" i="20"/>
  <c r="M93" i="43"/>
  <c r="R79" i="43"/>
  <c r="R78" i="43"/>
  <c r="R77" i="43"/>
  <c r="R76" i="43"/>
  <c r="R75" i="43"/>
  <c r="R74" i="43"/>
  <c r="G65" i="43"/>
  <c r="G63" i="43"/>
  <c r="N62" i="43"/>
  <c r="G62" i="43"/>
  <c r="C62" i="43"/>
  <c r="I89" i="1" l="1"/>
  <c r="I93" i="1" s="1"/>
  <c r="G111" i="1"/>
  <c r="I146" i="1"/>
  <c r="G152" i="1"/>
  <c r="I152" i="1" s="1"/>
  <c r="G148" i="1"/>
  <c r="I148" i="1" s="1"/>
  <c r="I97" i="1"/>
  <c r="I101" i="1" s="1"/>
  <c r="G101" i="1" s="1"/>
  <c r="I85" i="1"/>
  <c r="G85" i="1" s="1"/>
  <c r="H20" i="20"/>
  <c r="I155" i="1" l="1"/>
  <c r="I114" i="1" s="1"/>
  <c r="G105" i="1"/>
  <c r="G183" i="1"/>
  <c r="I183" i="1" s="1"/>
  <c r="G158" i="1"/>
  <c r="I111" i="1"/>
  <c r="G168" i="1"/>
  <c r="G116" i="1"/>
  <c r="I116" i="1" s="1"/>
  <c r="I117" i="1" s="1"/>
  <c r="H21" i="20"/>
  <c r="I168" i="1" l="1"/>
  <c r="G170" i="1"/>
  <c r="G106" i="1"/>
  <c r="I105" i="1"/>
  <c r="H24" i="20"/>
  <c r="B10" i="26"/>
  <c r="G108" i="1" l="1"/>
  <c r="I108" i="1" s="1"/>
  <c r="I106" i="1"/>
  <c r="G107" i="1"/>
  <c r="I107" i="1" s="1"/>
  <c r="I109" i="1" s="1"/>
  <c r="I119" i="1" s="1"/>
  <c r="I186" i="1" s="1"/>
  <c r="I182" i="1" s="1"/>
  <c r="I184" i="1" s="1"/>
  <c r="I170" i="1"/>
  <c r="I172" i="1" s="1"/>
  <c r="G171" i="1"/>
  <c r="I171" i="1" s="1"/>
  <c r="F9" i="19"/>
  <c r="E73" i="43" l="1"/>
  <c r="R73" i="43" l="1"/>
  <c r="R93" i="43" s="1"/>
  <c r="E93" i="43"/>
  <c r="R94" i="43" l="1"/>
  <c r="K73" i="43" l="1"/>
  <c r="H73" i="43"/>
  <c r="C8" i="34"/>
  <c r="E29" i="5"/>
  <c r="C27" i="25" l="1"/>
  <c r="D28" i="5" s="1"/>
  <c r="C20" i="25"/>
  <c r="D27" i="5" s="1"/>
  <c r="F26" i="2"/>
  <c r="F24" i="2"/>
  <c r="F20" i="2"/>
  <c r="E18" i="19" l="1"/>
  <c r="E13" i="19"/>
  <c r="E11" i="19"/>
  <c r="I9" i="4"/>
  <c r="K9" i="4" s="1"/>
  <c r="G12" i="4"/>
  <c r="I15" i="4" l="1"/>
  <c r="K15" i="4"/>
  <c r="G14" i="4" l="1"/>
  <c r="G9" i="4" l="1"/>
  <c r="G13" i="4"/>
  <c r="E9" i="19"/>
  <c r="E10" i="19" s="1"/>
  <c r="E12" i="19" s="1"/>
  <c r="E14" i="19" s="1"/>
  <c r="E15" i="19" s="1"/>
  <c r="G18" i="4" l="1"/>
  <c r="G19" i="4"/>
  <c r="E16" i="19"/>
  <c r="E17" i="19" s="1"/>
  <c r="C15" i="4" l="1"/>
  <c r="G11" i="4"/>
  <c r="E19" i="19"/>
  <c r="E20" i="19" s="1"/>
  <c r="C20" i="4" l="1"/>
  <c r="C25" i="4" s="1"/>
  <c r="C28" i="4" s="1"/>
  <c r="I19" i="4" l="1"/>
  <c r="C50" i="24"/>
  <c r="F10" i="19" l="1"/>
  <c r="F11" i="19" s="1"/>
  <c r="F12" i="19" s="1"/>
  <c r="F13" i="19" s="1"/>
  <c r="F14" i="19" s="1"/>
  <c r="F15" i="19" s="1"/>
  <c r="F16" i="19" s="1"/>
  <c r="F17" i="19" s="1"/>
  <c r="F18" i="19" s="1"/>
  <c r="F19" i="19" s="1"/>
  <c r="F20" i="19" s="1"/>
  <c r="G18" i="43" l="1"/>
  <c r="G19" i="43" l="1"/>
  <c r="I18" i="4" l="1"/>
  <c r="K19" i="4"/>
  <c r="K18" i="4" l="1"/>
  <c r="C19" i="5" l="1"/>
  <c r="C46" i="2" l="1"/>
  <c r="C30" i="2"/>
  <c r="E19" i="5"/>
  <c r="F13" i="5"/>
  <c r="F38" i="5"/>
  <c r="D19" i="5"/>
  <c r="D25" i="33" l="1"/>
  <c r="A4" i="34" l="1"/>
  <c r="B1" i="32"/>
  <c r="A1" i="31"/>
  <c r="A1" i="28"/>
  <c r="A1" i="27"/>
  <c r="A1" i="26"/>
  <c r="A1" i="33"/>
  <c r="A1" i="25"/>
  <c r="A1" i="24"/>
  <c r="B3" i="19"/>
  <c r="B3" i="18"/>
  <c r="E5" i="16"/>
  <c r="A1" i="5"/>
  <c r="A1" i="34"/>
  <c r="A1" i="4"/>
  <c r="C34" i="24" l="1"/>
  <c r="E21" i="5" s="1"/>
  <c r="C22" i="24"/>
  <c r="D21" i="5" s="1"/>
  <c r="C37" i="24" l="1"/>
  <c r="C21" i="32"/>
  <c r="A2" i="24"/>
  <c r="A2" i="25" s="1"/>
  <c r="A2" i="26" s="1"/>
  <c r="A2" i="27" s="1"/>
  <c r="A2" i="28" s="1"/>
  <c r="B14" i="31"/>
  <c r="E12" i="28"/>
  <c r="B21" i="27"/>
  <c r="B15" i="27"/>
  <c r="C13" i="26"/>
  <c r="B13" i="26"/>
  <c r="C44" i="25"/>
  <c r="D29" i="5" s="1"/>
  <c r="B18" i="31" l="1"/>
  <c r="A2" i="31"/>
  <c r="B2" i="32" s="1"/>
  <c r="A1" i="3"/>
  <c r="A1" i="2"/>
  <c r="C5" i="13"/>
  <c r="D19" i="19"/>
  <c r="E5" i="19"/>
  <c r="D15" i="19" s="1"/>
  <c r="B4" i="19"/>
  <c r="E22" i="18"/>
  <c r="E5" i="18"/>
  <c r="B4" i="18"/>
  <c r="G17" i="16"/>
  <c r="G7" i="16"/>
  <c r="E6" i="16"/>
  <c r="F23" i="13"/>
  <c r="C6" i="13"/>
  <c r="E10" i="13" s="1"/>
  <c r="E11" i="13" s="1"/>
  <c r="E12" i="13" s="1"/>
  <c r="E13" i="13" s="1"/>
  <c r="E14" i="13" s="1"/>
  <c r="E15" i="13" s="1"/>
  <c r="E16" i="13" s="1"/>
  <c r="E17" i="13" s="1"/>
  <c r="E18" i="13" s="1"/>
  <c r="E19" i="13" s="1"/>
  <c r="E20" i="13" s="1"/>
  <c r="E21" i="13" s="1"/>
  <c r="B2" i="24" l="1"/>
  <c r="B2" i="25" s="1"/>
  <c r="B2" i="26" s="1"/>
  <c r="B2" i="27" s="1"/>
  <c r="D2" i="28" s="1"/>
  <c r="D18" i="18"/>
  <c r="D14" i="18"/>
  <c r="D10" i="18"/>
  <c r="D17" i="18"/>
  <c r="D13" i="18"/>
  <c r="D9" i="18"/>
  <c r="D20" i="18"/>
  <c r="D16" i="18"/>
  <c r="D12" i="18"/>
  <c r="D8" i="18"/>
  <c r="D19" i="18"/>
  <c r="D15" i="18"/>
  <c r="D11" i="18"/>
  <c r="D20" i="19"/>
  <c r="D16" i="19"/>
  <c r="D12" i="19"/>
  <c r="D17" i="19"/>
  <c r="D13" i="19"/>
  <c r="D9" i="19"/>
  <c r="D18" i="19"/>
  <c r="D14" i="19"/>
  <c r="D10" i="19"/>
  <c r="D8" i="19"/>
  <c r="D11" i="19"/>
  <c r="E22" i="19"/>
  <c r="B2" i="31" l="1"/>
  <c r="C2" i="32" s="1"/>
  <c r="F22" i="19"/>
  <c r="F29" i="5" l="1"/>
  <c r="F28" i="5"/>
  <c r="F27" i="5"/>
  <c r="F21" i="5"/>
  <c r="E31" i="5"/>
  <c r="E42" i="5" s="1"/>
  <c r="C11" i="3" s="1"/>
  <c r="F18" i="5"/>
  <c r="F16" i="5"/>
  <c r="F15" i="5"/>
  <c r="F11" i="5"/>
  <c r="F10" i="5"/>
  <c r="G24" i="4"/>
  <c r="G23" i="4"/>
  <c r="G22" i="4"/>
  <c r="F15" i="4"/>
  <c r="E15" i="4"/>
  <c r="D15" i="4"/>
  <c r="G15" i="4" s="1"/>
  <c r="C27" i="3"/>
  <c r="A4" i="3"/>
  <c r="A4" i="4" s="1"/>
  <c r="A4" i="5" s="1"/>
  <c r="A2" i="33" s="1"/>
  <c r="F54" i="2"/>
  <c r="C54" i="2"/>
  <c r="F45" i="2"/>
  <c r="F33" i="2"/>
  <c r="F28" i="2"/>
  <c r="E20" i="4" l="1"/>
  <c r="E25" i="4" s="1"/>
  <c r="E28" i="4" s="1"/>
  <c r="D36" i="33"/>
  <c r="D35" i="33"/>
  <c r="D30" i="33"/>
  <c r="D26" i="33"/>
  <c r="D27" i="33"/>
  <c r="D24" i="33"/>
  <c r="C31" i="5"/>
  <c r="F19" i="5"/>
  <c r="B8" i="33" l="1"/>
  <c r="C28" i="33"/>
  <c r="B7" i="33" s="1"/>
  <c r="D28" i="33"/>
  <c r="B28" i="33" l="1"/>
  <c r="F23" i="5" l="1"/>
  <c r="D32" i="33" l="1"/>
  <c r="C13" i="25"/>
  <c r="D25" i="5" s="1"/>
  <c r="F25" i="5" s="1"/>
  <c r="D34" i="33" s="1"/>
  <c r="B9" i="33" l="1"/>
  <c r="F31" i="5"/>
  <c r="F42" i="5" s="1"/>
  <c r="D31" i="5"/>
  <c r="D42" i="5" s="1"/>
  <c r="C10" i="3" l="1"/>
  <c r="D37" i="33"/>
  <c r="C15" i="3" l="1"/>
  <c r="B37" i="33"/>
  <c r="C37" i="33"/>
  <c r="B10" i="33" s="1"/>
  <c r="C16" i="3" l="1"/>
  <c r="B11" i="33"/>
  <c r="C18" i="3" l="1"/>
  <c r="C23" i="3" l="1"/>
  <c r="I17" i="4"/>
  <c r="C28" i="3" l="1"/>
  <c r="K17" i="4"/>
  <c r="D158" i="1" s="1"/>
  <c r="I20" i="4"/>
  <c r="D161" i="1" l="1"/>
  <c r="D189" i="1" s="1"/>
  <c r="I158" i="1"/>
  <c r="I161" i="1" s="1"/>
  <c r="I189" i="1" s="1"/>
  <c r="C31" i="3"/>
  <c r="G22" i="43"/>
  <c r="G26" i="43"/>
  <c r="I25" i="4"/>
  <c r="I28" i="4" s="1"/>
  <c r="K20" i="4"/>
  <c r="K25" i="4" s="1"/>
  <c r="K28" i="4" s="1"/>
  <c r="G27" i="43" l="1"/>
  <c r="L27" i="43" s="1"/>
  <c r="G23" i="43"/>
  <c r="L23" i="43" s="1"/>
  <c r="C15" i="2"/>
  <c r="G27" i="4"/>
  <c r="D20" i="4" l="1"/>
  <c r="G17" i="4"/>
  <c r="F20" i="4"/>
  <c r="F25" i="4" s="1"/>
  <c r="F28" i="4" s="1"/>
  <c r="G20" i="4" l="1"/>
  <c r="D25" i="4"/>
  <c r="D28" i="4" l="1"/>
  <c r="G28" i="4" s="1"/>
  <c r="G25" i="4"/>
  <c r="C11" i="2" s="1"/>
  <c r="G30" i="43" l="1"/>
  <c r="G31" i="43" s="1"/>
  <c r="L31" i="43" s="1"/>
  <c r="L33" i="43" s="1"/>
  <c r="G36" i="43"/>
  <c r="G37" i="43" s="1"/>
  <c r="L37" i="43" s="1"/>
  <c r="G40" i="43"/>
  <c r="G41" i="43" s="1"/>
  <c r="L41" i="43" s="1"/>
  <c r="C16" i="2"/>
  <c r="C22" i="2" l="1"/>
  <c r="F74" i="43"/>
  <c r="G74" i="43" s="1"/>
  <c r="F73" i="43"/>
  <c r="G73" i="43" s="1"/>
  <c r="F75" i="43"/>
  <c r="G75" i="43" s="1"/>
  <c r="L43" i="43"/>
  <c r="I75" i="43" s="1"/>
  <c r="J75" i="43" s="1"/>
  <c r="F16" i="2" l="1"/>
  <c r="C56" i="2"/>
  <c r="L75" i="43"/>
  <c r="N75" i="43" s="1"/>
  <c r="I74" i="43"/>
  <c r="J74" i="43" s="1"/>
  <c r="L74" i="43" s="1"/>
  <c r="N74" i="43" s="1"/>
  <c r="I73" i="43"/>
  <c r="J73" i="43" s="1"/>
  <c r="L73" i="43" s="1"/>
  <c r="N73" i="43" s="1"/>
  <c r="F56" i="2" l="1"/>
  <c r="F58" i="2" s="1"/>
  <c r="N93" i="43"/>
  <c r="L93" i="43"/>
  <c r="D193" i="1" s="1"/>
  <c r="I193" i="1" l="1"/>
  <c r="I198" i="1" s="1"/>
  <c r="I10" i="1" s="1"/>
  <c r="D198" i="1"/>
  <c r="C13" i="32"/>
  <c r="C22" i="32" s="1"/>
  <c r="I263" i="1" s="1"/>
  <c r="L95" i="43"/>
  <c r="C17" i="32" l="1"/>
  <c r="C20" i="32" s="1"/>
  <c r="I261" i="1" s="1"/>
  <c r="I265" i="1" s="1"/>
  <c r="D14" i="1" s="1"/>
  <c r="I14" i="1" s="1"/>
  <c r="I17" i="1" s="1"/>
  <c r="I31" i="1" s="1"/>
  <c r="C23" i="32"/>
  <c r="N37" i="1" l="1"/>
  <c r="N36" i="1"/>
  <c r="N38" i="1" s="1"/>
  <c r="D43" i="1"/>
  <c r="C24" i="32"/>
  <c r="I48" i="1" l="1"/>
  <c r="I47" i="1"/>
  <c r="D44" i="1"/>
  <c r="D49" i="1"/>
  <c r="I49" i="1"/>
  <c r="D48" i="1"/>
  <c r="D47" i="1"/>
</calcChain>
</file>

<file path=xl/sharedStrings.xml><?xml version="1.0" encoding="utf-8"?>
<sst xmlns="http://schemas.openxmlformats.org/spreadsheetml/2006/main" count="1226" uniqueCount="883">
  <si>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</si>
  <si>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</si>
  <si>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</si>
  <si>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</si>
  <si>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</si>
  <si>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</si>
  <si>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</si>
  <si>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</si>
  <si>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</si>
  <si>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</si>
  <si>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</si>
  <si>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</si>
  <si>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</si>
  <si>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</si>
  <si>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</si>
  <si>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</si>
  <si>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</si>
  <si>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</si>
  <si>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</si>
  <si>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</si>
  <si>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</si>
  <si>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</si>
  <si>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</si>
  <si>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</si>
  <si>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</si>
  <si>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</si>
  <si>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</si>
  <si>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</si>
  <si>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</si>
  <si>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</si>
  <si>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</si>
  <si>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</si>
  <si>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</si>
  <si>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</si>
  <si>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</si>
  <si>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</si>
  <si>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</si>
  <si>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</si>
  <si>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</si>
  <si>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</si>
  <si>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</si>
  <si>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</si>
  <si>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</si>
  <si>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</si>
  <si>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</si>
  <si>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</si>
  <si>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</si>
  <si>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</si>
  <si>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</si>
  <si>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</si>
  <si>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</si>
  <si>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</si>
  <si>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</si>
  <si>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</si>
  <si>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</si>
  <si>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</si>
  <si>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</si>
  <si>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</si>
  <si>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</si>
  <si>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</si>
  <si>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</si>
  <si>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</si>
  <si>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</si>
  <si>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</si>
  <si>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</si>
  <si>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</si>
  <si>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</si>
  <si>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</si>
  <si>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</si>
  <si>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</si>
  <si>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</si>
  <si>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</si>
  <si>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</si>
  <si>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</si>
  <si>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</si>
  <si>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</si>
  <si>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</si>
  <si>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</si>
  <si>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</si>
  <si>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</si>
  <si>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</si>
  <si>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</si>
  <si>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</si>
  <si>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</si>
  <si>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</si>
  <si>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</si>
  <si>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</si>
  <si>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</si>
  <si>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</si>
  <si>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</si>
  <si>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</si>
  <si>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</si>
  <si>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</si>
  <si>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</si>
  <si>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</si>
  <si>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</si>
  <si>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</si>
  <si>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</si>
  <si>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</si>
  <si>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</si>
  <si>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</si>
  <si>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</si>
  <si>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</si>
  <si>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</si>
  <si>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</si>
  <si>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</si>
  <si>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</si>
  <si>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</si>
  <si>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</si>
  <si>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</si>
  <si>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</si>
  <si>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</si>
  <si>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</si>
  <si>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</si>
  <si>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</si>
  <si>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</si>
  <si>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</si>
  <si>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</si>
  <si>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</si>
  <si>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</si>
  <si>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</si>
  <si>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</si>
  <si>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</si>
  <si>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</si>
  <si>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</si>
  <si>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</si>
  <si>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</si>
  <si>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</si>
  <si>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</si>
  <si>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</si>
  <si>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</si>
  <si>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</si>
  <si>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</si>
  <si>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</si>
  <si>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</si>
  <si>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</si>
  <si>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</si>
  <si>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</si>
  <si>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</si>
  <si>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</si>
  <si>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</si>
  <si>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</si>
  <si>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</si>
  <si>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</si>
  <si>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</si>
  <si>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</si>
  <si>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</si>
  <si>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</si>
  <si>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</si>
  <si>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</si>
  <si>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</si>
  <si>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</si>
  <si>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</si>
  <si>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</si>
  <si>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</si>
  <si>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</si>
  <si>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</si>
  <si>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</si>
  <si>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</si>
  <si>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</si>
  <si>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</si>
  <si>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</si>
  <si>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</si>
  <si>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</si>
  <si>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</si>
  <si>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</si>
  <si>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</si>
  <si>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</si>
  <si>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</si>
  <si>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</si>
  <si>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</si>
  <si>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</si>
  <si>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</si>
  <si>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</si>
  <si>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</si>
  <si>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</si>
  <si>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</si>
  <si>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</si>
  <si>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</si>
  <si>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</si>
  <si>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</si>
  <si>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</si>
  <si>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</si>
  <si>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</si>
  <si>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</si>
  <si>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</si>
  <si>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</si>
  <si>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</si>
  <si>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</si>
  <si>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</si>
  <si>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</si>
  <si>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</si>
  <si>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</si>
  <si>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Schedule 1 Recoveralbe Expenses</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</si>
  <si>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</si>
  <si>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</si>
  <si>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</si>
  <si>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</si>
  <si>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</si>
  <si>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</si>
  <si>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</si>
  <si>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</si>
  <si>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</si>
  <si>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</si>
  <si>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</si>
  <si>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</si>
  <si>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</si>
  <si>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</si>
  <si>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</si>
  <si>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</si>
  <si>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</si>
  <si>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</si>
  <si>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</si>
  <si>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</si>
  <si>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</si>
  <si>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</si>
  <si>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</si>
  <si>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</si>
  <si>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</si>
  <si>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</si>
  <si>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</si>
  <si>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</si>
  <si>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</si>
  <si>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</si>
  <si>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</si>
  <si>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</si>
  <si>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</si>
  <si>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</si>
  <si>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</si>
  <si>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</si>
  <si>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</si>
  <si>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</si>
  <si>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</si>
  <si>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</si>
  <si>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</si>
  <si>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</si>
  <si>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</si>
  <si>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</si>
  <si>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</si>
  <si>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</si>
  <si>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</si>
  <si>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</si>
  <si>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</si>
  <si>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</si>
  <si>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</si>
  <si>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</si>
  <si>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</si>
  <si>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</si>
  <si>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</si>
  <si>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</si>
  <si>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</si>
  <si>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</si>
  <si>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</si>
  <si>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</si>
  <si>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</si>
  <si>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</si>
  <si>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</si>
  <si>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</si>
  <si>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</si>
  <si>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</si>
  <si>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</si>
  <si>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</si>
  <si>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</si>
  <si>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</si>
  <si>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</si>
  <si>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</si>
  <si>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</si>
  <si>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</si>
  <si>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</si>
  <si>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</si>
  <si>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</si>
  <si>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</si>
  <si>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</si>
  <si>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</si>
  <si>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</si>
  <si>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</si>
  <si>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</si>
  <si>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</si>
  <si>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</si>
  <si>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</si>
  <si>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</si>
  <si>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</si>
  <si>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</si>
  <si>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</si>
  <si>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</si>
  <si>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</si>
  <si>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</si>
  <si>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</si>
  <si>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</si>
  <si>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</si>
  <si>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r>
      <t>Removes transmission plant determined  to be state-jurisdictional by Commission order according to the seven-factor test (until EIA 412 balances are adjusted to reflect applicat</t>
    </r>
    <r>
      <rPr>
        <sz val="12"/>
        <color rgb="FFFF0000"/>
        <rFont val="Times New Roman"/>
        <family val="1"/>
      </rPr>
      <t>i</t>
    </r>
    <r>
      <rPr>
        <sz val="12"/>
        <rFont val="Times New Roman"/>
        <family val="1"/>
      </rPr>
      <t>on of seven-factor test).</t>
    </r>
  </si>
  <si>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</si>
  <si>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</si>
  <si>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</si>
  <si>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</si>
  <si>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</si>
  <si>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</si>
  <si>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</si>
  <si>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</si>
  <si>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</si>
  <si>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</si>
  <si>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</si>
  <si>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</si>
  <si>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</si>
  <si>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</si>
  <si>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</si>
  <si>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</si>
  <si>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</si>
  <si>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</si>
  <si>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</si>
  <si>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</si>
  <si>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</si>
  <si>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</si>
  <si>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</si>
  <si>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</si>
  <si>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</si>
  <si>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</si>
  <si>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</si>
  <si>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</si>
  <si>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</si>
  <si>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</si>
  <si>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</si>
  <si>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</si>
  <si>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</si>
  <si>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</si>
  <si>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</si>
  <si>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</si>
  <si>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</si>
  <si>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</si>
  <si>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</si>
  <si>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</si>
  <si>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</si>
  <si>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</si>
  <si>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</si>
  <si>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</si>
  <si>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</si>
  <si>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</si>
  <si>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</si>
  <si>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</si>
  <si>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</si>
  <si>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</si>
  <si>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</si>
  <si>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</si>
  <si>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</si>
  <si>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</si>
  <si>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</si>
  <si>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</si>
  <si>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</si>
  <si>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</si>
  <si>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</si>
  <si>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</si>
  <si>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</si>
  <si>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</si>
  <si>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</si>
  <si>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</si>
  <si>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</si>
  <si>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</si>
  <si>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</si>
  <si>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</si>
  <si>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</si>
  <si>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</si>
  <si>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</si>
  <si>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</si>
  <si>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</si>
  <si>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</si>
  <si>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</si>
  <si>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</si>
  <si>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</si>
  <si>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</si>
  <si>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</si>
  <si>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</si>
  <si>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</si>
  <si>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</si>
  <si>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</si>
  <si>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</si>
  <si>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</si>
  <si>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</si>
  <si>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</si>
  <si>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</si>
  <si>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</si>
  <si>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</si>
  <si>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</si>
  <si>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</si>
  <si>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</si>
  <si>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</si>
  <si>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</si>
  <si>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</si>
  <si>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</si>
  <si>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</si>
  <si>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</si>
  <si>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</si>
  <si>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</si>
  <si>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</si>
  <si>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</si>
  <si>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</si>
  <si>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</si>
  <si>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</si>
  <si>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</si>
  <si>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</si>
  <si>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</si>
  <si>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</si>
  <si>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</si>
  <si>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</si>
  <si>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</si>
  <si>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</si>
  <si>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</si>
  <si>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</si>
  <si>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</si>
  <si>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</si>
  <si>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</si>
  <si>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</si>
  <si>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</si>
  <si>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</si>
  <si>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</si>
  <si>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</si>
  <si>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</si>
  <si>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</si>
  <si>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</si>
  <si>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</si>
  <si>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</si>
  <si>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</si>
  <si>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</si>
  <si>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</si>
  <si>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</si>
  <si>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</si>
  <si>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</si>
  <si>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</si>
  <si>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</si>
  <si>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</si>
  <si>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</si>
  <si>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</si>
  <si>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</si>
  <si>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</si>
  <si>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</si>
  <si>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</si>
  <si>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</si>
  <si>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</si>
  <si>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</si>
  <si>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</si>
  <si>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</si>
  <si>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</si>
  <si>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</si>
  <si>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</si>
  <si>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</si>
  <si>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</si>
  <si>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</si>
  <si>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</si>
  <si>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</si>
  <si>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</si>
  <si>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</si>
  <si>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</si>
  <si>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</si>
  <si>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</si>
  <si>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</si>
  <si>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</si>
  <si>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</si>
  <si>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</si>
  <si>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</si>
  <si>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</si>
  <si>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</si>
  <si>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</si>
  <si>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</si>
  <si>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</si>
  <si>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</si>
  <si>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</si>
  <si>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</si>
  <si>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</si>
  <si>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</si>
  <si>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</si>
  <si>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</si>
  <si>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</si>
  <si>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</si>
  <si>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</si>
  <si>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</si>
  <si>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</si>
  <si>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</si>
  <si>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</si>
  <si>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</si>
  <si>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</si>
  <si>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</si>
  <si>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</si>
  <si>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</si>
  <si>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</si>
  <si>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</si>
  <si>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</si>
  <si>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Wages &amp; Salary detail is shown in Salaries Tab</t>
  </si>
  <si>
    <t>January</t>
  </si>
  <si>
    <t>February</t>
  </si>
  <si>
    <t>March</t>
  </si>
  <si>
    <t>April</t>
  </si>
  <si>
    <t>May</t>
  </si>
  <si>
    <t>June</t>
  </si>
  <si>
    <t>July</t>
  </si>
  <si>
    <t>August</t>
  </si>
  <si>
    <t>September</t>
  </si>
  <si>
    <t>October</t>
  </si>
  <si>
    <t>November</t>
  </si>
  <si>
    <t>December</t>
  </si>
  <si>
    <t xml:space="preserve">Attachment O Workpapers </t>
  </si>
  <si>
    <t>Forecasted 12 Months Ended December 31,</t>
  </si>
  <si>
    <t>Attachment O Workpapers - Divisor</t>
  </si>
  <si>
    <t>Line No.</t>
  </si>
  <si>
    <t xml:space="preserve">Month </t>
  </si>
  <si>
    <t>Year</t>
  </si>
  <si>
    <t>12 Month Average</t>
  </si>
  <si>
    <t>Attach O, page 1, line 8</t>
  </si>
  <si>
    <t>Attachment O Workpapers - Plant</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</si>
  <si>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</si>
  <si>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</si>
  <si>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</si>
  <si>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</si>
  <si>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</si>
  <si>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</si>
  <si>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</si>
  <si>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</si>
  <si>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</si>
  <si>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</si>
  <si>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</si>
  <si>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</si>
  <si>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</si>
  <si>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</si>
  <si>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</si>
  <si>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</si>
  <si>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</si>
  <si>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</si>
  <si>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</si>
  <si>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</si>
  <si>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</si>
  <si>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</si>
  <si>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Attachment O Workpapers - Adjustments to Rate Base</t>
  </si>
  <si>
    <t>Adjustments to Rate Base</t>
  </si>
  <si>
    <t>Account 281 (enter as negative)</t>
  </si>
  <si>
    <t>Account 282  (enter as negative)</t>
  </si>
  <si>
    <t>Account 283  (enter as negative)</t>
  </si>
  <si>
    <t>Account 190</t>
  </si>
  <si>
    <t>Account 255  (enter as negative)</t>
  </si>
  <si>
    <t>Total Adjustments to Rate Base</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</si>
  <si>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</si>
  <si>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</si>
  <si>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Line 27</t>
  </si>
  <si>
    <t>Line 28</t>
  </si>
  <si>
    <t>Attachment O Workpapers - Capital Structure</t>
  </si>
  <si>
    <t>Outstanding Long-term Debt</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</si>
  <si>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</si>
  <si>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</si>
  <si>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</si>
  <si>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</si>
  <si>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</si>
  <si>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</si>
  <si>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</si>
  <si>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</si>
  <si>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</si>
  <si>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</si>
  <si>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</si>
  <si>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</si>
  <si>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</si>
  <si>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</si>
  <si>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</si>
  <si>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</si>
  <si>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</si>
  <si>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</si>
  <si>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</si>
  <si>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</si>
  <si>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</si>
  <si>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</si>
  <si>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</si>
  <si>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</si>
  <si>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</si>
  <si>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</si>
  <si>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</si>
  <si>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</si>
  <si>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</si>
  <si>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</si>
  <si>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</si>
  <si>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</si>
  <si>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</si>
  <si>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</si>
  <si>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</si>
  <si>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</si>
  <si>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</si>
  <si>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</si>
  <si>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</si>
  <si>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</si>
  <si>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</si>
  <si>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</si>
  <si>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</si>
  <si>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</si>
  <si>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</si>
  <si>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</si>
  <si>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12 CP Load</t>
  </si>
  <si>
    <t>2015 Depreciation</t>
  </si>
  <si>
    <t>Attachment O Workpapers - Transmission Materials &amp; Supplies and Total Prepayments</t>
  </si>
  <si>
    <t>Transmission Materials and Supplies</t>
  </si>
  <si>
    <t>Total Prepayments - Account 165</t>
  </si>
  <si>
    <t>Total Transmission O&amp;M Expense</t>
  </si>
  <si>
    <t>Please provide the following information:</t>
  </si>
  <si>
    <t>What line of the audited financial statements includes the Transmission O&amp;M Expense?</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</si>
  <si>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</si>
  <si>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</si>
  <si>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</si>
  <si>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</si>
  <si>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</si>
  <si>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</si>
  <si>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</si>
  <si>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</si>
  <si>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</si>
  <si>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</si>
  <si>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</si>
  <si>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</si>
  <si>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</si>
  <si>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</si>
  <si>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</si>
  <si>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</si>
  <si>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</si>
  <si>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</si>
  <si>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</si>
  <si>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</si>
  <si>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</si>
  <si>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</si>
  <si>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</si>
  <si>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</si>
  <si>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</si>
  <si>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</si>
  <si>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</si>
  <si>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</si>
  <si>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What line of the audited financial statements includes the A&amp;G Expense?</t>
  </si>
  <si>
    <t>What line of the audited financial statements includes the Customer Account, Customer Service, and Sales Expense?</t>
  </si>
  <si>
    <t>Attachment O, page 3, line 4</t>
  </si>
  <si>
    <t>Account</t>
  </si>
  <si>
    <t>FERC fees recorded to expense during the year</t>
  </si>
  <si>
    <t>Charged</t>
  </si>
  <si>
    <t>FERC fees payable to FERC</t>
  </si>
  <si>
    <t>FERC fees paid to MISO via Schedule 10-FERC</t>
  </si>
  <si>
    <t>Other FERC fees paid</t>
  </si>
  <si>
    <t>Attachment O, page 3, lines 5 and 5a</t>
  </si>
  <si>
    <t>EPRI Costs</t>
  </si>
  <si>
    <t>recorded in Usof A account ________, relfected in I/S in _______ exp</t>
  </si>
  <si>
    <r>
      <t xml:space="preserve">Regulatory Commission Expense (provide a brief but descriptive list of charges)  </t>
    </r>
    <r>
      <rPr>
        <b/>
        <u/>
        <sz val="11"/>
        <color theme="1"/>
        <rFont val="Calibri"/>
        <family val="2"/>
        <scheme val="minor"/>
      </rPr>
      <t>Indicate by yellow highlight if Transmission Related</t>
    </r>
  </si>
  <si>
    <t>Rate case - docket XX</t>
  </si>
  <si>
    <t>recorded in UsofA account ________, relfected in I/S in ________ exp</t>
  </si>
  <si>
    <t>Fuel adjustment clause docket XX</t>
  </si>
  <si>
    <t>recorded in USofA account ________, relfected in I/S in _________ exp</t>
  </si>
  <si>
    <t>Non Safety Advertising (provide a brief but descriptive list of charges</t>
  </si>
  <si>
    <t>Xxxxxxxx</t>
  </si>
  <si>
    <t>recorded in USofA account ________, relfected in I/S in ________ exp</t>
  </si>
  <si>
    <r>
      <t>If a zero is reported</t>
    </r>
    <r>
      <rPr>
        <b/>
        <u/>
        <sz val="11"/>
        <color theme="1"/>
        <rFont val="Calibri"/>
        <family val="2"/>
        <scheme val="minor"/>
      </rPr>
      <t xml:space="preserve"> for any category above</t>
    </r>
    <r>
      <rPr>
        <b/>
        <sz val="11"/>
        <color theme="1"/>
        <rFont val="Calibri"/>
        <family val="2"/>
        <scheme val="minor"/>
      </rPr>
      <t>, please provide a brief explanation as to why.</t>
    </r>
  </si>
  <si>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</si>
  <si>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</si>
  <si>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</si>
  <si>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</si>
  <si>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</si>
  <si>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</si>
  <si>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</si>
  <si>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</si>
  <si>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</si>
  <si>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</si>
  <si>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</si>
  <si>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</si>
  <si>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</si>
  <si>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</si>
  <si>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</si>
  <si>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</si>
  <si>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</si>
  <si>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Attachment O, page 4, line 30</t>
  </si>
  <si>
    <t>Property Description</t>
  </si>
  <si>
    <t>XXXXX</t>
  </si>
  <si>
    <t>Total Rent Income</t>
  </si>
  <si>
    <t>Includes income related only to transmission facilities,</t>
  </si>
  <si>
    <t>such as pole attachments, rentals and special use.</t>
  </si>
  <si>
    <t>Should tie to a financial statement line item - if not please</t>
  </si>
  <si>
    <t>indicate what line of the audited financials reflectes Pre Payments</t>
  </si>
  <si>
    <t xml:space="preserve">and indicate what other items are included in that financial statement line item </t>
  </si>
  <si>
    <t>by providing a brief but descriptive explanation</t>
  </si>
  <si>
    <t>Account 456.1 (Other Electric Revenues)</t>
  </si>
  <si>
    <t>Account 456.1</t>
  </si>
  <si>
    <t>Revenue</t>
  </si>
  <si>
    <t>MISO Schedule 7 &amp; 8</t>
  </si>
  <si>
    <t>MISO Schedule 9</t>
  </si>
  <si>
    <t>MISO Schedule 1</t>
  </si>
  <si>
    <t>MISO Schedule 2</t>
  </si>
  <si>
    <t>MISO Schedule 24</t>
  </si>
  <si>
    <t>MISO Schedule 26 (NUC)</t>
  </si>
  <si>
    <t>MISO Schedule 26-A (MVP)</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</si>
  <si>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</si>
  <si>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</si>
  <si>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</si>
  <si>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</si>
  <si>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</si>
  <si>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</si>
  <si>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</si>
  <si>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</si>
  <si>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</si>
  <si>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</si>
  <si>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</si>
  <si>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</si>
  <si>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</si>
  <si>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</si>
  <si>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</si>
  <si>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</si>
  <si>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</si>
  <si>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</si>
  <si>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</si>
  <si>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</si>
  <si>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</si>
  <si>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</si>
  <si>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</si>
  <si>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</si>
  <si>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</si>
  <si>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</si>
  <si>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</si>
  <si>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</si>
  <si>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</si>
  <si>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</si>
  <si>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Total Operation Expense</t>
  </si>
  <si>
    <t>Total Maintenance Expense</t>
  </si>
  <si>
    <t>EIA Form 412</t>
  </si>
  <si>
    <t>Schedule 2, Line  33</t>
  </si>
  <si>
    <t>Schedule 2, Line  36</t>
  </si>
  <si>
    <t>Rochester Public Utilities</t>
  </si>
  <si>
    <t>For the 12 months ended 12/31/15</t>
  </si>
  <si>
    <t>Attachment O, page 4, line 12 - 15</t>
  </si>
  <si>
    <t>Report on Attachment O, page 4, line 12</t>
  </si>
  <si>
    <t>Transmisssion</t>
  </si>
  <si>
    <t>Report on Attachment O, page 4, line 13</t>
  </si>
  <si>
    <t>Report on Attachment O, page 4, line 14</t>
  </si>
  <si>
    <t>Other _1/</t>
  </si>
  <si>
    <t>Report on Attachment O, page 4, line 15</t>
  </si>
  <si>
    <t>Does this tie to a line item on the audited f/s?</t>
  </si>
  <si>
    <t xml:space="preserve">If not, please provide an explantion and a  work paper </t>
  </si>
  <si>
    <t>reconciling to the audited financial statements</t>
  </si>
  <si>
    <r>
      <t xml:space="preserve">Confirm that the above does not contain any capitalized wages. </t>
    </r>
    <r>
      <rPr>
        <b/>
        <sz val="11"/>
        <color theme="1"/>
        <rFont val="Calibri"/>
        <family val="2"/>
        <scheme val="minor"/>
      </rPr>
      <t xml:space="preserve"> Correct.</t>
    </r>
  </si>
  <si>
    <r>
      <t xml:space="preserve">Confirm that the above does not contain any any A&amp;G related wages  . </t>
    </r>
    <r>
      <rPr>
        <b/>
        <sz val="11"/>
        <color theme="1"/>
        <rFont val="Calibri"/>
        <family val="2"/>
        <scheme val="minor"/>
      </rPr>
      <t>Correct.</t>
    </r>
  </si>
  <si>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</si>
  <si>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</si>
  <si>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</si>
  <si>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</si>
  <si>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</si>
  <si>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</si>
  <si>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</si>
  <si>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</si>
  <si>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</si>
  <si>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</si>
  <si>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</si>
  <si>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</si>
  <si>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</si>
  <si>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</si>
  <si>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</si>
  <si>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</si>
  <si>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</si>
  <si>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</si>
  <si>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</si>
  <si>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</si>
  <si>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</si>
  <si>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6</t>
  </si>
  <si>
    <t>10</t>
  </si>
  <si>
    <t>Amortization of Prepaid Lease Revenue from SMMPA for a RPU Transmission Line</t>
  </si>
  <si>
    <t>Attachment O Transmission</t>
  </si>
  <si>
    <t>Attachment GG Transmission</t>
  </si>
  <si>
    <t>Att GG Page 2</t>
  </si>
  <si>
    <t>Line 1a</t>
  </si>
  <si>
    <t>Total Transmission</t>
  </si>
  <si>
    <t>RPU does not have any EPRI costs.</t>
  </si>
  <si>
    <t>RPU does not have any regulatory commission expenses related to rate cases or fuel adjustments.</t>
  </si>
  <si>
    <t>A&amp;G expenses are included in Income Statement lines Operation Expenses and Maintenance Expenses</t>
  </si>
  <si>
    <t>These expenses are included in Income Statement line Operation Expenses</t>
  </si>
  <si>
    <t>Transmission expenses are included in Income Statement lines Operation Expenses and Maintenance Expenses</t>
  </si>
  <si>
    <t>SMMPA Power Sales Contract</t>
  </si>
  <si>
    <t>Midcontinent Independent System Operator</t>
  </si>
  <si>
    <r>
      <t>Unamortized Premium</t>
    </r>
    <r>
      <rPr>
        <b/>
        <sz val="11"/>
        <color theme="1"/>
        <rFont val="Calibri"/>
        <family val="2"/>
        <scheme val="minor"/>
      </rPr>
      <t xml:space="preserve"> on Long-term Debt</t>
    </r>
  </si>
  <si>
    <r>
      <t xml:space="preserve">Unamortized </t>
    </r>
    <r>
      <rPr>
        <b/>
        <sz val="11"/>
        <color theme="1"/>
        <rFont val="Calibri"/>
        <family val="2"/>
        <scheme val="minor"/>
      </rPr>
      <t>Discount on Long-term Debt</t>
    </r>
  </si>
  <si>
    <t>Schedule 2, Line  35</t>
  </si>
  <si>
    <t>Attachment O, Page 4</t>
  </si>
  <si>
    <t>Line 22</t>
  </si>
  <si>
    <t>Line 23</t>
  </si>
  <si>
    <t>Schedule 2, Line  32</t>
  </si>
  <si>
    <t>CC</t>
  </si>
  <si>
    <t>Calculate using 13 month average balances</t>
  </si>
  <si>
    <t>(line 1 minus line 6 + line 6c + line 6h + line 6i)</t>
  </si>
  <si>
    <t xml:space="preserve">Attachment GG </t>
  </si>
  <si>
    <t>Formula Rate calculation</t>
  </si>
  <si>
    <t xml:space="preserve">     Rate Formula Template</t>
  </si>
  <si>
    <t>For  the 12 months ended 12/31/2015</t>
  </si>
  <si>
    <t xml:space="preserve"> Utilizing Attachment O Data</t>
  </si>
  <si>
    <t>Page 1 of 2</t>
  </si>
  <si>
    <t>To be completed in conjunction with Attachment O</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</si>
  <si>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</si>
  <si>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</si>
  <si>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</si>
  <si>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</si>
  <si>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</si>
  <si>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</si>
  <si>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</si>
  <si>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</si>
  <si>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</si>
  <si>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</si>
  <si>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</si>
  <si>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</si>
  <si>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</si>
  <si>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</si>
  <si>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</si>
  <si>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</si>
  <si>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</si>
  <si>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</si>
  <si>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</si>
  <si>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</si>
  <si>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</si>
  <si>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</si>
  <si>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</si>
  <si>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</si>
  <si>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</si>
  <si>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</si>
  <si>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</si>
  <si>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</si>
  <si>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</si>
  <si>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</si>
  <si>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</si>
  <si>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</si>
  <si>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</si>
  <si>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</si>
  <si>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</si>
  <si>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</si>
  <si>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</si>
  <si>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</si>
  <si>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</si>
  <si>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</si>
  <si>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</si>
  <si>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</si>
  <si>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</si>
  <si>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</si>
  <si>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</si>
  <si>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</si>
  <si>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</si>
  <si>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</si>
  <si>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</si>
  <si>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</si>
  <si>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</si>
  <si>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</si>
  <si>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</si>
  <si>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 xml:space="preserve">Attachment GG Allocated Gross Transmission  Plant (Exclude CWIP) </t>
  </si>
  <si>
    <t>(Page 1 line 9)</t>
  </si>
  <si>
    <t>(Col. 3 * Col. 4)</t>
  </si>
  <si>
    <t>(Page 1 line 14)</t>
  </si>
  <si>
    <t>(Col. 6 * Col. 7)</t>
  </si>
  <si>
    <t>(Sum Col. 5, 8 &amp; 9)</t>
  </si>
  <si>
    <t>(Note F)</t>
  </si>
  <si>
    <t>Sum Col. 10 &amp; 11
(Note G)</t>
  </si>
  <si>
    <t>Hampton Rochester La Crosse</t>
  </si>
  <si>
    <t>1b</t>
  </si>
  <si>
    <t>1c</t>
  </si>
  <si>
    <t>2</t>
  </si>
  <si>
    <t>Annual Totals</t>
  </si>
  <si>
    <t>Check</t>
  </si>
  <si>
    <t>Rev. Req. Adj For Attachment O</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</si>
  <si>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</si>
  <si>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</si>
  <si>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</si>
  <si>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</si>
  <si>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</si>
  <si>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</si>
  <si>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</si>
  <si>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</si>
  <si>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2015 Att GG Transmission Depreciation Expense</t>
  </si>
  <si>
    <t>Network &amp; P-to-P Rate ($/kW/Mo)  (line 16 / 12)</t>
  </si>
  <si>
    <r>
      <t xml:space="preserve">RATE BASE: </t>
    </r>
    <r>
      <rPr>
        <sz val="12"/>
        <rFont val="Times New Roman"/>
        <family val="1"/>
      </rPr>
      <t>(Note CC)</t>
    </r>
  </si>
  <si>
    <t>II.37.b (Note CC)</t>
  </si>
  <si>
    <t>II.32.b (Note CC)</t>
  </si>
  <si>
    <t>Based on Gross Plant</t>
  </si>
  <si>
    <t>Control Area</t>
  </si>
  <si>
    <t>ATRR</t>
  </si>
  <si>
    <t>Divisor</t>
  </si>
  <si>
    <t>SMMPA</t>
  </si>
  <si>
    <t>NSP</t>
  </si>
  <si>
    <t>ATRR in  all Zones</t>
  </si>
  <si>
    <t>Attachment GG</t>
  </si>
  <si>
    <t>Attach O Net</t>
  </si>
  <si>
    <t>Pricing Zone</t>
  </si>
  <si>
    <t>Gross Plant</t>
  </si>
  <si>
    <t>Total Transmission Plant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</si>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</sst>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0_);\(0\)"/>
  </numFmts>
  <fonts count="120">
    <font>
      <sz val="12"/>
      <name val="Arial MT"/>
    </font>
    <font>
      <sz val="10"/>
      <color theme="1"/>
      <name val="Calibri"/>
      <family val="2"/>
    </font>
    <font>
      <sz val="10"/>
      <color theme="1"/>
      <name val="Calibri"/>
      <family val="2"/>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sz val="16"/>
      <color theme="1"/>
      <name val="Calibri"/>
      <family val="2"/>
      <scheme val="minor"/>
    </font>
    <font>
      <b/>
      <sz val="12"/>
      <name val="Helv"/>
    </font>
    <font>
      <b/>
      <sz val="14"/>
      <color theme="1"/>
      <name val="Times New Roman"/>
      <family val="1"/>
    </font>
    <font>
      <b/>
      <sz val="18"/>
      <color theme="1"/>
      <name val="Calibri"/>
      <family val="2"/>
      <scheme val="minor"/>
    </font>
    <font>
      <sz val="18"/>
      <color theme="1"/>
      <name val="Calibri"/>
      <family val="2"/>
      <scheme val="minor"/>
    </font>
    <font>
      <b/>
      <sz val="12"/>
      <name val="Arial MT"/>
    </font>
    <font>
      <sz val="11"/>
      <color rgb="FFFF0000"/>
      <name val="Calibri"/>
      <family val="2"/>
      <scheme val="minor"/>
    </font>
    <font>
      <sz val="12"/>
      <color rgb="FFFF0000"/>
      <name val="Helvetica"/>
      <family val="2"/>
    </font>
    <font>
      <sz val="11"/>
      <color rgb="FF0070C0"/>
      <name val="Calibri"/>
      <family val="2"/>
      <scheme val="minor"/>
    </font>
    <font>
      <b/>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2"/>
      <color rgb="FF0070C0"/>
      <name val="Times New Roman"/>
      <family val="1"/>
    </font>
    <font>
      <b/>
      <sz val="12"/>
      <color rgb="FF0070C0"/>
      <name val="Times New Roman"/>
      <family val="1"/>
    </font>
    <font>
      <sz val="14"/>
      <name val="Arial"/>
      <family val="2"/>
    </font>
    <font>
      <sz val="12"/>
      <color indexed="17"/>
      <name val="Arial MT"/>
    </font>
    <font>
      <b/>
      <u/>
      <sz val="12"/>
      <name val="Arial MT"/>
    </font>
    <font>
      <sz val="12"/>
      <color indexed="10"/>
      <name val="Arial MT"/>
    </font>
    <font>
      <sz val="12"/>
      <color indexed="10"/>
      <name val="Arial"/>
      <family val="2"/>
    </font>
    <font>
      <sz val="12"/>
      <color indexed="8"/>
      <name val="Arial"/>
      <family val="2"/>
    </font>
    <font>
      <sz val="12"/>
      <color indexed="12"/>
      <name val="Arial MT"/>
    </font>
    <font>
      <sz val="10"/>
      <color rgb="FFFF0000"/>
      <name val="Calibri"/>
      <family val="2"/>
      <scheme val="minor"/>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42">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39">
    <xf numFmtId="172" fontId="0" fillId="0" borderId="0" applyProtection="0"/>
    <xf numFmtId="43" fontId="18"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0" fontId="8" fillId="0" borderId="0"/>
    <xf numFmtId="172" fontId="18" fillId="0" borderId="0" applyProtection="0"/>
    <xf numFmtId="172" fontId="27" fillId="0" borderId="0" applyFill="0"/>
    <xf numFmtId="172" fontId="27" fillId="0" borderId="0">
      <alignment horizontal="center"/>
    </xf>
    <xf numFmtId="0" fontId="27" fillId="0" borderId="0" applyFill="0">
      <alignment horizontal="center"/>
    </xf>
    <xf numFmtId="172" fontId="28" fillId="0" borderId="30" applyFill="0"/>
    <xf numFmtId="0" fontId="21" fillId="0" borderId="0" applyFont="0" applyAlignment="0"/>
    <xf numFmtId="0" fontId="29" fillId="0" borderId="0" applyFill="0">
      <alignment vertical="top"/>
    </xf>
    <xf numFmtId="0" fontId="28" fillId="0" borderId="0" applyFill="0">
      <alignment horizontal="left" vertical="top"/>
    </xf>
    <xf numFmtId="172" fontId="20" fillId="0" borderId="9" applyFill="0"/>
    <xf numFmtId="0" fontId="21" fillId="0" borderId="0" applyNumberFormat="0" applyFont="0" applyAlignment="0"/>
    <xf numFmtId="0" fontId="29" fillId="0" borderId="0" applyFill="0">
      <alignment wrapText="1"/>
    </xf>
    <xf numFmtId="0" fontId="28" fillId="0" borderId="0" applyFill="0">
      <alignment horizontal="left" vertical="top" wrapText="1"/>
    </xf>
    <xf numFmtId="172" fontId="23" fillId="0" borderId="0" applyFill="0"/>
    <xf numFmtId="0" fontId="30" fillId="0" borderId="0" applyNumberFormat="0" applyFont="0" applyAlignment="0">
      <alignment horizontal="center"/>
    </xf>
    <xf numFmtId="0" fontId="31" fillId="0" borderId="0" applyFill="0">
      <alignment vertical="top" wrapText="1"/>
    </xf>
    <xf numFmtId="0" fontId="20" fillId="0" borderId="0" applyFill="0">
      <alignment horizontal="left" vertical="top" wrapText="1"/>
    </xf>
    <xf numFmtId="172" fontId="21" fillId="0" borderId="0" applyFill="0"/>
    <xf numFmtId="0" fontId="30" fillId="0" borderId="0" applyNumberFormat="0" applyFont="0" applyAlignment="0">
      <alignment horizontal="center"/>
    </xf>
    <xf numFmtId="0" fontId="32" fillId="0" borderId="0" applyFill="0">
      <alignment vertical="center" wrapText="1"/>
    </xf>
    <xf numFmtId="0" fontId="22" fillId="0" borderId="0">
      <alignment horizontal="left" vertical="center" wrapText="1"/>
    </xf>
    <xf numFmtId="172" fontId="33" fillId="0" borderId="0" applyFill="0"/>
    <xf numFmtId="0" fontId="30" fillId="0" borderId="0" applyNumberFormat="0" applyFont="0" applyAlignment="0">
      <alignment horizontal="center"/>
    </xf>
    <xf numFmtId="0" fontId="34" fillId="0" borderId="0" applyFill="0">
      <alignment horizontal="center" vertical="center" wrapText="1"/>
    </xf>
    <xf numFmtId="0" fontId="21" fillId="0" borderId="0" applyFill="0">
      <alignment horizontal="center" vertical="center" wrapText="1"/>
    </xf>
    <xf numFmtId="172" fontId="35" fillId="0" borderId="0" applyFill="0"/>
    <xf numFmtId="0" fontId="30"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2" fontId="38" fillId="0" borderId="0" applyFill="0"/>
    <xf numFmtId="0" fontId="30" fillId="0" borderId="0" applyNumberFormat="0" applyFont="0" applyAlignment="0">
      <alignment horizontal="center"/>
    </xf>
    <xf numFmtId="0" fontId="39" fillId="0" borderId="0">
      <alignment horizontal="center" wrapText="1"/>
    </xf>
    <xf numFmtId="0" fontId="35" fillId="0" borderId="0" applyFill="0">
      <alignment horizontal="center" wrapText="1"/>
    </xf>
    <xf numFmtId="39"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5" fontId="21" fillId="0" borderId="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0" fontId="4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3" fontId="21" fillId="0" borderId="0" applyFont="0" applyFill="0" applyBorder="0" applyAlignment="0" applyProtection="0"/>
    <xf numFmtId="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5" fontId="21" fillId="0" borderId="0" applyFont="0" applyFill="0" applyBorder="0" applyAlignment="0" applyProtection="0"/>
    <xf numFmtId="14" fontId="21" fillId="0" borderId="0" applyFont="0" applyFill="0" applyBorder="0" applyAlignment="0" applyProtection="0"/>
    <xf numFmtId="2" fontId="21" fillId="0" borderId="0" applyFont="0" applyFill="0" applyBorder="0" applyAlignment="0" applyProtection="0"/>
    <xf numFmtId="38" fontId="27" fillId="3" borderId="0" applyNumberFormat="0" applyBorder="0" applyAlignment="0" applyProtection="0"/>
    <xf numFmtId="0" fontId="41" fillId="0" borderId="1"/>
    <xf numFmtId="0" fontId="42" fillId="0" borderId="0"/>
    <xf numFmtId="10" fontId="27" fillId="4" borderId="14" applyNumberFormat="0" applyBorder="0" applyAlignment="0" applyProtection="0"/>
    <xf numFmtId="176" fontId="43" fillId="0" borderId="0"/>
    <xf numFmtId="0" fontId="26" fillId="0" borderId="0"/>
    <xf numFmtId="39" fontId="44" fillId="0" borderId="0"/>
    <xf numFmtId="0" fontId="26" fillId="0" borderId="0"/>
    <xf numFmtId="0" fontId="26" fillId="0" borderId="0"/>
    <xf numFmtId="0" fontId="21" fillId="0" borderId="0"/>
    <xf numFmtId="0" fontId="21" fillId="0" borderId="0"/>
    <xf numFmtId="0" fontId="45" fillId="0" borderId="0"/>
    <xf numFmtId="0" fontId="8" fillId="0" borderId="0"/>
    <xf numFmtId="0" fontId="8" fillId="0" borderId="0"/>
    <xf numFmtId="0" fontId="18" fillId="0" borderId="0"/>
    <xf numFmtId="10"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3" fontId="21" fillId="0" borderId="0">
      <alignment horizontal="left" vertical="top"/>
    </xf>
    <xf numFmtId="0" fontId="47" fillId="0" borderId="1">
      <alignment horizontal="center"/>
    </xf>
    <xf numFmtId="3" fontId="40" fillId="0" borderId="0" applyFont="0" applyFill="0" applyBorder="0" applyAlignment="0" applyProtection="0"/>
    <xf numFmtId="0" fontId="40" fillId="5" borderId="0" applyNumberFormat="0" applyFont="0" applyBorder="0" applyAlignment="0" applyProtection="0"/>
    <xf numFmtId="3" fontId="21" fillId="0" borderId="0">
      <alignment horizontal="right" vertical="top"/>
    </xf>
    <xf numFmtId="41" fontId="22" fillId="3" borderId="13" applyFill="0"/>
    <xf numFmtId="0" fontId="48" fillId="0" borderId="0">
      <alignment horizontal="left" indent="7"/>
    </xf>
    <xf numFmtId="41" fontId="22" fillId="0" borderId="13" applyFill="0">
      <alignment horizontal="left" indent="2"/>
    </xf>
    <xf numFmtId="172" fontId="49" fillId="0" borderId="4" applyFill="0">
      <alignment horizontal="right"/>
    </xf>
    <xf numFmtId="0" fontId="24" fillId="0" borderId="14" applyNumberFormat="0" applyFont="0" applyBorder="0">
      <alignment horizontal="right"/>
    </xf>
    <xf numFmtId="0" fontId="50" fillId="0" borderId="0" applyFill="0"/>
    <xf numFmtId="0" fontId="20" fillId="0" borderId="0" applyFill="0"/>
    <xf numFmtId="4" fontId="49" fillId="0" borderId="4" applyFill="0"/>
    <xf numFmtId="0" fontId="21" fillId="0" borderId="0" applyNumberFormat="0" applyFont="0" applyBorder="0" applyAlignment="0"/>
    <xf numFmtId="0" fontId="31" fillId="0" borderId="0" applyFill="0">
      <alignment horizontal="left" indent="1"/>
    </xf>
    <xf numFmtId="0" fontId="51" fillId="0" borderId="0" applyFill="0">
      <alignment horizontal="left" indent="1"/>
    </xf>
    <xf numFmtId="4" fontId="33" fillId="0" borderId="0" applyFill="0"/>
    <xf numFmtId="0" fontId="21" fillId="0" borderId="0" applyNumberFormat="0" applyFont="0" applyFill="0" applyBorder="0" applyAlignment="0"/>
    <xf numFmtId="0" fontId="31" fillId="0" borderId="0" applyFill="0">
      <alignment horizontal="left" indent="2"/>
    </xf>
    <xf numFmtId="0" fontId="20" fillId="0" borderId="0" applyFill="0">
      <alignment horizontal="left" indent="2"/>
    </xf>
    <xf numFmtId="4" fontId="33" fillId="0" borderId="0" applyFill="0"/>
    <xf numFmtId="0" fontId="21" fillId="0" borderId="0" applyNumberFormat="0" applyFont="0" applyBorder="0" applyAlignment="0"/>
    <xf numFmtId="0" fontId="52" fillId="0" borderId="0">
      <alignment horizontal="left" indent="3"/>
    </xf>
    <xf numFmtId="0" fontId="53" fillId="0" borderId="0" applyFill="0">
      <alignment horizontal="left" indent="3"/>
    </xf>
    <xf numFmtId="4" fontId="33" fillId="0" borderId="0" applyFill="0"/>
    <xf numFmtId="0" fontId="21" fillId="0" borderId="0" applyNumberFormat="0" applyFont="0" applyBorder="0" applyAlignment="0"/>
    <xf numFmtId="0" fontId="34" fillId="0" borderId="0">
      <alignment horizontal="left" indent="4"/>
    </xf>
    <xf numFmtId="0" fontId="21" fillId="0" borderId="0" applyFill="0">
      <alignment horizontal="left" indent="4"/>
    </xf>
    <xf numFmtId="4" fontId="35" fillId="0" borderId="0" applyFill="0"/>
    <xf numFmtId="0" fontId="21"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21"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46" fillId="0" borderId="0" applyNumberFormat="0" applyBorder="0" applyAlignment="0"/>
    <xf numFmtId="0" fontId="54" fillId="0" borderId="0" applyNumberFormat="0" applyBorder="0" applyAlignment="0"/>
    <xf numFmtId="0" fontId="55" fillId="0" borderId="0" applyNumberFormat="0" applyBorder="0" applyAlignment="0"/>
    <xf numFmtId="0" fontId="46" fillId="0" borderId="0" applyNumberFormat="0" applyBorder="0" applyAlignment="0"/>
    <xf numFmtId="9" fontId="18" fillId="0" borderId="0" applyFont="0" applyFill="0" applyBorder="0" applyAlignment="0" applyProtection="0"/>
    <xf numFmtId="44" fontId="18" fillId="0" borderId="0" applyFont="0" applyFill="0" applyBorder="0" applyAlignment="0" applyProtection="0"/>
    <xf numFmtId="0" fontId="7" fillId="0" borderId="0"/>
    <xf numFmtId="43" fontId="19" fillId="0" borderId="0" applyFont="0" applyFill="0" applyBorder="0" applyAlignment="0" applyProtection="0"/>
    <xf numFmtId="44" fontId="19" fillId="0" borderId="0" applyFont="0" applyFill="0" applyBorder="0" applyAlignment="0" applyProtection="0"/>
    <xf numFmtId="0" fontId="18"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178" fontId="75" fillId="0" borderId="0"/>
    <xf numFmtId="44" fontId="19" fillId="0" borderId="0" applyFont="0" applyFill="0" applyBorder="0" applyAlignment="0" applyProtection="0"/>
    <xf numFmtId="0" fontId="19"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4" fillId="0" borderId="0"/>
    <xf numFmtId="0" fontId="93" fillId="0" borderId="0" applyNumberFormat="0" applyFill="0" applyBorder="0" applyAlignment="0" applyProtection="0"/>
    <xf numFmtId="0" fontId="94" fillId="0" borderId="31" applyNumberFormat="0" applyFill="0" applyAlignment="0" applyProtection="0"/>
    <xf numFmtId="0" fontId="95" fillId="0" borderId="32" applyNumberFormat="0" applyFill="0" applyAlignment="0" applyProtection="0"/>
    <xf numFmtId="0" fontId="96" fillId="0" borderId="33" applyNumberFormat="0" applyFill="0" applyAlignment="0" applyProtection="0"/>
    <xf numFmtId="0" fontId="96" fillId="0" borderId="0" applyNumberFormat="0" applyFill="0" applyBorder="0" applyAlignment="0" applyProtection="0"/>
    <xf numFmtId="0" fontId="97" fillId="8" borderId="0" applyNumberFormat="0" applyBorder="0" applyAlignment="0" applyProtection="0"/>
    <xf numFmtId="0" fontId="98" fillId="9" borderId="0" applyNumberFormat="0" applyBorder="0" applyAlignment="0" applyProtection="0"/>
    <xf numFmtId="0" fontId="99" fillId="10" borderId="0" applyNumberFormat="0" applyBorder="0" applyAlignment="0" applyProtection="0"/>
    <xf numFmtId="0" fontId="100" fillId="11" borderId="34" applyNumberFormat="0" applyAlignment="0" applyProtection="0"/>
    <xf numFmtId="0" fontId="101" fillId="12" borderId="35" applyNumberFormat="0" applyAlignment="0" applyProtection="0"/>
    <xf numFmtId="0" fontId="102" fillId="12" borderId="34" applyNumberFormat="0" applyAlignment="0" applyProtection="0"/>
    <xf numFmtId="0" fontId="103" fillId="0" borderId="36" applyNumberFormat="0" applyFill="0" applyAlignment="0" applyProtection="0"/>
    <xf numFmtId="0" fontId="104" fillId="13" borderId="37"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39" applyNumberFormat="0" applyFill="0" applyAlignment="0" applyProtection="0"/>
    <xf numFmtId="0" fontId="108"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08" fillId="26" borderId="0" applyNumberFormat="0" applyBorder="0" applyAlignment="0" applyProtection="0"/>
    <xf numFmtId="0" fontId="108"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08" fillId="30" borderId="0" applyNumberFormat="0" applyBorder="0" applyAlignment="0" applyProtection="0"/>
    <xf numFmtId="0" fontId="108"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08" fillId="38" borderId="0" applyNumberFormat="0" applyBorder="0" applyAlignment="0" applyProtection="0"/>
    <xf numFmtId="0" fontId="19" fillId="0" borderId="0"/>
    <xf numFmtId="0" fontId="19" fillId="0" borderId="0"/>
    <xf numFmtId="0" fontId="3" fillId="14" borderId="38" applyNumberFormat="0" applyFont="0" applyAlignment="0" applyProtection="0"/>
    <xf numFmtId="0" fontId="19" fillId="0" borderId="0"/>
    <xf numFmtId="43" fontId="19" fillId="0" borderId="0" applyFont="0" applyFill="0" applyBorder="0" applyAlignment="0" applyProtection="0"/>
    <xf numFmtId="0" fontId="5" fillId="0" borderId="0"/>
    <xf numFmtId="0" fontId="19" fillId="0" borderId="0" applyFont="0" applyAlignment="0"/>
    <xf numFmtId="0" fontId="19" fillId="0" borderId="0" applyNumberFormat="0" applyFont="0" applyAlignment="0"/>
    <xf numFmtId="172" fontId="19" fillId="0" borderId="0" applyFill="0"/>
    <xf numFmtId="0" fontId="19" fillId="0" borderId="0" applyFill="0">
      <alignment horizontal="center" vertical="center" wrapText="1"/>
    </xf>
    <xf numFmtId="39" fontId="19" fillId="0" borderId="0" applyFont="0" applyFill="0" applyBorder="0" applyAlignment="0" applyProtection="0"/>
    <xf numFmtId="43" fontId="19" fillId="0" borderId="0" applyFont="0" applyFill="0" applyBorder="0" applyAlignment="0" applyProtection="0"/>
    <xf numFmtId="175"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19" fillId="0" borderId="0" applyFont="0" applyFill="0" applyBorder="0" applyAlignment="0" applyProtection="0"/>
    <xf numFmtId="7" fontId="19" fillId="0" borderId="0" applyFont="0" applyFill="0" applyBorder="0" applyAlignment="0" applyProtection="0"/>
    <xf numFmtId="44"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2" fontId="19" fillId="0" borderId="0" applyFont="0" applyFill="0" applyBorder="0" applyAlignment="0" applyProtection="0"/>
    <xf numFmtId="0" fontId="19" fillId="0" borderId="0"/>
    <xf numFmtId="0" fontId="19" fillId="0" borderId="0"/>
    <xf numFmtId="0" fontId="5" fillId="0" borderId="0"/>
    <xf numFmtId="0" fontId="5" fillId="0" borderId="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 fontId="19" fillId="0" borderId="0">
      <alignment horizontal="left" vertical="top"/>
    </xf>
    <xf numFmtId="3" fontId="19" fillId="0" borderId="0">
      <alignment horizontal="right" vertical="top"/>
    </xf>
    <xf numFmtId="0" fontId="19" fillId="0" borderId="0" applyNumberFormat="0" applyFont="0" applyBorder="0" applyAlignment="0"/>
    <xf numFmtId="0" fontId="19" fillId="0" borderId="0" applyNumberFormat="0" applyFont="0" applyFill="0" applyBorder="0" applyAlignment="0"/>
    <xf numFmtId="0" fontId="19" fillId="0" borderId="0" applyNumberFormat="0" applyFont="0" applyBorder="0" applyAlignment="0"/>
    <xf numFmtId="0" fontId="19" fillId="0" borderId="0" applyNumberFormat="0" applyFont="0" applyBorder="0" applyAlignment="0"/>
    <xf numFmtId="0" fontId="19" fillId="0" borderId="0" applyFill="0">
      <alignment horizontal="left" indent="4"/>
    </xf>
    <xf numFmtId="0" fontId="19" fillId="0" borderId="0" applyNumberFormat="0" applyFont="0" applyBorder="0" applyAlignment="0"/>
    <xf numFmtId="0" fontId="19" fillId="0" borderId="0" applyNumberFormat="0" applyFont="0" applyFill="0" applyBorder="0" applyAlignment="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0" borderId="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38" applyNumberFormat="0" applyFont="0" applyAlignment="0" applyProtection="0"/>
    <xf numFmtId="0" fontId="19" fillId="0" borderId="0"/>
    <xf numFmtId="9" fontId="19" fillId="0" borderId="0" applyFont="0" applyFill="0" applyBorder="0" applyAlignment="0" applyProtection="0"/>
    <xf numFmtId="0" fontId="1" fillId="0" borderId="0"/>
    <xf numFmtId="43" fontId="1" fillId="0" borderId="0" applyFont="0" applyFill="0" applyBorder="0" applyAlignment="0" applyProtection="0"/>
    <xf numFmtId="172" fontId="18" fillId="0" borderId="0" applyProtection="0"/>
    <xf numFmtId="43" fontId="18" fillId="0" borderId="0" applyFont="0" applyFill="0" applyBorder="0" applyAlignment="0" applyProtection="0"/>
    <xf numFmtId="0" fontId="1" fillId="0" borderId="0"/>
    <xf numFmtId="0" fontId="1" fillId="16" borderId="0" applyNumberFormat="0" applyBorder="0" applyAlignment="0" applyProtection="0"/>
    <xf numFmtId="0" fontId="1" fillId="17" borderId="0" applyNumberFormat="0" applyBorder="0" applyAlignment="0" applyProtection="0"/>
    <xf numFmtId="172" fontId="18" fillId="0" borderId="0" applyProtection="0"/>
    <xf numFmtId="0" fontId="1" fillId="20" borderId="0" applyNumberFormat="0" applyBorder="0" applyAlignment="0" applyProtection="0"/>
    <xf numFmtId="0" fontId="1" fillId="21" borderId="0" applyNumberFormat="0" applyBorder="0" applyAlignment="0" applyProtection="0"/>
    <xf numFmtId="44" fontId="18" fillId="0" borderId="0" applyFon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8"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38" applyNumberFormat="0" applyFont="0" applyAlignment="0" applyProtection="0"/>
    <xf numFmtId="0" fontId="46" fillId="0" borderId="0"/>
    <xf numFmtId="9"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cellStyleXfs>
  <cellXfs count="677">
    <xf numFmtId="172" fontId="0" fillId="0" borderId="0" xfId="0" applyAlignment="1"/>
    <xf numFmtId="0" fontId="9" fillId="0" borderId="0" xfId="0" applyNumberFormat="1" applyFont="1" applyAlignment="1" applyProtection="1">
      <alignment horizontal="center"/>
      <protection locked="0"/>
    </xf>
    <xf numFmtId="0" fontId="9" fillId="0" borderId="0" xfId="0" applyNumberFormat="1" applyFont="1" applyAlignment="1" applyProtection="1">
      <protection locked="0"/>
    </xf>
    <xf numFmtId="172" fontId="9" fillId="0" borderId="0" xfId="0" applyFont="1" applyAlignment="1"/>
    <xf numFmtId="0" fontId="9" fillId="0" borderId="0" xfId="0" applyNumberFormat="1" applyFont="1" applyAlignment="1"/>
    <xf numFmtId="3" fontId="9" fillId="0" borderId="0" xfId="0" applyNumberFormat="1" applyFont="1" applyAlignment="1"/>
    <xf numFmtId="3" fontId="9" fillId="0" borderId="0" xfId="0" applyNumberFormat="1" applyFont="1" applyBorder="1" applyAlignment="1"/>
    <xf numFmtId="164" fontId="9" fillId="0" borderId="0" xfId="0" applyNumberFormat="1" applyFont="1" applyAlignment="1">
      <alignment horizontal="center"/>
    </xf>
    <xf numFmtId="3" fontId="9" fillId="0" borderId="0" xfId="0" applyNumberFormat="1" applyFont="1" applyFill="1" applyAlignment="1"/>
    <xf numFmtId="3" fontId="9" fillId="0" borderId="0" xfId="0" applyNumberFormat="1" applyFont="1" applyFill="1" applyAlignment="1">
      <alignment horizontal="right"/>
    </xf>
    <xf numFmtId="0" fontId="9" fillId="0" borderId="0" xfId="0" applyNumberFormat="1" applyFont="1" applyAlignment="1" applyProtection="1">
      <alignment horizontal="left"/>
      <protection locked="0"/>
    </xf>
    <xf numFmtId="0" fontId="9" fillId="0" borderId="0" xfId="0" applyNumberFormat="1" applyFont="1" applyProtection="1">
      <protection locked="0"/>
    </xf>
    <xf numFmtId="0" fontId="9" fillId="0" borderId="0" xfId="0" applyNumberFormat="1" applyFont="1"/>
    <xf numFmtId="0" fontId="9" fillId="0" borderId="0" xfId="0" applyNumberFormat="1" applyFont="1" applyAlignment="1">
      <alignment horizontal="right"/>
    </xf>
    <xf numFmtId="0" fontId="9" fillId="0" borderId="0" xfId="0" applyNumberFormat="1" applyFont="1" applyAlignment="1">
      <alignment horizontal="center"/>
    </xf>
    <xf numFmtId="0" fontId="9" fillId="2" borderId="0" xfId="0" applyNumberFormat="1" applyFont="1" applyFill="1"/>
    <xf numFmtId="0" fontId="9" fillId="2" borderId="0" xfId="0" applyNumberFormat="1" applyFont="1" applyFill="1" applyAlignment="1" applyProtection="1">
      <alignment horizontal="right"/>
      <protection locked="0"/>
    </xf>
    <xf numFmtId="49" fontId="9" fillId="0" borderId="0" xfId="0" applyNumberFormat="1" applyFont="1"/>
    <xf numFmtId="0" fontId="9" fillId="0" borderId="1" xfId="0" applyNumberFormat="1" applyFont="1" applyBorder="1" applyAlignment="1" applyProtection="1">
      <alignment horizontal="center"/>
      <protection locked="0"/>
    </xf>
    <xf numFmtId="3" fontId="9" fillId="0" borderId="0" xfId="0" applyNumberFormat="1" applyFont="1"/>
    <xf numFmtId="42" fontId="9" fillId="0" borderId="0" xfId="0" applyNumberFormat="1" applyFont="1"/>
    <xf numFmtId="0" fontId="9" fillId="0" borderId="1" xfId="0" applyNumberFormat="1" applyFont="1" applyBorder="1" applyAlignment="1" applyProtection="1">
      <alignment horizontal="centerContinuous"/>
      <protection locked="0"/>
    </xf>
    <xf numFmtId="166" fontId="9" fillId="0" borderId="0" xfId="0" applyNumberFormat="1" applyFont="1" applyAlignment="1"/>
    <xf numFmtId="3" fontId="9" fillId="2" borderId="0" xfId="0" applyNumberFormat="1" applyFont="1" applyFill="1"/>
    <xf numFmtId="0" fontId="11" fillId="0" borderId="0" xfId="0" applyNumberFormat="1" applyFont="1"/>
    <xf numFmtId="3" fontId="9" fillId="0" borderId="1" xfId="0" applyNumberFormat="1" applyFont="1" applyBorder="1" applyAlignment="1"/>
    <xf numFmtId="3" fontId="9" fillId="0" borderId="0" xfId="0" applyNumberFormat="1" applyFont="1" applyAlignment="1">
      <alignment horizontal="fill"/>
    </xf>
    <xf numFmtId="3" fontId="9" fillId="0" borderId="0" xfId="0" applyNumberFormat="1" applyFont="1" applyFill="1" applyBorder="1"/>
    <xf numFmtId="3" fontId="9" fillId="2" borderId="0" xfId="0" applyNumberFormat="1" applyFont="1" applyFill="1" applyBorder="1"/>
    <xf numFmtId="3" fontId="9" fillId="2" borderId="1" xfId="0" applyNumberFormat="1" applyFont="1" applyFill="1" applyBorder="1"/>
    <xf numFmtId="168" fontId="9" fillId="0" borderId="0" xfId="0" applyNumberFormat="1" applyFont="1"/>
    <xf numFmtId="168" fontId="9" fillId="0" borderId="0" xfId="0" applyNumberFormat="1" applyFont="1" applyAlignment="1">
      <alignment horizontal="center"/>
    </xf>
    <xf numFmtId="172" fontId="9" fillId="0" borderId="0" xfId="0" applyFont="1" applyAlignment="1">
      <alignment horizontal="center"/>
    </xf>
    <xf numFmtId="171" fontId="9" fillId="0" borderId="0" xfId="0" applyNumberFormat="1" applyFont="1" applyAlignment="1"/>
    <xf numFmtId="171" fontId="9" fillId="2" borderId="0" xfId="0" applyNumberFormat="1" applyFont="1" applyFill="1" applyProtection="1">
      <protection locked="0"/>
    </xf>
    <xf numFmtId="171" fontId="9" fillId="0" borderId="0" xfId="0" applyNumberFormat="1" applyFont="1" applyProtection="1">
      <protection locked="0"/>
    </xf>
    <xf numFmtId="0" fontId="9" fillId="0" borderId="0" xfId="0" applyNumberFormat="1" applyFont="1" applyAlignment="1">
      <alignment horizontal="left"/>
    </xf>
    <xf numFmtId="49" fontId="9" fillId="0" borderId="0" xfId="0" applyNumberFormat="1" applyFont="1" applyAlignment="1">
      <alignment horizontal="left"/>
    </xf>
    <xf numFmtId="49" fontId="9" fillId="0" borderId="0" xfId="0" applyNumberFormat="1" applyFont="1" applyAlignment="1">
      <alignment horizontal="center"/>
    </xf>
    <xf numFmtId="3" fontId="12" fillId="0" borderId="0" xfId="0" applyNumberFormat="1" applyFont="1" applyAlignment="1">
      <alignment horizontal="center"/>
    </xf>
    <xf numFmtId="0" fontId="12" fillId="0" borderId="0" xfId="0" applyNumberFormat="1" applyFont="1" applyAlignment="1" applyProtection="1">
      <alignment horizontal="center"/>
      <protection locked="0"/>
    </xf>
    <xf numFmtId="172" fontId="12" fillId="0" borderId="0" xfId="0" applyFont="1" applyAlignment="1">
      <alignment horizontal="center"/>
    </xf>
    <xf numFmtId="3" fontId="12" fillId="0" borderId="0" xfId="0" applyNumberFormat="1" applyFont="1" applyAlignment="1"/>
    <xf numFmtId="0" fontId="12" fillId="0" borderId="0" xfId="0" applyNumberFormat="1" applyFont="1" applyAlignment="1"/>
    <xf numFmtId="3" fontId="9" fillId="2" borderId="0" xfId="0" applyNumberFormat="1" applyFont="1" applyFill="1" applyBorder="1" applyAlignment="1"/>
    <xf numFmtId="165" fontId="9" fillId="0" borderId="0" xfId="0" applyNumberFormat="1" applyFont="1" applyAlignment="1"/>
    <xf numFmtId="3" fontId="9" fillId="2" borderId="1" xfId="0" applyNumberFormat="1" applyFont="1" applyFill="1" applyBorder="1" applyAlignment="1"/>
    <xf numFmtId="3" fontId="9" fillId="2" borderId="0" xfId="0" applyNumberFormat="1" applyFont="1" applyFill="1" applyAlignment="1"/>
    <xf numFmtId="0" fontId="9" fillId="0" borderId="0" xfId="0" applyNumberFormat="1" applyFont="1" applyAlignment="1">
      <alignment horizontal="fill"/>
    </xf>
    <xf numFmtId="165" fontId="9" fillId="0" borderId="0" xfId="0" applyNumberFormat="1" applyFont="1" applyAlignment="1">
      <alignment horizontal="right"/>
    </xf>
    <xf numFmtId="3" fontId="9" fillId="0" borderId="0" xfId="0" applyNumberFormat="1" applyFont="1" applyAlignment="1">
      <alignment horizontal="center"/>
    </xf>
    <xf numFmtId="172" fontId="9" fillId="0" borderId="1" xfId="0" applyFont="1" applyBorder="1" applyAlignment="1"/>
    <xf numFmtId="3" fontId="9" fillId="0" borderId="2" xfId="0" applyNumberFormat="1" applyFont="1" applyBorder="1" applyAlignment="1"/>
    <xf numFmtId="3" fontId="9" fillId="0" borderId="0" xfId="0" applyNumberFormat="1" applyFont="1" applyAlignment="1">
      <alignment horizontal="right"/>
    </xf>
    <xf numFmtId="0" fontId="9" fillId="0" borderId="0" xfId="0" applyNumberFormat="1" applyFont="1" applyFill="1" applyAlignment="1" applyProtection="1">
      <alignment horizontal="center"/>
      <protection locked="0"/>
    </xf>
    <xf numFmtId="0" fontId="9" fillId="0" borderId="0" xfId="0" applyNumberFormat="1" applyFont="1" applyFill="1" applyAlignment="1"/>
    <xf numFmtId="172" fontId="9" fillId="0" borderId="0" xfId="0" applyFont="1" applyFill="1" applyAlignment="1"/>
    <xf numFmtId="3" fontId="9" fillId="0" borderId="0" xfId="0" applyNumberFormat="1" applyFont="1" applyAlignment="1">
      <alignment horizontal="left"/>
    </xf>
    <xf numFmtId="166" fontId="9" fillId="0" borderId="0" xfId="0" applyNumberFormat="1" applyFont="1" applyAlignment="1">
      <alignment horizontal="right"/>
    </xf>
    <xf numFmtId="10" fontId="9" fillId="0" borderId="0" xfId="0" applyNumberFormat="1" applyFont="1" applyAlignment="1">
      <alignment horizontal="left"/>
    </xf>
    <xf numFmtId="166" fontId="9" fillId="0" borderId="0" xfId="0" applyNumberFormat="1" applyFont="1" applyAlignment="1">
      <alignment horizontal="center"/>
    </xf>
    <xf numFmtId="164" fontId="9" fillId="0" borderId="0" xfId="0" applyNumberFormat="1" applyFont="1" applyAlignment="1">
      <alignment horizontal="left"/>
    </xf>
    <xf numFmtId="10" fontId="9" fillId="0" borderId="0" xfId="0" applyNumberFormat="1" applyFont="1" applyFill="1" applyAlignment="1">
      <alignment horizontal="right"/>
    </xf>
    <xf numFmtId="169" fontId="9" fillId="0" borderId="0" xfId="0" applyNumberFormat="1" applyFont="1" applyFill="1" applyAlignment="1">
      <alignment horizontal="right"/>
    </xf>
    <xf numFmtId="164" fontId="9" fillId="0" borderId="0" xfId="0" applyNumberFormat="1" applyFont="1" applyAlignment="1" applyProtection="1">
      <alignment horizontal="left"/>
      <protection locked="0"/>
    </xf>
    <xf numFmtId="167" fontId="9" fillId="0" borderId="0" xfId="0" applyNumberFormat="1" applyFont="1" applyAlignment="1"/>
    <xf numFmtId="0" fontId="10" fillId="0" borderId="0" xfId="0" applyNumberFormat="1" applyFont="1" applyAlignment="1" applyProtection="1">
      <alignment horizontal="center"/>
      <protection locked="0"/>
    </xf>
    <xf numFmtId="172" fontId="10" fillId="0" borderId="0" xfId="0" applyFont="1" applyAlignment="1"/>
    <xf numFmtId="3" fontId="10" fillId="0" borderId="0" xfId="0" applyNumberFormat="1" applyFont="1" applyAlignment="1"/>
    <xf numFmtId="0" fontId="10" fillId="0" borderId="0" xfId="0" applyNumberFormat="1" applyFont="1"/>
    <xf numFmtId="0" fontId="10" fillId="0" borderId="0" xfId="0" applyNumberFormat="1" applyFont="1" applyAlignment="1">
      <alignment horizontal="center"/>
    </xf>
    <xf numFmtId="172" fontId="9" fillId="0" borderId="0" xfId="0" applyFont="1" applyAlignment="1">
      <alignment horizontal="right"/>
    </xf>
    <xf numFmtId="0" fontId="13" fillId="0" borderId="0" xfId="0" applyNumberFormat="1" applyFont="1"/>
    <xf numFmtId="0" fontId="9" fillId="0" borderId="1" xfId="0" applyNumberFormat="1" applyFont="1" applyBorder="1" applyProtection="1">
      <protection locked="0"/>
    </xf>
    <xf numFmtId="0" fontId="9" fillId="0" borderId="1" xfId="0" applyNumberFormat="1" applyFont="1" applyBorder="1"/>
    <xf numFmtId="49" fontId="9" fillId="0" borderId="0" xfId="0" applyNumberFormat="1" applyFont="1" applyAlignment="1"/>
    <xf numFmtId="172" fontId="9" fillId="0" borderId="0" xfId="0" applyFont="1" applyBorder="1" applyAlignment="1"/>
    <xf numFmtId="0" fontId="9" fillId="0" borderId="0" xfId="0" applyNumberFormat="1" applyFont="1" applyBorder="1" applyAlignment="1"/>
    <xf numFmtId="172" fontId="9" fillId="0" borderId="3" xfId="0" applyFont="1" applyBorder="1" applyAlignment="1"/>
    <xf numFmtId="3" fontId="11" fillId="0" borderId="0" xfId="0" applyNumberFormat="1" applyFont="1" applyBorder="1" applyAlignment="1"/>
    <xf numFmtId="165" fontId="9" fillId="0" borderId="0" xfId="0" applyNumberFormat="1" applyFont="1"/>
    <xf numFmtId="172" fontId="14" fillId="0" borderId="0" xfId="0" applyFont="1" applyBorder="1"/>
    <xf numFmtId="172" fontId="11" fillId="0" borderId="0" xfId="0" applyFont="1" applyBorder="1"/>
    <xf numFmtId="166" fontId="9" fillId="0" borderId="0" xfId="0" applyNumberFormat="1" applyFont="1"/>
    <xf numFmtId="3" fontId="9" fillId="0" borderId="1" xfId="0" applyNumberFormat="1" applyFont="1" applyBorder="1" applyAlignment="1">
      <alignment horizontal="center"/>
    </xf>
    <xf numFmtId="172" fontId="11" fillId="0" borderId="0" xfId="0" applyFont="1" applyBorder="1" applyAlignment="1"/>
    <xf numFmtId="4" fontId="9" fillId="0" borderId="0" xfId="0" applyNumberFormat="1" applyFont="1" applyAlignment="1"/>
    <xf numFmtId="172" fontId="11" fillId="0" borderId="4" xfId="0" applyFont="1" applyBorder="1" applyAlignment="1"/>
    <xf numFmtId="172" fontId="9" fillId="0" borderId="4" xfId="0" applyFont="1" applyBorder="1" applyAlignment="1"/>
    <xf numFmtId="172" fontId="9" fillId="0" borderId="5" xfId="0" applyFont="1" applyBorder="1" applyAlignment="1"/>
    <xf numFmtId="3" fontId="9" fillId="0" borderId="0" xfId="0" applyNumberFormat="1" applyFont="1" applyBorder="1" applyAlignment="1">
      <alignment horizontal="center"/>
    </xf>
    <xf numFmtId="166" fontId="9" fillId="0" borderId="0" xfId="0" applyNumberFormat="1" applyFont="1" applyAlignment="1" applyProtection="1">
      <alignment horizontal="center"/>
      <protection locked="0"/>
    </xf>
    <xf numFmtId="0" fontId="9" fillId="0" borderId="1" xfId="0" applyNumberFormat="1" applyFont="1" applyBorder="1" applyAlignment="1"/>
    <xf numFmtId="170" fontId="9" fillId="2" borderId="0" xfId="0" applyNumberFormat="1" applyFont="1" applyFill="1" applyAlignment="1"/>
    <xf numFmtId="9" fontId="9" fillId="0" borderId="0" xfId="0" applyNumberFormat="1" applyFont="1" applyAlignment="1"/>
    <xf numFmtId="169" fontId="9" fillId="0" borderId="0" xfId="0" applyNumberFormat="1" applyFont="1" applyAlignment="1"/>
    <xf numFmtId="10" fontId="9" fillId="0" borderId="0" xfId="0" applyNumberFormat="1" applyFont="1" applyAlignment="1"/>
    <xf numFmtId="169" fontId="9" fillId="0" borderId="1" xfId="0" applyNumberFormat="1" applyFont="1" applyBorder="1" applyAlignment="1"/>
    <xf numFmtId="3" fontId="9" fillId="0" borderId="0" xfId="0" quotePrefix="1" applyNumberFormat="1" applyFont="1" applyAlignment="1"/>
    <xf numFmtId="10" fontId="9" fillId="2" borderId="0" xfId="0" applyNumberFormat="1" applyFont="1" applyFill="1" applyAlignment="1"/>
    <xf numFmtId="0" fontId="10" fillId="0" borderId="0" xfId="0" applyNumberFormat="1" applyFont="1" applyProtection="1">
      <protection locked="0"/>
    </xf>
    <xf numFmtId="172" fontId="9" fillId="0" borderId="0" xfId="0" applyFont="1" applyFill="1" applyAlignment="1" applyProtection="1"/>
    <xf numFmtId="170" fontId="9" fillId="0" borderId="0" xfId="0" applyNumberFormat="1" applyFont="1" applyFill="1" applyBorder="1" applyProtection="1"/>
    <xf numFmtId="170" fontId="9" fillId="2" borderId="0" xfId="0" applyNumberFormat="1" applyFont="1" applyFill="1" applyBorder="1" applyProtection="1"/>
    <xf numFmtId="3" fontId="11" fillId="0" borderId="0" xfId="0" applyNumberFormat="1" applyFont="1" applyAlignment="1">
      <alignment horizontal="left"/>
    </xf>
    <xf numFmtId="170" fontId="9" fillId="2" borderId="0" xfId="0" applyNumberFormat="1" applyFont="1" applyFill="1" applyBorder="1" applyAlignment="1" applyProtection="1">
      <protection locked="0"/>
    </xf>
    <xf numFmtId="0" fontId="9" fillId="0" borderId="0" xfId="0" applyNumberFormat="1" applyFont="1" applyBorder="1" applyAlignment="1" applyProtection="1">
      <protection locked="0"/>
    </xf>
    <xf numFmtId="0" fontId="9" fillId="0" borderId="0" xfId="0" applyNumberFormat="1" applyFont="1" applyBorder="1" applyProtection="1">
      <protection locked="0"/>
    </xf>
    <xf numFmtId="0" fontId="10" fillId="0" borderId="0" xfId="0" applyNumberFormat="1" applyFont="1" applyAlignment="1" applyProtection="1">
      <protection locked="0"/>
    </xf>
    <xf numFmtId="170" fontId="9" fillId="0" borderId="0" xfId="0" applyNumberFormat="1" applyFont="1" applyFill="1" applyBorder="1" applyAlignment="1" applyProtection="1"/>
    <xf numFmtId="0" fontId="10" fillId="0" borderId="0" xfId="0" applyNumberFormat="1" applyFont="1" applyAlignment="1"/>
    <xf numFmtId="172" fontId="9" fillId="0" borderId="0" xfId="0" applyNumberFormat="1" applyFont="1" applyAlignment="1" applyProtection="1">
      <protection locked="0"/>
    </xf>
    <xf numFmtId="3" fontId="9" fillId="0" borderId="0" xfId="0" applyNumberFormat="1" applyFont="1" applyProtection="1">
      <protection locked="0"/>
    </xf>
    <xf numFmtId="170" fontId="9" fillId="0" borderId="0" xfId="0" applyNumberFormat="1" applyFont="1" applyAlignment="1" applyProtection="1">
      <alignment horizontal="right"/>
      <protection locked="0"/>
    </xf>
    <xf numFmtId="170" fontId="9" fillId="0" borderId="0" xfId="0" applyNumberFormat="1" applyFont="1" applyProtection="1">
      <protection locked="0"/>
    </xf>
    <xf numFmtId="3" fontId="9" fillId="0" borderId="0" xfId="0" applyNumberFormat="1" applyFont="1" applyFill="1" applyAlignment="1" applyProtection="1"/>
    <xf numFmtId="0" fontId="11" fillId="0" borderId="0" xfId="0" applyNumberFormat="1" applyFont="1" applyFill="1" applyAlignment="1" applyProtection="1">
      <alignment horizontal="left"/>
      <protection locked="0"/>
    </xf>
    <xf numFmtId="172" fontId="9" fillId="2" borderId="0" xfId="0" applyFont="1" applyFill="1" applyAlignment="1"/>
    <xf numFmtId="0" fontId="9" fillId="2" borderId="0" xfId="0" applyNumberFormat="1" applyFont="1" applyFill="1" applyProtection="1">
      <protection locked="0"/>
    </xf>
    <xf numFmtId="0" fontId="9" fillId="0" borderId="0" xfId="0" applyNumberFormat="1" applyFont="1" applyAlignment="1" applyProtection="1">
      <alignment horizontal="left" indent="8"/>
      <protection locked="0"/>
    </xf>
    <xf numFmtId="9" fontId="9" fillId="0" borderId="1" xfId="0" applyNumberFormat="1" applyFont="1" applyBorder="1" applyAlignment="1"/>
    <xf numFmtId="171" fontId="9" fillId="0" borderId="0" xfId="0" applyNumberFormat="1" applyFont="1" applyBorder="1" applyProtection="1">
      <protection locked="0"/>
    </xf>
    <xf numFmtId="0" fontId="9" fillId="0" borderId="0" xfId="0" applyNumberFormat="1" applyFont="1" applyBorder="1"/>
    <xf numFmtId="0" fontId="9" fillId="0" borderId="6" xfId="0" applyNumberFormat="1" applyFont="1" applyBorder="1" applyAlignment="1">
      <alignment horizontal="center"/>
    </xf>
    <xf numFmtId="0" fontId="9" fillId="0" borderId="0" xfId="0" applyNumberFormat="1" applyFont="1" applyBorder="1" applyAlignment="1">
      <alignment horizontal="center"/>
    </xf>
    <xf numFmtId="0" fontId="9" fillId="0" borderId="3" xfId="0" applyNumberFormat="1" applyFont="1" applyBorder="1" applyAlignment="1">
      <alignment horizontal="center"/>
    </xf>
    <xf numFmtId="0" fontId="9" fillId="0" borderId="0" xfId="0" applyNumberFormat="1" applyFont="1" applyAlignment="1" applyProtection="1">
      <alignment horizontal="center" vertical="top" wrapText="1"/>
      <protection locked="0"/>
    </xf>
    <xf numFmtId="0" fontId="9" fillId="0" borderId="0" xfId="0" applyNumberFormat="1" applyFont="1" applyAlignment="1" applyProtection="1">
      <alignment vertical="top" wrapText="1"/>
      <protection locked="0"/>
    </xf>
    <xf numFmtId="3" fontId="9" fillId="0" borderId="0" xfId="0" applyNumberFormat="1" applyFont="1" applyAlignment="1">
      <alignment vertical="top" wrapText="1"/>
    </xf>
    <xf numFmtId="0" fontId="9" fillId="0" borderId="0" xfId="0" applyNumberFormat="1" applyFont="1" applyFill="1" applyAlignment="1" applyProtection="1">
      <alignment vertical="top" wrapText="1"/>
      <protection locked="0"/>
    </xf>
    <xf numFmtId="10" fontId="9" fillId="2" borderId="0" xfId="0" applyNumberFormat="1" applyFont="1" applyFill="1" applyAlignment="1" applyProtection="1">
      <alignment vertical="top" wrapText="1"/>
      <protection locked="0"/>
    </xf>
    <xf numFmtId="0" fontId="9" fillId="0" borderId="0" xfId="0" applyNumberFormat="1" applyFont="1" applyFill="1" applyAlignment="1">
      <alignment vertical="top" wrapText="1"/>
    </xf>
    <xf numFmtId="172" fontId="9" fillId="0" borderId="0" xfId="0" applyFont="1" applyAlignment="1">
      <alignment horizontal="center" vertical="top" wrapText="1"/>
    </xf>
    <xf numFmtId="172" fontId="9" fillId="0" borderId="0" xfId="0" applyFont="1" applyFill="1" applyAlignment="1">
      <alignment horizontal="center" vertical="top" wrapText="1"/>
    </xf>
    <xf numFmtId="0" fontId="9" fillId="0" borderId="0" xfId="0" applyNumberFormat="1" applyFont="1" applyFill="1" applyAlignment="1" applyProtection="1">
      <alignment horizontal="left" vertical="top" wrapText="1" indent="8"/>
      <protection locked="0"/>
    </xf>
    <xf numFmtId="170" fontId="9" fillId="2" borderId="1" xfId="0" applyNumberFormat="1" applyFont="1" applyFill="1" applyBorder="1" applyAlignment="1" applyProtection="1">
      <protection locked="0"/>
    </xf>
    <xf numFmtId="0" fontId="9" fillId="0" borderId="0" xfId="0" applyNumberFormat="1" applyFont="1" applyFill="1"/>
    <xf numFmtId="0" fontId="9" fillId="2" borderId="1" xfId="0" applyNumberFormat="1" applyFont="1" applyFill="1" applyBorder="1" applyAlignment="1"/>
    <xf numFmtId="170" fontId="9" fillId="2" borderId="6" xfId="0" applyNumberFormat="1" applyFont="1" applyFill="1" applyBorder="1" applyAlignment="1"/>
    <xf numFmtId="170" fontId="9" fillId="2" borderId="7" xfId="0" applyNumberFormat="1" applyFont="1" applyFill="1" applyBorder="1" applyAlignment="1"/>
    <xf numFmtId="170" fontId="9" fillId="0" borderId="6" xfId="0" applyNumberFormat="1" applyFont="1" applyBorder="1" applyAlignment="1"/>
    <xf numFmtId="170" fontId="9" fillId="0" borderId="6" xfId="0" applyNumberFormat="1" applyFont="1" applyFill="1" applyBorder="1" applyAlignment="1"/>
    <xf numFmtId="170" fontId="9" fillId="0" borderId="7" xfId="0" applyNumberFormat="1" applyFont="1" applyBorder="1" applyAlignment="1"/>
    <xf numFmtId="172" fontId="15" fillId="0" borderId="0" xfId="0" applyFont="1" applyAlignment="1"/>
    <xf numFmtId="3" fontId="9" fillId="0" borderId="2" xfId="0" applyNumberFormat="1" applyFont="1" applyFill="1" applyBorder="1" applyAlignment="1"/>
    <xf numFmtId="0" fontId="9" fillId="0" borderId="0" xfId="0" applyNumberFormat="1" applyFont="1" applyFill="1" applyAlignment="1">
      <alignment horizontal="fill"/>
    </xf>
    <xf numFmtId="3" fontId="16" fillId="0" borderId="0" xfId="0" applyNumberFormat="1" applyFont="1" applyAlignment="1"/>
    <xf numFmtId="0" fontId="9" fillId="0" borderId="0" xfId="0" applyNumberFormat="1" applyFont="1" applyFill="1" applyAlignment="1">
      <alignment horizontal="left" vertical="top"/>
    </xf>
    <xf numFmtId="0" fontId="9" fillId="0" borderId="0" xfId="0" applyNumberFormat="1" applyFont="1" applyFill="1" applyAlignment="1">
      <alignment vertical="top"/>
    </xf>
    <xf numFmtId="0" fontId="9" fillId="0" borderId="0" xfId="0" applyNumberFormat="1" applyFont="1" applyFill="1" applyBorder="1" applyAlignment="1" applyProtection="1">
      <protection locked="0"/>
    </xf>
    <xf numFmtId="0" fontId="9" fillId="0" borderId="0" xfId="0" applyNumberFormat="1" applyFont="1" applyFill="1" applyBorder="1" applyProtection="1">
      <protection locked="0"/>
    </xf>
    <xf numFmtId="0" fontId="9" fillId="0" borderId="1" xfId="0" applyNumberFormat="1" applyFont="1" applyFill="1" applyBorder="1" applyAlignment="1" applyProtection="1">
      <protection locked="0"/>
    </xf>
    <xf numFmtId="0" fontId="9" fillId="0" borderId="1" xfId="0" applyNumberFormat="1" applyFont="1" applyFill="1" applyBorder="1" applyProtection="1">
      <protection locked="0"/>
    </xf>
    <xf numFmtId="0" fontId="21" fillId="0" borderId="0" xfId="2" applyFont="1"/>
    <xf numFmtId="0" fontId="19" fillId="0" borderId="0" xfId="2"/>
    <xf numFmtId="0" fontId="19" fillId="0" borderId="11" xfId="2" applyBorder="1" applyAlignment="1">
      <alignment horizontal="center"/>
    </xf>
    <xf numFmtId="0" fontId="19" fillId="0" borderId="3" xfId="2" applyBorder="1"/>
    <xf numFmtId="0" fontId="19" fillId="0" borderId="3" xfId="2" applyBorder="1" applyAlignment="1">
      <alignment horizontal="center"/>
    </xf>
    <xf numFmtId="0" fontId="19" fillId="0" borderId="12" xfId="2" applyBorder="1" applyAlignment="1">
      <alignment horizontal="center"/>
    </xf>
    <xf numFmtId="0" fontId="19" fillId="0" borderId="5" xfId="2" applyBorder="1" applyAlignment="1">
      <alignment horizontal="center"/>
    </xf>
    <xf numFmtId="0" fontId="19" fillId="0" borderId="5" xfId="2" applyFill="1" applyBorder="1" applyAlignment="1">
      <alignment horizontal="center"/>
    </xf>
    <xf numFmtId="0" fontId="19" fillId="0" borderId="13" xfId="2" applyBorder="1" applyAlignment="1">
      <alignment horizontal="center"/>
    </xf>
    <xf numFmtId="0" fontId="24" fillId="0" borderId="11" xfId="2" applyFont="1" applyBorder="1" applyAlignment="1">
      <alignment horizontal="center"/>
    </xf>
    <xf numFmtId="43" fontId="0" fillId="0" borderId="11" xfId="3" applyFont="1" applyFill="1" applyBorder="1"/>
    <xf numFmtId="0" fontId="19" fillId="0" borderId="11" xfId="2" applyFill="1" applyBorder="1" applyAlignment="1">
      <alignment horizontal="center"/>
    </xf>
    <xf numFmtId="0" fontId="24" fillId="0" borderId="11" xfId="2" applyFont="1" applyFill="1" applyBorder="1" applyAlignment="1">
      <alignment horizontal="center"/>
    </xf>
    <xf numFmtId="0" fontId="19" fillId="0" borderId="13" xfId="2" applyBorder="1"/>
    <xf numFmtId="37" fontId="0" fillId="0" borderId="13" xfId="3" applyNumberFormat="1" applyFont="1" applyFill="1" applyBorder="1"/>
    <xf numFmtId="0" fontId="19" fillId="0" borderId="13" xfId="2" applyFill="1" applyBorder="1" applyAlignment="1">
      <alignment horizontal="center"/>
    </xf>
    <xf numFmtId="0" fontId="19" fillId="0" borderId="13" xfId="2" applyFill="1" applyBorder="1"/>
    <xf numFmtId="0" fontId="19" fillId="0" borderId="12" xfId="2" applyBorder="1" applyAlignment="1">
      <alignment horizontal="left" indent="1"/>
    </xf>
    <xf numFmtId="173" fontId="25" fillId="0" borderId="12" xfId="4" applyNumberFormat="1" applyFont="1" applyFill="1" applyBorder="1"/>
    <xf numFmtId="0" fontId="19" fillId="0" borderId="12" xfId="2" applyFill="1" applyBorder="1" applyAlignment="1">
      <alignment horizontal="center"/>
    </xf>
    <xf numFmtId="0" fontId="19" fillId="0" borderId="12" xfId="2" applyFill="1" applyBorder="1"/>
    <xf numFmtId="0" fontId="19" fillId="0" borderId="14" xfId="2" applyBorder="1" applyAlignment="1">
      <alignment horizontal="center"/>
    </xf>
    <xf numFmtId="0" fontId="19" fillId="0" borderId="14" xfId="2" applyBorder="1"/>
    <xf numFmtId="0" fontId="19" fillId="0" borderId="14" xfId="2" applyFill="1" applyBorder="1" applyAlignment="1">
      <alignment horizontal="center"/>
    </xf>
    <xf numFmtId="0" fontId="19" fillId="0" borderId="14" xfId="2" applyFill="1" applyBorder="1"/>
    <xf numFmtId="0" fontId="19" fillId="0" borderId="13" xfId="2" applyBorder="1" applyAlignment="1">
      <alignment horizontal="left" indent="1"/>
    </xf>
    <xf numFmtId="37" fontId="25" fillId="0" borderId="13" xfId="3" applyNumberFormat="1" applyFont="1" applyFill="1" applyBorder="1"/>
    <xf numFmtId="0" fontId="19" fillId="0" borderId="12" xfId="2" applyFill="1" applyBorder="1" applyAlignment="1">
      <alignment horizontal="left" indent="1"/>
    </xf>
    <xf numFmtId="0" fontId="24" fillId="0" borderId="15" xfId="2" applyFont="1" applyFill="1" applyBorder="1"/>
    <xf numFmtId="37" fontId="24" fillId="0" borderId="16" xfId="3" applyNumberFormat="1" applyFont="1" applyFill="1" applyBorder="1"/>
    <xf numFmtId="0" fontId="19" fillId="0" borderId="17" xfId="2" applyFill="1" applyBorder="1" applyAlignment="1">
      <alignment horizontal="center"/>
    </xf>
    <xf numFmtId="0" fontId="24" fillId="0" borderId="18" xfId="2" applyFont="1" applyFill="1" applyBorder="1"/>
    <xf numFmtId="37" fontId="25" fillId="0" borderId="3" xfId="3" applyNumberFormat="1" applyFont="1" applyFill="1" applyBorder="1"/>
    <xf numFmtId="0" fontId="24" fillId="0" borderId="13" xfId="2" applyFont="1" applyFill="1" applyBorder="1" applyAlignment="1">
      <alignment horizontal="center"/>
    </xf>
    <xf numFmtId="0" fontId="19" fillId="0" borderId="6" xfId="2" applyBorder="1"/>
    <xf numFmtId="0" fontId="19" fillId="0" borderId="3" xfId="2" applyFill="1" applyBorder="1" applyAlignment="1">
      <alignment horizontal="center"/>
    </xf>
    <xf numFmtId="0" fontId="19" fillId="0" borderId="9" xfId="2" applyBorder="1" applyAlignment="1">
      <alignment horizontal="center"/>
    </xf>
    <xf numFmtId="0" fontId="24" fillId="0" borderId="11" xfId="2" applyFont="1" applyBorder="1"/>
    <xf numFmtId="37" fontId="24" fillId="0" borderId="11" xfId="3" applyNumberFormat="1" applyFont="1" applyFill="1" applyBorder="1"/>
    <xf numFmtId="0" fontId="24" fillId="0" borderId="19" xfId="2" applyFont="1" applyBorder="1"/>
    <xf numFmtId="0" fontId="24" fillId="0" borderId="13" xfId="2" applyFont="1" applyBorder="1" applyAlignment="1">
      <alignment horizontal="center"/>
    </xf>
    <xf numFmtId="0" fontId="19" fillId="0" borderId="12" xfId="2" applyBorder="1"/>
    <xf numFmtId="174" fontId="25" fillId="0" borderId="12" xfId="3" applyNumberFormat="1" applyFont="1" applyFill="1" applyBorder="1"/>
    <xf numFmtId="174" fontId="0" fillId="0" borderId="13" xfId="3" applyNumberFormat="1" applyFont="1" applyFill="1" applyBorder="1"/>
    <xf numFmtId="0" fontId="24" fillId="0" borderId="7" xfId="2" applyFont="1" applyFill="1" applyBorder="1"/>
    <xf numFmtId="174" fontId="24" fillId="0" borderId="16" xfId="3" applyNumberFormat="1" applyFont="1" applyFill="1" applyBorder="1"/>
    <xf numFmtId="174" fontId="25" fillId="0" borderId="11" xfId="3" applyNumberFormat="1" applyFont="1" applyFill="1" applyBorder="1"/>
    <xf numFmtId="0" fontId="24" fillId="0" borderId="18" xfId="2" applyFont="1" applyBorder="1"/>
    <xf numFmtId="0" fontId="24" fillId="0" borderId="12" xfId="2" applyFont="1" applyFill="1" applyBorder="1" applyAlignment="1">
      <alignment horizontal="center"/>
    </xf>
    <xf numFmtId="174" fontId="25" fillId="0" borderId="14" xfId="3" applyNumberFormat="1" applyFont="1" applyFill="1" applyBorder="1"/>
    <xf numFmtId="0" fontId="19" fillId="0" borderId="0" xfId="2" applyFill="1"/>
    <xf numFmtId="174" fontId="25" fillId="0" borderId="13" xfId="3" applyNumberFormat="1" applyFont="1" applyFill="1" applyBorder="1"/>
    <xf numFmtId="0" fontId="19" fillId="0" borderId="12" xfId="2" quotePrefix="1" applyFill="1" applyBorder="1" applyAlignment="1">
      <alignment horizontal="left" indent="1"/>
    </xf>
    <xf numFmtId="0" fontId="24" fillId="0" borderId="13" xfId="2" applyFont="1" applyBorder="1"/>
    <xf numFmtId="174" fontId="24" fillId="0" borderId="13" xfId="3" applyNumberFormat="1" applyFont="1" applyFill="1" applyBorder="1"/>
    <xf numFmtId="0" fontId="19" fillId="0" borderId="20" xfId="2" applyBorder="1" applyAlignment="1">
      <alignment horizontal="center"/>
    </xf>
    <xf numFmtId="0" fontId="24" fillId="0" borderId="21" xfId="2" applyFont="1" applyBorder="1"/>
    <xf numFmtId="173" fontId="24" fillId="0" borderId="16" xfId="4" applyNumberFormat="1" applyFont="1" applyFill="1" applyBorder="1"/>
    <xf numFmtId="0" fontId="19" fillId="0" borderId="22" xfId="2" applyFill="1" applyBorder="1" applyAlignment="1">
      <alignment horizontal="center"/>
    </xf>
    <xf numFmtId="0" fontId="24" fillId="0" borderId="21" xfId="2" applyFont="1" applyFill="1" applyBorder="1"/>
    <xf numFmtId="0" fontId="19" fillId="0" borderId="0" xfId="2" applyBorder="1"/>
    <xf numFmtId="37" fontId="0" fillId="0" borderId="0" xfId="3" applyNumberFormat="1" applyFont="1" applyFill="1" applyBorder="1"/>
    <xf numFmtId="0" fontId="19" fillId="0" borderId="0" xfId="2" applyFill="1" applyBorder="1"/>
    <xf numFmtId="37" fontId="19" fillId="0" borderId="0" xfId="2" applyNumberFormat="1" applyFill="1" applyBorder="1"/>
    <xf numFmtId="37" fontId="19" fillId="0" borderId="0" xfId="2" applyNumberFormat="1" applyBorder="1"/>
    <xf numFmtId="0" fontId="22" fillId="0" borderId="0" xfId="2" applyFont="1" applyAlignment="1">
      <alignment horizontal="left"/>
    </xf>
    <xf numFmtId="14" fontId="22" fillId="0" borderId="0" xfId="2" applyNumberFormat="1" applyFont="1" applyAlignment="1">
      <alignment horizontal="left"/>
    </xf>
    <xf numFmtId="0" fontId="21" fillId="0" borderId="0" xfId="2" applyFont="1" applyAlignment="1">
      <alignment horizontal="left"/>
    </xf>
    <xf numFmtId="0" fontId="23" fillId="0" borderId="0" xfId="2" applyFont="1" applyBorder="1" applyAlignment="1">
      <alignment horizontal="left"/>
    </xf>
    <xf numFmtId="0" fontId="19" fillId="0" borderId="11" xfId="2" applyFill="1" applyBorder="1"/>
    <xf numFmtId="0" fontId="19" fillId="0" borderId="10" xfId="2" applyFill="1" applyBorder="1"/>
    <xf numFmtId="0" fontId="19" fillId="0" borderId="10" xfId="2" applyFill="1" applyBorder="1" applyAlignment="1">
      <alignment horizontal="center"/>
    </xf>
    <xf numFmtId="0" fontId="19" fillId="0" borderId="5" xfId="2" applyFill="1" applyBorder="1"/>
    <xf numFmtId="174" fontId="25" fillId="0" borderId="5" xfId="3" applyNumberFormat="1" applyFont="1" applyFill="1" applyBorder="1"/>
    <xf numFmtId="0" fontId="19" fillId="0" borderId="17" xfId="2" applyFill="1" applyBorder="1"/>
    <xf numFmtId="174" fontId="25" fillId="0" borderId="17" xfId="3" applyNumberFormat="1" applyFont="1" applyFill="1" applyBorder="1"/>
    <xf numFmtId="0" fontId="19" fillId="0" borderId="3" xfId="2" applyFill="1" applyBorder="1"/>
    <xf numFmtId="174" fontId="25" fillId="0" borderId="3" xfId="3" applyNumberFormat="1" applyFont="1" applyFill="1" applyBorder="1"/>
    <xf numFmtId="0" fontId="19" fillId="0" borderId="23" xfId="2" applyFill="1" applyBorder="1" applyAlignment="1">
      <alignment horizontal="center"/>
    </xf>
    <xf numFmtId="0" fontId="19" fillId="0" borderId="24" xfId="2" applyFill="1" applyBorder="1"/>
    <xf numFmtId="174" fontId="24" fillId="0" borderId="25" xfId="3" applyNumberFormat="1" applyFont="1" applyFill="1" applyBorder="1"/>
    <xf numFmtId="0" fontId="24" fillId="0" borderId="24" xfId="2" applyFont="1" applyFill="1" applyBorder="1"/>
    <xf numFmtId="0" fontId="21" fillId="0" borderId="23" xfId="2" applyFont="1" applyFill="1" applyBorder="1" applyAlignment="1">
      <alignment horizontal="center"/>
    </xf>
    <xf numFmtId="0" fontId="21" fillId="0" borderId="24" xfId="2" applyFont="1" applyFill="1" applyBorder="1"/>
    <xf numFmtId="173" fontId="24" fillId="0" borderId="26" xfId="4" applyNumberFormat="1" applyFont="1" applyFill="1" applyBorder="1"/>
    <xf numFmtId="37" fontId="19" fillId="0" borderId="0" xfId="2" applyNumberFormat="1"/>
    <xf numFmtId="0" fontId="22" fillId="0" borderId="0" xfId="2" applyFont="1" applyAlignment="1">
      <alignment horizontal="center"/>
    </xf>
    <xf numFmtId="0" fontId="24" fillId="0" borderId="0" xfId="2" applyFont="1"/>
    <xf numFmtId="14" fontId="22" fillId="0" borderId="0" xfId="2" applyNumberFormat="1" applyFont="1" applyAlignment="1">
      <alignment horizontal="center"/>
    </xf>
    <xf numFmtId="37" fontId="19" fillId="0" borderId="11" xfId="2" applyNumberFormat="1" applyBorder="1"/>
    <xf numFmtId="37" fontId="19" fillId="0" borderId="3" xfId="2" applyNumberFormat="1" applyBorder="1"/>
    <xf numFmtId="0" fontId="19" fillId="0" borderId="4" xfId="2" applyBorder="1"/>
    <xf numFmtId="173" fontId="25" fillId="0" borderId="12" xfId="4" applyNumberFormat="1" applyFont="1" applyBorder="1"/>
    <xf numFmtId="173" fontId="25" fillId="0" borderId="5" xfId="4" applyNumberFormat="1" applyFont="1" applyBorder="1"/>
    <xf numFmtId="174" fontId="25" fillId="0" borderId="12" xfId="3" applyNumberFormat="1" applyFont="1" applyBorder="1"/>
    <xf numFmtId="174" fontId="25" fillId="0" borderId="5" xfId="3" applyNumberFormat="1" applyFont="1" applyBorder="1"/>
    <xf numFmtId="174" fontId="25" fillId="0" borderId="13" xfId="3" applyNumberFormat="1" applyFont="1" applyBorder="1"/>
    <xf numFmtId="174" fontId="25" fillId="0" borderId="3" xfId="3" applyNumberFormat="1" applyFont="1" applyBorder="1"/>
    <xf numFmtId="0" fontId="19" fillId="0" borderId="4" xfId="2" applyFill="1" applyBorder="1" applyAlignment="1">
      <alignment horizontal="left" indent="1"/>
    </xf>
    <xf numFmtId="0" fontId="19" fillId="0" borderId="28" xfId="2" applyFill="1" applyBorder="1"/>
    <xf numFmtId="173" fontId="24" fillId="0" borderId="27" xfId="4" applyNumberFormat="1" applyFont="1" applyFill="1" applyBorder="1"/>
    <xf numFmtId="173" fontId="24" fillId="0" borderId="24" xfId="4" applyNumberFormat="1" applyFont="1" applyFill="1" applyBorder="1"/>
    <xf numFmtId="37" fontId="25" fillId="0" borderId="3" xfId="2" applyNumberFormat="1" applyFont="1" applyFill="1" applyBorder="1"/>
    <xf numFmtId="174" fontId="25" fillId="0" borderId="5" xfId="3" applyNumberFormat="1" applyFont="1" applyFill="1" applyBorder="1" applyAlignment="1">
      <alignment horizontal="right"/>
    </xf>
    <xf numFmtId="174" fontId="25" fillId="0" borderId="3" xfId="3" applyNumberFormat="1" applyFont="1" applyFill="1" applyBorder="1" applyAlignment="1">
      <alignment horizontal="right"/>
    </xf>
    <xf numFmtId="174" fontId="25" fillId="0" borderId="17" xfId="3" applyNumberFormat="1" applyFont="1" applyFill="1" applyBorder="1" applyAlignment="1">
      <alignment horizontal="right"/>
    </xf>
    <xf numFmtId="37" fontId="25" fillId="0" borderId="3" xfId="2" applyNumberFormat="1" applyFont="1" applyFill="1" applyBorder="1" applyAlignment="1">
      <alignment horizontal="right"/>
    </xf>
    <xf numFmtId="37" fontId="19" fillId="0" borderId="0" xfId="2" applyNumberFormat="1" applyFill="1"/>
    <xf numFmtId="0" fontId="21" fillId="0" borderId="0" xfId="2" applyFont="1" applyBorder="1"/>
    <xf numFmtId="0" fontId="21" fillId="0" borderId="5" xfId="2" applyFont="1" applyBorder="1" applyAlignment="1">
      <alignment horizontal="center"/>
    </xf>
    <xf numFmtId="170" fontId="9" fillId="0" borderId="0" xfId="0" applyNumberFormat="1" applyFont="1" applyAlignment="1"/>
    <xf numFmtId="177" fontId="9" fillId="0" borderId="0" xfId="1" applyNumberFormat="1" applyFont="1" applyAlignment="1"/>
    <xf numFmtId="0" fontId="21" fillId="0" borderId="3" xfId="2" applyFont="1" applyBorder="1" applyAlignment="1">
      <alignment horizontal="center"/>
    </xf>
    <xf numFmtId="37" fontId="21" fillId="0" borderId="3" xfId="2" applyNumberFormat="1" applyFont="1" applyBorder="1"/>
    <xf numFmtId="173" fontId="21" fillId="0" borderId="5" xfId="4" applyNumberFormat="1" applyFont="1" applyBorder="1"/>
    <xf numFmtId="174" fontId="21" fillId="0" borderId="5" xfId="3" applyNumberFormat="1" applyFont="1" applyBorder="1"/>
    <xf numFmtId="174" fontId="21" fillId="0" borderId="3" xfId="3" applyNumberFormat="1" applyFont="1" applyBorder="1"/>
    <xf numFmtId="0" fontId="21" fillId="0" borderId="5" xfId="2" applyFont="1" applyFill="1" applyBorder="1" applyAlignment="1">
      <alignment horizontal="center"/>
    </xf>
    <xf numFmtId="43" fontId="56" fillId="0" borderId="11" xfId="3" applyFont="1" applyFill="1" applyBorder="1"/>
    <xf numFmtId="37" fontId="56" fillId="0" borderId="13" xfId="3" applyNumberFormat="1" applyFont="1" applyFill="1" applyBorder="1"/>
    <xf numFmtId="37" fontId="56" fillId="0" borderId="14" xfId="3" applyNumberFormat="1" applyFont="1" applyFill="1" applyBorder="1"/>
    <xf numFmtId="174" fontId="56" fillId="0" borderId="13" xfId="3" applyNumberFormat="1" applyFont="1" applyFill="1" applyBorder="1"/>
    <xf numFmtId="174" fontId="56" fillId="0" borderId="12" xfId="3" applyNumberFormat="1" applyFont="1" applyFill="1" applyBorder="1"/>
    <xf numFmtId="174" fontId="56" fillId="0" borderId="0" xfId="3" applyNumberFormat="1" applyFont="1" applyFill="1" applyBorder="1"/>
    <xf numFmtId="43" fontId="56" fillId="0" borderId="0" xfId="3" applyFont="1" applyFill="1" applyBorder="1"/>
    <xf numFmtId="37" fontId="21" fillId="0" borderId="0" xfId="2" applyNumberFormat="1" applyFont="1" applyBorder="1"/>
    <xf numFmtId="43" fontId="56" fillId="0" borderId="0" xfId="3" applyFont="1" applyBorder="1"/>
    <xf numFmtId="43" fontId="21" fillId="0" borderId="0" xfId="2" applyNumberFormat="1" applyFont="1" applyBorder="1"/>
    <xf numFmtId="9" fontId="9" fillId="0" borderId="0" xfId="198" applyFont="1" applyFill="1" applyAlignment="1"/>
    <xf numFmtId="37" fontId="25" fillId="0" borderId="14" xfId="3" applyNumberFormat="1" applyFont="1" applyFill="1" applyBorder="1"/>
    <xf numFmtId="37" fontId="25" fillId="0" borderId="12" xfId="3" applyNumberFormat="1" applyFont="1" applyFill="1" applyBorder="1"/>
    <xf numFmtId="37" fontId="56" fillId="0" borderId="12" xfId="3" applyNumberFormat="1" applyFont="1" applyFill="1" applyBorder="1"/>
    <xf numFmtId="173" fontId="25" fillId="0" borderId="5" xfId="4" applyNumberFormat="1" applyFont="1" applyFill="1" applyBorder="1"/>
    <xf numFmtId="174" fontId="21" fillId="0" borderId="5" xfId="3" applyNumberFormat="1" applyFont="1" applyFill="1" applyBorder="1"/>
    <xf numFmtId="174" fontId="21" fillId="0" borderId="3" xfId="3" applyNumberFormat="1" applyFont="1" applyFill="1" applyBorder="1"/>
    <xf numFmtId="174" fontId="21" fillId="0" borderId="17" xfId="3" applyNumberFormat="1" applyFont="1" applyFill="1" applyBorder="1"/>
    <xf numFmtId="173" fontId="24" fillId="0" borderId="25" xfId="4" applyNumberFormat="1" applyFont="1" applyFill="1" applyBorder="1"/>
    <xf numFmtId="37" fontId="21" fillId="0" borderId="3" xfId="2" applyNumberFormat="1" applyFont="1" applyFill="1" applyBorder="1"/>
    <xf numFmtId="0" fontId="19" fillId="0" borderId="5" xfId="2" applyFill="1" applyBorder="1" applyAlignment="1">
      <alignment horizontal="left" indent="1"/>
    </xf>
    <xf numFmtId="174" fontId="56" fillId="0" borderId="5" xfId="3" applyNumberFormat="1" applyFont="1" applyFill="1" applyBorder="1"/>
    <xf numFmtId="174" fontId="56" fillId="0" borderId="3" xfId="3" applyNumberFormat="1" applyFont="1" applyFill="1" applyBorder="1"/>
    <xf numFmtId="37" fontId="21" fillId="0" borderId="0" xfId="2" applyNumberFormat="1" applyFont="1" applyFill="1"/>
    <xf numFmtId="0" fontId="19" fillId="0" borderId="7" xfId="2" applyFill="1" applyBorder="1"/>
    <xf numFmtId="37" fontId="19" fillId="0" borderId="4" xfId="2" applyNumberFormat="1" applyFill="1" applyBorder="1"/>
    <xf numFmtId="0" fontId="9" fillId="6" borderId="0" xfId="0" applyNumberFormat="1" applyFont="1" applyFill="1"/>
    <xf numFmtId="49" fontId="12" fillId="6" borderId="0" xfId="0" applyNumberFormat="1" applyFont="1" applyFill="1"/>
    <xf numFmtId="37" fontId="25" fillId="0" borderId="10" xfId="2" applyNumberFormat="1" applyFont="1" applyFill="1" applyBorder="1"/>
    <xf numFmtId="37" fontId="25" fillId="0" borderId="5" xfId="2" applyNumberFormat="1" applyFont="1" applyFill="1" applyBorder="1"/>
    <xf numFmtId="37" fontId="57" fillId="0" borderId="0" xfId="2" applyNumberFormat="1" applyFont="1" applyFill="1"/>
    <xf numFmtId="173" fontId="19" fillId="0" borderId="0" xfId="199" applyNumberFormat="1" applyFont="1"/>
    <xf numFmtId="174" fontId="19" fillId="0" borderId="0" xfId="1" applyNumberFormat="1" applyFont="1"/>
    <xf numFmtId="174" fontId="59" fillId="0" borderId="0" xfId="1" applyNumberFormat="1" applyFont="1"/>
    <xf numFmtId="0" fontId="59" fillId="0" borderId="0" xfId="2" applyFont="1"/>
    <xf numFmtId="0" fontId="59" fillId="0" borderId="0" xfId="2" applyFont="1" applyAlignment="1">
      <alignment horizontal="left"/>
    </xf>
    <xf numFmtId="0" fontId="59" fillId="0" borderId="11" xfId="2" applyFont="1" applyBorder="1" applyAlignment="1">
      <alignment horizontal="center"/>
    </xf>
    <xf numFmtId="0" fontId="59" fillId="0" borderId="10" xfId="2" applyFont="1" applyBorder="1" applyAlignment="1">
      <alignment horizontal="center"/>
    </xf>
    <xf numFmtId="0" fontId="59" fillId="0" borderId="12" xfId="2" applyFont="1" applyBorder="1" applyAlignment="1">
      <alignment horizontal="center"/>
    </xf>
    <xf numFmtId="0" fontId="59" fillId="0" borderId="5" xfId="2" applyFont="1" applyBorder="1" applyAlignment="1">
      <alignment horizontal="center"/>
    </xf>
    <xf numFmtId="0" fontId="59" fillId="0" borderId="13" xfId="2" applyFont="1" applyFill="1" applyBorder="1" applyAlignment="1">
      <alignment horizontal="center"/>
    </xf>
    <xf numFmtId="0" fontId="59" fillId="0" borderId="14" xfId="2" applyFont="1" applyBorder="1" applyAlignment="1">
      <alignment horizontal="center"/>
    </xf>
    <xf numFmtId="0" fontId="59" fillId="0" borderId="14" xfId="2" applyFont="1" applyBorder="1"/>
    <xf numFmtId="173" fontId="62" fillId="0" borderId="14" xfId="4" applyNumberFormat="1" applyFont="1" applyBorder="1"/>
    <xf numFmtId="173" fontId="63" fillId="0" borderId="14" xfId="4" applyNumberFormat="1" applyFont="1" applyBorder="1"/>
    <xf numFmtId="173" fontId="59" fillId="0" borderId="14" xfId="4" applyNumberFormat="1" applyFont="1" applyBorder="1"/>
    <xf numFmtId="173" fontId="58" fillId="0" borderId="14" xfId="4" applyNumberFormat="1" applyFont="1" applyBorder="1"/>
    <xf numFmtId="174" fontId="62" fillId="0" borderId="14" xfId="3" applyNumberFormat="1" applyFont="1" applyBorder="1"/>
    <xf numFmtId="174" fontId="63" fillId="0" borderId="14" xfId="3" applyNumberFormat="1" applyFont="1" applyBorder="1"/>
    <xf numFmtId="174" fontId="62" fillId="0" borderId="14" xfId="3" applyNumberFormat="1" applyFont="1" applyFill="1" applyBorder="1"/>
    <xf numFmtId="0" fontId="59" fillId="0" borderId="0" xfId="2" applyFont="1" applyFill="1"/>
    <xf numFmtId="173" fontId="59" fillId="0" borderId="14" xfId="4" applyNumberFormat="1" applyFont="1" applyFill="1" applyBorder="1"/>
    <xf numFmtId="174" fontId="62" fillId="0" borderId="11" xfId="3" applyNumberFormat="1" applyFont="1" applyFill="1" applyBorder="1"/>
    <xf numFmtId="173" fontId="59" fillId="0" borderId="11" xfId="4" applyNumberFormat="1" applyFont="1" applyFill="1" applyBorder="1"/>
    <xf numFmtId="0" fontId="63" fillId="0" borderId="18" xfId="2" applyFont="1" applyBorder="1"/>
    <xf numFmtId="173" fontId="63" fillId="0" borderId="27" xfId="4" applyNumberFormat="1" applyFont="1" applyFill="1" applyBorder="1"/>
    <xf numFmtId="173" fontId="63" fillId="0" borderId="23" xfId="4" applyNumberFormat="1" applyFont="1" applyFill="1" applyBorder="1"/>
    <xf numFmtId="173" fontId="63" fillId="0" borderId="26" xfId="4" applyNumberFormat="1" applyFont="1" applyFill="1" applyBorder="1"/>
    <xf numFmtId="173" fontId="63" fillId="0" borderId="16" xfId="4" applyNumberFormat="1" applyFont="1" applyFill="1" applyBorder="1"/>
    <xf numFmtId="0" fontId="63" fillId="0" borderId="14" xfId="2" applyFont="1" applyBorder="1"/>
    <xf numFmtId="173" fontId="63" fillId="0" borderId="12" xfId="4" applyNumberFormat="1" applyFont="1" applyFill="1" applyBorder="1"/>
    <xf numFmtId="173" fontId="59" fillId="0" borderId="0" xfId="4" applyNumberFormat="1" applyFont="1" applyFill="1"/>
    <xf numFmtId="173" fontId="59" fillId="0" borderId="0" xfId="2" applyNumberFormat="1" applyFont="1"/>
    <xf numFmtId="173" fontId="59" fillId="0" borderId="12" xfId="4" applyNumberFormat="1" applyFont="1" applyFill="1" applyBorder="1"/>
    <xf numFmtId="37" fontId="63" fillId="0" borderId="12" xfId="2" applyNumberFormat="1" applyFont="1" applyFill="1" applyBorder="1"/>
    <xf numFmtId="37" fontId="59" fillId="0" borderId="0" xfId="2" applyNumberFormat="1" applyFont="1"/>
    <xf numFmtId="170" fontId="9" fillId="0" borderId="0" xfId="0" applyNumberFormat="1" applyFont="1" applyFill="1" applyBorder="1" applyAlignment="1"/>
    <xf numFmtId="3" fontId="9" fillId="0" borderId="0" xfId="0" applyNumberFormat="1" applyFont="1" applyFill="1" applyAlignment="1">
      <alignment horizontal="left"/>
    </xf>
    <xf numFmtId="3" fontId="9" fillId="0" borderId="0" xfId="0" applyNumberFormat="1" applyFont="1" applyFill="1" applyAlignment="1">
      <alignment horizontal="center"/>
    </xf>
    <xf numFmtId="37" fontId="19" fillId="0" borderId="0" xfId="2" applyNumberFormat="1" applyFont="1" applyFill="1"/>
    <xf numFmtId="0" fontId="61" fillId="0" borderId="0" xfId="2" applyFont="1" applyBorder="1" applyAlignment="1">
      <alignment horizontal="left"/>
    </xf>
    <xf numFmtId="0" fontId="64" fillId="0" borderId="0" xfId="2" applyFont="1" applyAlignment="1">
      <alignment horizontal="left"/>
    </xf>
    <xf numFmtId="0" fontId="64" fillId="0" borderId="0" xfId="2" applyFont="1"/>
    <xf numFmtId="0" fontId="64" fillId="0" borderId="0" xfId="2" applyFont="1" applyBorder="1"/>
    <xf numFmtId="37" fontId="64" fillId="0" borderId="0" xfId="2" applyNumberFormat="1" applyFont="1" applyBorder="1"/>
    <xf numFmtId="44" fontId="59" fillId="0" borderId="11" xfId="199" applyFont="1" applyFill="1" applyBorder="1"/>
    <xf numFmtId="44" fontId="59" fillId="0" borderId="0" xfId="199" applyFont="1" applyFill="1"/>
    <xf numFmtId="44" fontId="59" fillId="0" borderId="14" xfId="199" applyFont="1" applyFill="1" applyBorder="1"/>
    <xf numFmtId="44" fontId="59" fillId="0" borderId="12" xfId="199" applyFont="1" applyFill="1" applyBorder="1"/>
    <xf numFmtId="0" fontId="66" fillId="0" borderId="0" xfId="204" applyFont="1"/>
    <xf numFmtId="0" fontId="67" fillId="0" borderId="0" xfId="204" applyFont="1"/>
    <xf numFmtId="0" fontId="6" fillId="0" borderId="0" xfId="204"/>
    <xf numFmtId="0" fontId="66" fillId="7" borderId="0" xfId="204" applyFont="1" applyFill="1" applyAlignment="1">
      <alignment horizontal="left"/>
    </xf>
    <xf numFmtId="0" fontId="6" fillId="0" borderId="0" xfId="204" applyAlignment="1">
      <alignment vertical="center"/>
    </xf>
    <xf numFmtId="0" fontId="68" fillId="0" borderId="0" xfId="204" applyFont="1" applyAlignment="1">
      <alignment vertical="center"/>
    </xf>
    <xf numFmtId="0" fontId="68" fillId="0" borderId="0" xfId="204" applyFont="1" applyAlignment="1">
      <alignment horizontal="center" vertical="center"/>
    </xf>
    <xf numFmtId="0" fontId="68" fillId="0" borderId="0" xfId="204" applyFont="1" applyAlignment="1">
      <alignment horizontal="left" vertical="center"/>
    </xf>
    <xf numFmtId="0" fontId="65" fillId="0" borderId="4" xfId="204" applyFont="1" applyBorder="1" applyAlignment="1">
      <alignment horizontal="center" vertical="center" wrapText="1"/>
    </xf>
    <xf numFmtId="0" fontId="6" fillId="0" borderId="0" xfId="204" applyAlignment="1">
      <alignment horizontal="center" vertical="center" wrapText="1"/>
    </xf>
    <xf numFmtId="0" fontId="6" fillId="0" borderId="0" xfId="204" applyAlignment="1">
      <alignment horizontal="center" vertical="center"/>
    </xf>
    <xf numFmtId="0" fontId="6" fillId="0" borderId="0" xfId="204" applyFont="1" applyAlignment="1">
      <alignment horizontal="center" vertical="center"/>
    </xf>
    <xf numFmtId="174" fontId="6" fillId="0" borderId="0" xfId="204" applyNumberFormat="1" applyAlignment="1">
      <alignment vertical="center"/>
    </xf>
    <xf numFmtId="0" fontId="69" fillId="0" borderId="0" xfId="204" applyFont="1" applyFill="1" applyAlignment="1">
      <alignment vertical="center" wrapText="1"/>
    </xf>
    <xf numFmtId="0" fontId="70" fillId="0" borderId="0" xfId="204" applyFont="1" applyAlignment="1">
      <alignment horizontal="center" vertical="center"/>
    </xf>
    <xf numFmtId="0" fontId="65" fillId="0" borderId="0" xfId="204" applyFont="1" applyAlignment="1">
      <alignment vertical="center"/>
    </xf>
    <xf numFmtId="174" fontId="72" fillId="0" borderId="0" xfId="204" applyNumberFormat="1" applyFont="1" applyAlignment="1">
      <alignment vertical="center"/>
    </xf>
    <xf numFmtId="0" fontId="33" fillId="0" borderId="0" xfId="204" applyNumberFormat="1" applyFont="1"/>
    <xf numFmtId="0" fontId="6" fillId="0" borderId="0" xfId="204" applyFont="1" applyBorder="1" applyAlignment="1">
      <alignment horizontal="center" vertical="center" wrapText="1"/>
    </xf>
    <xf numFmtId="173" fontId="0" fillId="0" borderId="0" xfId="206" applyNumberFormat="1" applyFont="1" applyAlignment="1">
      <alignment vertical="center"/>
    </xf>
    <xf numFmtId="173" fontId="6" fillId="0" borderId="0" xfId="204" applyNumberFormat="1" applyFont="1" applyBorder="1" applyAlignment="1">
      <alignment horizontal="center" vertical="center" wrapText="1"/>
    </xf>
    <xf numFmtId="173" fontId="0" fillId="0" borderId="4" xfId="206" applyNumberFormat="1" applyFont="1" applyBorder="1" applyAlignment="1">
      <alignment vertical="center"/>
    </xf>
    <xf numFmtId="173" fontId="72" fillId="0" borderId="0" xfId="206" applyNumberFormat="1" applyFont="1" applyAlignment="1">
      <alignment vertical="center"/>
    </xf>
    <xf numFmtId="0" fontId="73" fillId="0" borderId="0" xfId="204" applyFont="1" applyAlignment="1">
      <alignment horizontal="center" vertical="center"/>
    </xf>
    <xf numFmtId="173" fontId="6" fillId="0" borderId="0" xfId="204" applyNumberFormat="1" applyAlignment="1">
      <alignment vertical="center"/>
    </xf>
    <xf numFmtId="173" fontId="6" fillId="0" borderId="0" xfId="206" applyNumberFormat="1" applyFont="1" applyBorder="1" applyAlignment="1">
      <alignment horizontal="center" vertical="center" wrapText="1"/>
    </xf>
    <xf numFmtId="0" fontId="65" fillId="0" borderId="0" xfId="204" applyFont="1" applyBorder="1" applyAlignment="1">
      <alignment horizontal="left" vertical="center" wrapText="1"/>
    </xf>
    <xf numFmtId="0" fontId="6" fillId="0" borderId="0" xfId="204" applyAlignment="1">
      <alignment horizontal="left" vertical="center"/>
    </xf>
    <xf numFmtId="173" fontId="6" fillId="0" borderId="4" xfId="206" applyNumberFormat="1" applyFont="1" applyBorder="1" applyAlignment="1">
      <alignment horizontal="center" vertical="center" wrapText="1"/>
    </xf>
    <xf numFmtId="173" fontId="65" fillId="0" borderId="0" xfId="206" applyNumberFormat="1" applyFont="1" applyAlignment="1">
      <alignment vertical="center"/>
    </xf>
    <xf numFmtId="0" fontId="76" fillId="0" borderId="0" xfId="204" applyFont="1" applyAlignment="1">
      <alignment horizontal="center"/>
    </xf>
    <xf numFmtId="0" fontId="77" fillId="0" borderId="0" xfId="204" applyFont="1" applyAlignment="1">
      <alignment horizontal="center"/>
    </xf>
    <xf numFmtId="0" fontId="78" fillId="0" borderId="0" xfId="204" applyFont="1" applyAlignment="1">
      <alignment horizontal="left" indent="1"/>
    </xf>
    <xf numFmtId="0" fontId="6" fillId="0" borderId="0" xfId="204" applyAlignment="1"/>
    <xf numFmtId="0" fontId="78" fillId="0" borderId="0" xfId="204" applyFont="1" applyAlignment="1">
      <alignment horizontal="left" indent="2"/>
    </xf>
    <xf numFmtId="43" fontId="0" fillId="0" borderId="0" xfId="205" applyFont="1"/>
    <xf numFmtId="0" fontId="65" fillId="0" borderId="0" xfId="204" applyFont="1"/>
    <xf numFmtId="0" fontId="6" fillId="0" borderId="0" xfId="204" applyAlignment="1">
      <alignment horizontal="left" indent="1"/>
    </xf>
    <xf numFmtId="0" fontId="6" fillId="0" borderId="0" xfId="204" applyFont="1" applyAlignment="1">
      <alignment horizontal="left" indent="2"/>
    </xf>
    <xf numFmtId="0" fontId="6" fillId="0" borderId="0" xfId="204" applyFont="1" applyAlignment="1">
      <alignment horizontal="left" indent="1"/>
    </xf>
    <xf numFmtId="0" fontId="79" fillId="0" borderId="0" xfId="204" applyFont="1"/>
    <xf numFmtId="0" fontId="79" fillId="0" borderId="0" xfId="204" applyFont="1" applyAlignment="1">
      <alignment horizontal="left" indent="1"/>
    </xf>
    <xf numFmtId="0" fontId="6" fillId="0" borderId="0" xfId="204" applyFont="1"/>
    <xf numFmtId="0" fontId="80" fillId="0" borderId="0" xfId="204" applyFont="1"/>
    <xf numFmtId="0" fontId="65" fillId="0" borderId="0" xfId="204" applyFont="1" applyAlignment="1">
      <alignment horizontal="center"/>
    </xf>
    <xf numFmtId="173" fontId="0" fillId="0" borderId="0" xfId="206" applyNumberFormat="1" applyFont="1"/>
    <xf numFmtId="174" fontId="0" fillId="0" borderId="0" xfId="205" applyNumberFormat="1" applyFont="1"/>
    <xf numFmtId="173" fontId="6" fillId="0" borderId="0" xfId="204" applyNumberFormat="1"/>
    <xf numFmtId="174" fontId="0" fillId="0" borderId="4" xfId="205" applyNumberFormat="1" applyFont="1" applyBorder="1"/>
    <xf numFmtId="0" fontId="81" fillId="0" borderId="0" xfId="204" applyFont="1"/>
    <xf numFmtId="0" fontId="6" fillId="0" borderId="0" xfId="204" applyAlignment="1">
      <alignment horizontal="center"/>
    </xf>
    <xf numFmtId="0" fontId="83" fillId="0" borderId="0" xfId="204" applyFont="1"/>
    <xf numFmtId="0" fontId="77" fillId="0" borderId="0" xfId="204" applyFont="1" applyAlignment="1">
      <alignment horizontal="left"/>
    </xf>
    <xf numFmtId="174" fontId="6" fillId="0" borderId="0" xfId="205" applyNumberFormat="1" applyFont="1"/>
    <xf numFmtId="173" fontId="6" fillId="7" borderId="14" xfId="204" applyNumberFormat="1" applyFill="1" applyBorder="1"/>
    <xf numFmtId="0" fontId="66" fillId="0" borderId="0" xfId="204" applyFont="1" applyAlignment="1"/>
    <xf numFmtId="0" fontId="66" fillId="0" borderId="0" xfId="204" applyFont="1" applyAlignment="1">
      <alignment horizontal="left"/>
    </xf>
    <xf numFmtId="0" fontId="66" fillId="0" borderId="0" xfId="204" applyFont="1" applyAlignment="1">
      <alignment horizontal="right"/>
    </xf>
    <xf numFmtId="0" fontId="6" fillId="0" borderId="0" xfId="204" applyAlignment="1">
      <alignment horizontal="left"/>
    </xf>
    <xf numFmtId="0" fontId="68" fillId="0" borderId="0" xfId="204" applyFont="1" applyAlignment="1">
      <alignment horizontal="right"/>
    </xf>
    <xf numFmtId="0" fontId="68" fillId="0" borderId="0" xfId="204" applyFont="1" applyAlignment="1">
      <alignment horizontal="left"/>
    </xf>
    <xf numFmtId="0" fontId="67" fillId="0" borderId="0" xfId="204" applyFont="1" applyAlignment="1"/>
    <xf numFmtId="0" fontId="84" fillId="0" borderId="0" xfId="204" applyFont="1" applyAlignment="1">
      <alignment horizontal="right"/>
    </xf>
    <xf numFmtId="0" fontId="85" fillId="0" borderId="0" xfId="204" applyFont="1" applyAlignment="1"/>
    <xf numFmtId="0" fontId="84" fillId="0" borderId="0" xfId="204" applyFont="1" applyAlignment="1">
      <alignment horizontal="left"/>
    </xf>
    <xf numFmtId="0" fontId="84" fillId="0" borderId="0" xfId="204" applyFont="1" applyAlignment="1"/>
    <xf numFmtId="178" fontId="82" fillId="0" borderId="0" xfId="208" applyFont="1" applyAlignment="1"/>
    <xf numFmtId="0" fontId="68" fillId="0" borderId="0" xfId="204" applyFont="1" applyAlignment="1"/>
    <xf numFmtId="0" fontId="6" fillId="0" borderId="0" xfId="204" quotePrefix="1" applyAlignment="1"/>
    <xf numFmtId="0" fontId="86" fillId="0" borderId="0" xfId="204" quotePrefix="1" applyFont="1" applyAlignment="1"/>
    <xf numFmtId="0" fontId="86" fillId="0" borderId="4" xfId="204" quotePrefix="1" applyFont="1" applyBorder="1" applyAlignment="1">
      <alignment horizontal="center"/>
    </xf>
    <xf numFmtId="3" fontId="6" fillId="0" borderId="0" xfId="204" applyNumberFormat="1" applyAlignment="1"/>
    <xf numFmtId="0" fontId="9" fillId="0" borderId="0" xfId="204" applyNumberFormat="1" applyFont="1" applyAlignment="1" applyProtection="1">
      <alignment horizontal="center"/>
      <protection locked="0"/>
    </xf>
    <xf numFmtId="0" fontId="9" fillId="0" borderId="0" xfId="204" applyNumberFormat="1" applyFont="1" applyAlignment="1" applyProtection="1">
      <protection locked="0"/>
    </xf>
    <xf numFmtId="0" fontId="9" fillId="0" borderId="0" xfId="204" applyNumberFormat="1" applyFont="1" applyBorder="1" applyAlignment="1" applyProtection="1">
      <protection locked="0"/>
    </xf>
    <xf numFmtId="0" fontId="9" fillId="0" borderId="0" xfId="204" applyNumberFormat="1" applyFont="1" applyFill="1" applyAlignment="1" applyProtection="1">
      <alignment horizontal="center"/>
      <protection locked="0"/>
    </xf>
    <xf numFmtId="0" fontId="9" fillId="0" borderId="0" xfId="204" applyNumberFormat="1" applyFont="1" applyFill="1" applyBorder="1" applyAlignment="1" applyProtection="1">
      <protection locked="0"/>
    </xf>
    <xf numFmtId="39" fontId="9" fillId="0" borderId="0" xfId="139" applyFont="1" applyAlignment="1"/>
    <xf numFmtId="3" fontId="9" fillId="2" borderId="0" xfId="139" applyNumberFormat="1" applyFont="1" applyFill="1"/>
    <xf numFmtId="3" fontId="9" fillId="2" borderId="1" xfId="139" applyNumberFormat="1" applyFont="1" applyFill="1" applyBorder="1"/>
    <xf numFmtId="3" fontId="9" fillId="0" borderId="0" xfId="139" applyNumberFormat="1" applyFont="1" applyFill="1"/>
    <xf numFmtId="42" fontId="9" fillId="0" borderId="29" xfId="139" applyNumberFormat="1" applyFont="1" applyBorder="1" applyAlignment="1" applyProtection="1">
      <alignment horizontal="right"/>
      <protection locked="0"/>
    </xf>
    <xf numFmtId="0" fontId="79" fillId="0" borderId="0" xfId="204" applyFont="1" applyAlignment="1">
      <alignment horizontal="left" indent="2"/>
    </xf>
    <xf numFmtId="174" fontId="6" fillId="0" borderId="0" xfId="1" applyNumberFormat="1" applyFont="1"/>
    <xf numFmtId="174" fontId="0" fillId="0" borderId="0" xfId="1" applyNumberFormat="1" applyFont="1"/>
    <xf numFmtId="174" fontId="71" fillId="0" borderId="0" xfId="1" applyNumberFormat="1" applyFont="1"/>
    <xf numFmtId="173" fontId="0" fillId="0" borderId="0" xfId="199" applyNumberFormat="1" applyFont="1"/>
    <xf numFmtId="173" fontId="71" fillId="0" borderId="0" xfId="199" applyNumberFormat="1" applyFont="1"/>
    <xf numFmtId="173" fontId="6" fillId="0" borderId="0" xfId="199" applyNumberFormat="1" applyFont="1"/>
    <xf numFmtId="173" fontId="0" fillId="0" borderId="4" xfId="199" applyNumberFormat="1" applyFont="1" applyBorder="1"/>
    <xf numFmtId="39" fontId="17" fillId="0" borderId="0" xfId="139" applyFont="1" applyAlignment="1"/>
    <xf numFmtId="0" fontId="5" fillId="0" borderId="0" xfId="211"/>
    <xf numFmtId="0" fontId="81" fillId="0" borderId="0" xfId="211" applyFont="1"/>
    <xf numFmtId="43" fontId="88" fillId="0" borderId="0" xfId="208" applyNumberFormat="1" applyFont="1" applyFill="1" applyBorder="1"/>
    <xf numFmtId="173" fontId="0" fillId="0" borderId="0" xfId="212" applyNumberFormat="1" applyFont="1"/>
    <xf numFmtId="0" fontId="5" fillId="0" borderId="0" xfId="211" applyAlignment="1">
      <alignment horizontal="left" indent="1"/>
    </xf>
    <xf numFmtId="0" fontId="5" fillId="0" borderId="0" xfId="211" applyFont="1"/>
    <xf numFmtId="0" fontId="87" fillId="0" borderId="0" xfId="211" applyFont="1"/>
    <xf numFmtId="0" fontId="5" fillId="0" borderId="0" xfId="211" applyFont="1" applyFill="1"/>
    <xf numFmtId="0" fontId="5" fillId="0" borderId="0" xfId="211" applyAlignment="1">
      <alignment horizontal="left" indent="2"/>
    </xf>
    <xf numFmtId="0" fontId="89" fillId="0" borderId="0" xfId="211" applyFont="1"/>
    <xf numFmtId="0" fontId="90" fillId="0" borderId="0" xfId="211" applyFont="1" applyAlignment="1">
      <alignment horizontal="center"/>
    </xf>
    <xf numFmtId="174" fontId="89" fillId="0" borderId="0" xfId="213" applyNumberFormat="1" applyFont="1" applyFill="1" applyBorder="1"/>
    <xf numFmtId="174" fontId="5" fillId="0" borderId="0" xfId="211" applyNumberFormat="1"/>
    <xf numFmtId="174" fontId="89" fillId="0" borderId="9" xfId="211" applyNumberFormat="1" applyFont="1" applyBorder="1"/>
    <xf numFmtId="0" fontId="19" fillId="0" borderId="0" xfId="2" applyAlignment="1">
      <alignment horizontal="left"/>
    </xf>
    <xf numFmtId="0" fontId="6" fillId="0" borderId="9" xfId="204" applyBorder="1" applyAlignment="1">
      <alignment vertical="center"/>
    </xf>
    <xf numFmtId="172" fontId="19" fillId="0" borderId="0" xfId="0" applyFont="1" applyBorder="1"/>
    <xf numFmtId="172" fontId="0" fillId="0" borderId="0" xfId="0"/>
    <xf numFmtId="172" fontId="0" fillId="0" borderId="11" xfId="0" applyBorder="1"/>
    <xf numFmtId="174" fontId="25" fillId="0" borderId="11" xfId="3" applyNumberFormat="1" applyFont="1" applyBorder="1" applyAlignment="1">
      <alignment horizontal="right"/>
    </xf>
    <xf numFmtId="173" fontId="25" fillId="0" borderId="11" xfId="4" applyNumberFormat="1" applyFont="1" applyBorder="1"/>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92" fillId="0" borderId="0" xfId="3" applyFont="1" applyFill="1"/>
    <xf numFmtId="43" fontId="0" fillId="0" borderId="0" xfId="3" applyFont="1" applyBorder="1"/>
    <xf numFmtId="173" fontId="5" fillId="0" borderId="1" xfId="4" applyNumberFormat="1" applyFont="1" applyBorder="1"/>
    <xf numFmtId="173" fontId="5" fillId="0" borderId="0" xfId="211" applyNumberFormat="1"/>
    <xf numFmtId="0" fontId="109" fillId="0" borderId="0" xfId="204" applyFont="1" applyAlignment="1"/>
    <xf numFmtId="37" fontId="89" fillId="0" borderId="0" xfId="213" applyNumberFormat="1" applyFont="1" applyFill="1" applyBorder="1"/>
    <xf numFmtId="173" fontId="0" fillId="0" borderId="0" xfId="206" applyNumberFormat="1" applyFont="1" applyFill="1"/>
    <xf numFmtId="174" fontId="0" fillId="0" borderId="0" xfId="213" applyNumberFormat="1" applyFont="1" applyFill="1" applyBorder="1"/>
    <xf numFmtId="0" fontId="6" fillId="0" borderId="0" xfId="204" applyFill="1"/>
    <xf numFmtId="174" fontId="25" fillId="0" borderId="13" xfId="3" quotePrefix="1" applyNumberFormat="1" applyFont="1" applyFill="1" applyBorder="1"/>
    <xf numFmtId="173" fontId="5" fillId="0" borderId="4" xfId="206" applyNumberFormat="1" applyFont="1" applyBorder="1" applyAlignment="1">
      <alignment horizontal="center" vertical="center" wrapText="1"/>
    </xf>
    <xf numFmtId="173" fontId="5" fillId="0" borderId="0" xfId="206" applyNumberFormat="1" applyFont="1" applyBorder="1" applyAlignment="1">
      <alignment horizontal="center" vertical="center" wrapText="1"/>
    </xf>
    <xf numFmtId="0" fontId="110" fillId="0" borderId="0" xfId="211" applyFont="1" applyAlignment="1">
      <alignment horizontal="left" indent="2"/>
    </xf>
    <xf numFmtId="0" fontId="111" fillId="0" borderId="0" xfId="211" applyFont="1"/>
    <xf numFmtId="170" fontId="89" fillId="0" borderId="0" xfId="211" applyNumberFormat="1" applyFont="1"/>
    <xf numFmtId="170" fontId="89" fillId="0" borderId="9" xfId="211" applyNumberFormat="1" applyFont="1" applyBorder="1"/>
    <xf numFmtId="0" fontId="73" fillId="0" borderId="0" xfId="204" applyFont="1" applyFill="1" applyAlignment="1">
      <alignment horizontal="center" vertical="center"/>
    </xf>
    <xf numFmtId="0" fontId="6" fillId="0" borderId="0" xfId="204" applyAlignment="1">
      <alignment horizontal="left"/>
    </xf>
    <xf numFmtId="0" fontId="5" fillId="0" borderId="0" xfId="204" applyFont="1" applyAlignment="1">
      <alignment vertical="center"/>
    </xf>
    <xf numFmtId="37" fontId="25" fillId="0" borderId="20" xfId="3" applyNumberFormat="1" applyFont="1" applyFill="1" applyBorder="1"/>
    <xf numFmtId="174" fontId="25" fillId="0" borderId="20" xfId="3" applyNumberFormat="1" applyFont="1" applyFill="1" applyBorder="1"/>
    <xf numFmtId="37" fontId="0" fillId="0" borderId="0" xfId="205" applyNumberFormat="1" applyFont="1"/>
    <xf numFmtId="37" fontId="5" fillId="0" borderId="28" xfId="205" applyNumberFormat="1" applyFont="1" applyBorder="1"/>
    <xf numFmtId="37" fontId="71" fillId="0" borderId="0" xfId="205" applyNumberFormat="1" applyFont="1"/>
    <xf numFmtId="37" fontId="0" fillId="0" borderId="9" xfId="205" applyNumberFormat="1" applyFont="1" applyBorder="1"/>
    <xf numFmtId="173" fontId="0" fillId="7" borderId="14" xfId="206" applyNumberFormat="1" applyFont="1" applyFill="1" applyBorder="1"/>
    <xf numFmtId="173" fontId="0" fillId="0" borderId="0" xfId="206" applyNumberFormat="1" applyFont="1" applyFill="1" applyAlignment="1">
      <alignment vertical="center"/>
    </xf>
    <xf numFmtId="0" fontId="9" fillId="0" borderId="0" xfId="0" applyNumberFormat="1" applyFont="1" applyProtection="1">
      <protection locked="0"/>
    </xf>
    <xf numFmtId="0" fontId="12" fillId="0" borderId="0" xfId="0" applyNumberFormat="1" applyFont="1" applyAlignment="1"/>
    <xf numFmtId="172" fontId="19" fillId="0" borderId="0" xfId="312" applyNumberFormat="1" applyFill="1" applyBorder="1" applyAlignment="1"/>
    <xf numFmtId="172" fontId="19" fillId="0" borderId="0" xfId="312" applyNumberFormat="1" applyFill="1" applyBorder="1" applyAlignment="1">
      <alignment horizontal="right"/>
    </xf>
    <xf numFmtId="172" fontId="112" fillId="0" borderId="0" xfId="312" applyNumberFormat="1" applyFont="1" applyFill="1" applyBorder="1" applyAlignment="1">
      <alignment horizontal="right"/>
    </xf>
    <xf numFmtId="0" fontId="22" fillId="0" borderId="0" xfId="312" applyNumberFormat="1" applyFont="1" applyFill="1" applyBorder="1" applyAlignment="1" applyProtection="1">
      <protection locked="0"/>
    </xf>
    <xf numFmtId="0" fontId="22" fillId="0" borderId="0" xfId="312" applyNumberFormat="1" applyFont="1" applyFill="1" applyBorder="1" applyAlignment="1" applyProtection="1">
      <alignment horizontal="left"/>
      <protection locked="0"/>
    </xf>
    <xf numFmtId="0" fontId="22" fillId="0" borderId="0" xfId="312" applyNumberFormat="1" applyFont="1" applyFill="1" applyBorder="1" applyProtection="1">
      <protection locked="0"/>
    </xf>
    <xf numFmtId="0" fontId="22" fillId="0" borderId="0" xfId="312" applyNumberFormat="1" applyFont="1" applyFill="1" applyBorder="1"/>
    <xf numFmtId="0" fontId="22" fillId="0" borderId="0" xfId="312" applyNumberFormat="1" applyFont="1" applyFill="1" applyBorder="1" applyAlignment="1" applyProtection="1">
      <alignment horizontal="right"/>
      <protection locked="0"/>
    </xf>
    <xf numFmtId="0" fontId="19" fillId="0" borderId="0" xfId="312" applyNumberFormat="1" applyFont="1" applyFill="1" applyBorder="1"/>
    <xf numFmtId="0" fontId="113" fillId="0" borderId="0" xfId="312" applyNumberFormat="1" applyFont="1" applyFill="1" applyBorder="1"/>
    <xf numFmtId="172" fontId="19" fillId="0" borderId="0" xfId="312" applyNumberFormat="1" applyFont="1" applyFill="1" applyBorder="1" applyAlignment="1"/>
    <xf numFmtId="3" fontId="22" fillId="0" borderId="0" xfId="312" applyNumberFormat="1" applyFont="1" applyFill="1" applyBorder="1" applyAlignment="1"/>
    <xf numFmtId="0" fontId="113" fillId="0" borderId="0" xfId="312" applyNumberFormat="1" applyFont="1" applyFill="1" applyBorder="1" applyAlignment="1">
      <alignment horizontal="center"/>
    </xf>
    <xf numFmtId="0" fontId="19" fillId="0" borderId="0" xfId="312" applyNumberFormat="1" applyFill="1" applyBorder="1" applyAlignment="1" applyProtection="1">
      <alignment horizontal="center"/>
      <protection locked="0"/>
    </xf>
    <xf numFmtId="49" fontId="22" fillId="2" borderId="0" xfId="312" applyNumberFormat="1" applyFont="1" applyFill="1" applyBorder="1" applyAlignment="1">
      <alignment horizontal="center"/>
    </xf>
    <xf numFmtId="49" fontId="22" fillId="0" borderId="0" xfId="312" applyNumberFormat="1" applyFont="1" applyFill="1" applyBorder="1"/>
    <xf numFmtId="3" fontId="22" fillId="0" borderId="0" xfId="312" applyNumberFormat="1" applyFont="1" applyFill="1" applyBorder="1"/>
    <xf numFmtId="0" fontId="22" fillId="0" borderId="0" xfId="312" applyNumberFormat="1" applyFont="1" applyFill="1" applyBorder="1" applyAlignment="1">
      <alignment horizontal="center"/>
    </xf>
    <xf numFmtId="49" fontId="22" fillId="0" borderId="0" xfId="312" applyNumberFormat="1" applyFont="1" applyFill="1" applyBorder="1" applyAlignment="1">
      <alignment horizontal="center"/>
    </xf>
    <xf numFmtId="3" fontId="19" fillId="0" borderId="0" xfId="312" applyNumberFormat="1" applyFont="1" applyFill="1" applyBorder="1" applyAlignment="1"/>
    <xf numFmtId="0" fontId="19" fillId="0" borderId="0" xfId="312" applyNumberFormat="1" applyFont="1" applyFill="1" applyBorder="1" applyAlignment="1"/>
    <xf numFmtId="0" fontId="22" fillId="0" borderId="0" xfId="312" applyNumberFormat="1" applyFont="1" applyFill="1" applyBorder="1" applyAlignment="1"/>
    <xf numFmtId="3" fontId="20" fillId="0" borderId="0" xfId="312" applyNumberFormat="1" applyFont="1" applyFill="1" applyBorder="1" applyAlignment="1">
      <alignment horizontal="center"/>
    </xf>
    <xf numFmtId="0" fontId="19" fillId="0" borderId="0" xfId="312" applyNumberFormat="1" applyFont="1" applyFill="1" applyBorder="1" applyAlignment="1">
      <alignment horizontal="center"/>
    </xf>
    <xf numFmtId="172" fontId="20" fillId="0" borderId="0" xfId="312" applyNumberFormat="1" applyFont="1" applyFill="1" applyBorder="1" applyAlignment="1">
      <alignment horizontal="center"/>
    </xf>
    <xf numFmtId="0" fontId="20" fillId="0" borderId="0" xfId="312" applyNumberFormat="1" applyFont="1" applyFill="1" applyBorder="1" applyAlignment="1" applyProtection="1">
      <alignment horizontal="center"/>
      <protection locked="0"/>
    </xf>
    <xf numFmtId="0" fontId="86" fillId="0" borderId="0" xfId="312" applyNumberFormat="1" applyFont="1" applyFill="1" applyBorder="1" applyAlignment="1">
      <alignment horizontal="center"/>
    </xf>
    <xf numFmtId="0" fontId="20" fillId="0" borderId="0" xfId="312" applyNumberFormat="1" applyFont="1" applyFill="1" applyBorder="1" applyAlignment="1"/>
    <xf numFmtId="0" fontId="114" fillId="0" borderId="0" xfId="312" applyNumberFormat="1" applyFont="1" applyFill="1" applyBorder="1" applyAlignment="1" applyProtection="1">
      <alignment horizontal="center"/>
      <protection locked="0"/>
    </xf>
    <xf numFmtId="3" fontId="19" fillId="0" borderId="0" xfId="312" applyNumberFormat="1" applyFill="1" applyBorder="1" applyAlignment="1">
      <alignment horizontal="center"/>
    </xf>
    <xf numFmtId="3" fontId="22" fillId="0" borderId="0" xfId="312" applyNumberFormat="1" applyFont="1" applyFill="1" applyBorder="1" applyAlignment="1">
      <alignment horizontal="center"/>
    </xf>
    <xf numFmtId="3" fontId="22" fillId="2" borderId="0" xfId="312" applyNumberFormat="1" applyFont="1" applyFill="1" applyBorder="1" applyAlignment="1"/>
    <xf numFmtId="41" fontId="22" fillId="2" borderId="0" xfId="312" applyNumberFormat="1" applyFont="1" applyFill="1" applyBorder="1" applyAlignment="1"/>
    <xf numFmtId="10" fontId="22" fillId="0" borderId="0" xfId="312" applyNumberFormat="1" applyFont="1" applyFill="1" applyBorder="1" applyAlignment="1"/>
    <xf numFmtId="10" fontId="0" fillId="0" borderId="0" xfId="313" applyNumberFormat="1" applyFont="1" applyFill="1" applyBorder="1" applyAlignment="1"/>
    <xf numFmtId="10" fontId="20" fillId="0" borderId="0" xfId="312" applyNumberFormat="1" applyFont="1" applyFill="1" applyBorder="1" applyAlignment="1"/>
    <xf numFmtId="3" fontId="86" fillId="0" borderId="0" xfId="312" applyNumberFormat="1" applyFont="1" applyFill="1" applyBorder="1" applyAlignment="1"/>
    <xf numFmtId="165" fontId="20" fillId="0" borderId="0" xfId="312" applyNumberFormat="1" applyFont="1" applyFill="1" applyBorder="1" applyAlignment="1"/>
    <xf numFmtId="49" fontId="19" fillId="0" borderId="0" xfId="312" applyNumberFormat="1" applyFont="1" applyFill="1" applyBorder="1" applyAlignment="1">
      <alignment horizontal="center"/>
    </xf>
    <xf numFmtId="172" fontId="22" fillId="0" borderId="0" xfId="312" applyNumberFormat="1" applyFont="1" applyFill="1" applyBorder="1" applyAlignment="1">
      <alignment horizontal="center"/>
    </xf>
    <xf numFmtId="49" fontId="19" fillId="0" borderId="0" xfId="312" applyNumberFormat="1" applyFill="1" applyBorder="1" applyAlignment="1">
      <alignment horizontal="center"/>
    </xf>
    <xf numFmtId="0" fontId="20" fillId="0" borderId="0" xfId="312" applyNumberFormat="1" applyFont="1" applyFill="1" applyBorder="1" applyAlignment="1">
      <alignment horizontal="center"/>
    </xf>
    <xf numFmtId="3" fontId="19" fillId="0" borderId="0" xfId="312" applyNumberFormat="1" applyFont="1" applyFill="1" applyBorder="1" applyAlignment="1">
      <alignment horizontal="center"/>
    </xf>
    <xf numFmtId="49" fontId="86" fillId="0" borderId="0" xfId="312" applyNumberFormat="1" applyFont="1" applyFill="1" applyBorder="1" applyAlignment="1">
      <alignment horizontal="center"/>
    </xf>
    <xf numFmtId="172" fontId="86" fillId="0" borderId="0" xfId="312" applyNumberFormat="1" applyFont="1" applyFill="1" applyBorder="1" applyAlignment="1"/>
    <xf numFmtId="3" fontId="20" fillId="0" borderId="0" xfId="312" applyNumberFormat="1" applyFont="1" applyFill="1" applyBorder="1" applyAlignment="1"/>
    <xf numFmtId="10" fontId="20" fillId="0" borderId="0" xfId="313" applyNumberFormat="1" applyFont="1" applyFill="1" applyBorder="1" applyAlignment="1"/>
    <xf numFmtId="0" fontId="19" fillId="0" borderId="0" xfId="312" applyNumberFormat="1" applyFont="1" applyFill="1" applyBorder="1" applyAlignment="1">
      <alignment horizontal="fill"/>
    </xf>
    <xf numFmtId="172" fontId="115" fillId="0" borderId="0" xfId="312" applyNumberFormat="1" applyFont="1" applyFill="1" applyBorder="1" applyAlignment="1"/>
    <xf numFmtId="3" fontId="116" fillId="0" borderId="0" xfId="312" applyNumberFormat="1" applyFont="1" applyFill="1" applyBorder="1" applyAlignment="1"/>
    <xf numFmtId="164" fontId="22" fillId="0" borderId="0" xfId="312" applyNumberFormat="1" applyFont="1" applyFill="1" applyBorder="1" applyAlignment="1">
      <alignment horizontal="center"/>
    </xf>
    <xf numFmtId="10" fontId="22" fillId="0" borderId="0" xfId="313" applyNumberFormat="1" applyFont="1" applyFill="1" applyBorder="1" applyAlignment="1"/>
    <xf numFmtId="170" fontId="19" fillId="0" borderId="0" xfId="312" applyNumberFormat="1" applyFill="1" applyBorder="1" applyAlignment="1"/>
    <xf numFmtId="0" fontId="116" fillId="0" borderId="0" xfId="312" applyNumberFormat="1" applyFont="1" applyFill="1" applyBorder="1"/>
    <xf numFmtId="172" fontId="22" fillId="0" borderId="0" xfId="312" applyNumberFormat="1" applyFont="1" applyFill="1" applyBorder="1" applyAlignment="1"/>
    <xf numFmtId="49" fontId="9" fillId="0" borderId="0" xfId="312" applyNumberFormat="1" applyFont="1" applyFill="1" applyBorder="1" applyAlignment="1">
      <alignment horizontal="left"/>
    </xf>
    <xf numFmtId="0" fontId="9" fillId="0" borderId="0" xfId="312" applyNumberFormat="1" applyFont="1" applyFill="1" applyBorder="1" applyAlignment="1">
      <alignment horizontal="right"/>
    </xf>
    <xf numFmtId="0" fontId="19" fillId="0" borderId="0" xfId="312" applyNumberFormat="1" applyFont="1" applyFill="1" applyBorder="1" applyAlignment="1">
      <alignment horizontal="right"/>
    </xf>
    <xf numFmtId="49" fontId="19" fillId="0" borderId="0" xfId="312" applyNumberFormat="1" applyFill="1" applyBorder="1" applyAlignment="1">
      <alignment horizontal="left"/>
    </xf>
    <xf numFmtId="172" fontId="22" fillId="0" borderId="0" xfId="312" applyNumberFormat="1" applyFont="1" applyFill="1" applyBorder="1" applyAlignment="1">
      <alignment horizontal="right"/>
    </xf>
    <xf numFmtId="179" fontId="20" fillId="0" borderId="0" xfId="312" applyNumberFormat="1" applyFont="1" applyFill="1" applyBorder="1" applyAlignment="1">
      <alignment horizontal="center"/>
    </xf>
    <xf numFmtId="172" fontId="86" fillId="0" borderId="18" xfId="312" applyNumberFormat="1" applyFont="1" applyFill="1" applyBorder="1" applyAlignment="1">
      <alignment horizontal="center" wrapText="1"/>
    </xf>
    <xf numFmtId="172" fontId="86" fillId="0" borderId="28" xfId="312" applyNumberFormat="1" applyFont="1" applyFill="1" applyBorder="1" applyAlignment="1"/>
    <xf numFmtId="172" fontId="86" fillId="0" borderId="28" xfId="312" applyNumberFormat="1" applyFont="1" applyFill="1" applyBorder="1" applyAlignment="1">
      <alignment horizontal="center" wrapText="1"/>
    </xf>
    <xf numFmtId="0" fontId="20" fillId="0" borderId="28" xfId="312" applyNumberFormat="1" applyFont="1" applyFill="1" applyBorder="1" applyAlignment="1">
      <alignment horizontal="center" wrapText="1"/>
    </xf>
    <xf numFmtId="172" fontId="86" fillId="0" borderId="14" xfId="312" applyNumberFormat="1" applyFont="1" applyFill="1" applyBorder="1" applyAlignment="1">
      <alignment horizontal="center" wrapText="1"/>
    </xf>
    <xf numFmtId="3" fontId="20" fillId="0" borderId="14" xfId="312" applyNumberFormat="1" applyFont="1" applyFill="1" applyBorder="1" applyAlignment="1">
      <alignment horizontal="center" wrapText="1"/>
    </xf>
    <xf numFmtId="3" fontId="20" fillId="0" borderId="28" xfId="312" applyNumberFormat="1" applyFont="1" applyFill="1" applyBorder="1" applyAlignment="1">
      <alignment horizontal="center" wrapText="1"/>
    </xf>
    <xf numFmtId="0" fontId="22" fillId="0" borderId="18" xfId="312" applyNumberFormat="1" applyFont="1" applyFill="1" applyBorder="1"/>
    <xf numFmtId="0" fontId="22" fillId="0" borderId="28" xfId="312" applyNumberFormat="1" applyFont="1" applyFill="1" applyBorder="1"/>
    <xf numFmtId="0" fontId="22" fillId="0" borderId="28" xfId="312" applyNumberFormat="1" applyFont="1" applyFill="1" applyBorder="1" applyAlignment="1">
      <alignment horizontal="center"/>
    </xf>
    <xf numFmtId="0" fontId="22" fillId="0" borderId="14" xfId="312" applyNumberFormat="1" applyFont="1" applyFill="1" applyBorder="1" applyAlignment="1">
      <alignment horizontal="center"/>
    </xf>
    <xf numFmtId="3" fontId="22" fillId="0" borderId="28" xfId="312" applyNumberFormat="1" applyFont="1" applyFill="1" applyBorder="1" applyAlignment="1">
      <alignment horizontal="center"/>
    </xf>
    <xf numFmtId="3" fontId="22" fillId="0" borderId="14" xfId="312" applyNumberFormat="1" applyFont="1" applyFill="1" applyBorder="1" applyAlignment="1">
      <alignment horizontal="center" wrapText="1"/>
    </xf>
    <xf numFmtId="0" fontId="19" fillId="0" borderId="0" xfId="312" applyNumberFormat="1" applyFont="1" applyFill="1" applyBorder="1" applyAlignment="1">
      <alignment wrapText="1"/>
    </xf>
    <xf numFmtId="0" fontId="22" fillId="0" borderId="6" xfId="312" applyNumberFormat="1" applyFont="1" applyFill="1" applyBorder="1"/>
    <xf numFmtId="0" fontId="22" fillId="0" borderId="13" xfId="312" applyNumberFormat="1" applyFont="1" applyFill="1" applyBorder="1"/>
    <xf numFmtId="3" fontId="22" fillId="0" borderId="13" xfId="312" applyNumberFormat="1" applyFont="1" applyFill="1" applyBorder="1" applyAlignment="1"/>
    <xf numFmtId="172" fontId="19" fillId="0" borderId="6" xfId="312" applyNumberFormat="1" applyFill="1" applyBorder="1" applyAlignment="1"/>
    <xf numFmtId="0" fontId="19" fillId="0" borderId="0" xfId="312" applyFill="1" applyBorder="1" applyAlignment="1">
      <alignment horizontal="center"/>
    </xf>
    <xf numFmtId="173" fontId="0" fillId="2" borderId="0" xfId="4" applyNumberFormat="1" applyFont="1" applyFill="1" applyBorder="1" applyAlignment="1"/>
    <xf numFmtId="172" fontId="19" fillId="0" borderId="13" xfId="312" applyNumberFormat="1" applyFill="1" applyBorder="1" applyAlignment="1"/>
    <xf numFmtId="170" fontId="19" fillId="2" borderId="0" xfId="312" applyNumberFormat="1" applyFill="1" applyBorder="1" applyAlignment="1"/>
    <xf numFmtId="173" fontId="22" fillId="2" borderId="0" xfId="4" applyNumberFormat="1" applyFont="1" applyFill="1" applyBorder="1" applyAlignment="1"/>
    <xf numFmtId="172" fontId="56" fillId="0" borderId="0" xfId="312" applyNumberFormat="1" applyFont="1" applyFill="1" applyBorder="1" applyAlignment="1"/>
    <xf numFmtId="173" fontId="56" fillId="0" borderId="0" xfId="312" applyNumberFormat="1" applyFont="1" applyFill="1" applyBorder="1" applyAlignment="1"/>
    <xf numFmtId="0" fontId="56" fillId="0" borderId="0" xfId="312" applyFont="1" applyFill="1" applyBorder="1" applyAlignment="1"/>
    <xf numFmtId="172" fontId="56" fillId="0" borderId="13" xfId="312" applyNumberFormat="1" applyFont="1" applyFill="1" applyBorder="1" applyAlignment="1"/>
    <xf numFmtId="172" fontId="19" fillId="0" borderId="7" xfId="312" applyNumberFormat="1" applyFill="1" applyBorder="1" applyAlignment="1"/>
    <xf numFmtId="172" fontId="19" fillId="0" borderId="4" xfId="312" applyNumberFormat="1" applyFill="1" applyBorder="1" applyAlignment="1"/>
    <xf numFmtId="172" fontId="56" fillId="0" borderId="4" xfId="312" applyNumberFormat="1" applyFont="1" applyFill="1" applyBorder="1" applyAlignment="1"/>
    <xf numFmtId="172" fontId="56" fillId="0" borderId="12" xfId="312" applyNumberFormat="1" applyFont="1" applyFill="1" applyBorder="1" applyAlignment="1"/>
    <xf numFmtId="0" fontId="19" fillId="0" borderId="0" xfId="312" applyFill="1" applyBorder="1" applyAlignment="1"/>
    <xf numFmtId="170" fontId="22" fillId="0" borderId="0" xfId="312" applyNumberFormat="1" applyFont="1" applyFill="1" applyBorder="1" applyAlignment="1"/>
    <xf numFmtId="173" fontId="22" fillId="0" borderId="0" xfId="4" applyNumberFormat="1" applyFont="1" applyFill="1" applyBorder="1" applyAlignment="1"/>
    <xf numFmtId="173" fontId="22" fillId="39" borderId="0" xfId="4" applyNumberFormat="1" applyFont="1" applyFill="1" applyBorder="1" applyAlignment="1"/>
    <xf numFmtId="1" fontId="22" fillId="0" borderId="0" xfId="3" applyNumberFormat="1" applyFont="1" applyFill="1" applyBorder="1" applyAlignment="1">
      <alignment horizontal="center"/>
    </xf>
    <xf numFmtId="172" fontId="22" fillId="0" borderId="1" xfId="312" applyNumberFormat="1" applyFont="1" applyFill="1" applyBorder="1" applyAlignment="1"/>
    <xf numFmtId="172" fontId="22" fillId="0" borderId="0" xfId="312" applyNumberFormat="1" applyFont="1" applyFill="1" applyBorder="1" applyAlignment="1">
      <alignment horizontal="center" vertical="top" wrapText="1"/>
    </xf>
    <xf numFmtId="172" fontId="18" fillId="0" borderId="0" xfId="312" applyNumberFormat="1" applyFont="1" applyFill="1" applyBorder="1" applyAlignment="1"/>
    <xf numFmtId="172" fontId="56" fillId="0" borderId="0" xfId="312" applyNumberFormat="1" applyFont="1" applyFill="1" applyBorder="1" applyAlignment="1">
      <alignment horizontal="center"/>
    </xf>
    <xf numFmtId="172" fontId="9" fillId="0" borderId="0" xfId="312" applyNumberFormat="1" applyFont="1" applyFill="1" applyBorder="1" applyAlignment="1"/>
    <xf numFmtId="49" fontId="9" fillId="0" borderId="0" xfId="312" applyNumberFormat="1" applyFont="1" applyFill="1" applyBorder="1" applyAlignment="1">
      <alignment horizontal="center"/>
    </xf>
    <xf numFmtId="0" fontId="5" fillId="0" borderId="40" xfId="294" applyFont="1" applyBorder="1" applyAlignment="1">
      <alignment vertical="center"/>
    </xf>
    <xf numFmtId="0" fontId="5" fillId="0" borderId="41" xfId="294" applyBorder="1" applyAlignment="1">
      <alignment vertical="center"/>
    </xf>
    <xf numFmtId="173" fontId="5" fillId="0" borderId="25" xfId="294" applyNumberFormat="1" applyBorder="1" applyAlignment="1">
      <alignment vertical="center"/>
    </xf>
    <xf numFmtId="174" fontId="9" fillId="2" borderId="0" xfId="0" applyNumberFormat="1" applyFont="1" applyFill="1" applyBorder="1" applyAlignment="1"/>
    <xf numFmtId="0" fontId="73" fillId="0" borderId="9" xfId="204" applyFont="1" applyBorder="1" applyAlignment="1">
      <alignment horizontal="center" vertical="center"/>
    </xf>
    <xf numFmtId="0" fontId="9" fillId="0" borderId="0" xfId="139" applyNumberFormat="1" applyFont="1" applyAlignment="1" applyProtection="1">
      <alignment horizontal="center"/>
      <protection locked="0"/>
    </xf>
    <xf numFmtId="0" fontId="9" fillId="0" borderId="0" xfId="139" applyNumberFormat="1" applyFont="1" applyAlignment="1"/>
    <xf numFmtId="0" fontId="9" fillId="0" borderId="0" xfId="139" applyNumberFormat="1" applyFont="1"/>
    <xf numFmtId="0" fontId="9" fillId="0" borderId="0" xfId="139" applyNumberFormat="1" applyFont="1" applyFill="1"/>
    <xf numFmtId="172" fontId="18" fillId="0" borderId="0" xfId="0" applyFont="1" applyAlignment="1"/>
    <xf numFmtId="173" fontId="118" fillId="0" borderId="14" xfId="0" applyNumberFormat="1" applyFont="1" applyFill="1" applyBorder="1"/>
    <xf numFmtId="43" fontId="17" fillId="0" borderId="0" xfId="1" applyFont="1" applyAlignment="1"/>
    <xf numFmtId="173" fontId="0" fillId="0" borderId="9" xfId="206" applyNumberFormat="1" applyFont="1" applyBorder="1" applyAlignment="1"/>
    <xf numFmtId="173" fontId="0" fillId="0" borderId="0" xfId="206" applyNumberFormat="1" applyFont="1" applyAlignment="1"/>
    <xf numFmtId="173" fontId="0" fillId="0" borderId="0" xfId="206" applyNumberFormat="1" applyFont="1" applyBorder="1" applyAlignment="1"/>
    <xf numFmtId="173" fontId="0" fillId="0" borderId="28" xfId="206" applyNumberFormat="1" applyFont="1" applyBorder="1" applyAlignment="1"/>
    <xf numFmtId="172" fontId="9" fillId="0" borderId="0" xfId="0" applyFont="1" applyAlignment="1"/>
    <xf numFmtId="0" fontId="18" fillId="0" borderId="0" xfId="0" applyNumberFormat="1" applyFont="1" applyBorder="1"/>
    <xf numFmtId="0" fontId="117" fillId="0" borderId="8" xfId="335" applyFont="1" applyBorder="1" applyAlignment="1">
      <alignment horizontal="center" wrapText="1"/>
    </xf>
    <xf numFmtId="170" fontId="117" fillId="0" borderId="10" xfId="335" applyNumberFormat="1" applyFont="1" applyBorder="1" applyAlignment="1">
      <alignment horizontal="center" wrapText="1"/>
    </xf>
    <xf numFmtId="0" fontId="117" fillId="0" borderId="14" xfId="335" applyFont="1" applyFill="1" applyBorder="1" applyAlignment="1">
      <alignment horizontal="center" wrapText="1"/>
    </xf>
    <xf numFmtId="172" fontId="54" fillId="0" borderId="14" xfId="0" applyFont="1" applyBorder="1" applyAlignment="1">
      <alignment horizontal="left"/>
    </xf>
    <xf numFmtId="174" fontId="118" fillId="0" borderId="14" xfId="3" applyNumberFormat="1" applyFont="1" applyFill="1" applyBorder="1"/>
    <xf numFmtId="173" fontId="18" fillId="0" borderId="14" xfId="4" applyNumberFormat="1" applyFont="1" applyBorder="1"/>
    <xf numFmtId="172" fontId="54" fillId="0" borderId="14" xfId="0" applyFont="1" applyFill="1" applyBorder="1" applyAlignment="1">
      <alignment horizontal="center"/>
    </xf>
    <xf numFmtId="174" fontId="18" fillId="0" borderId="14" xfId="3" applyNumberFormat="1" applyFont="1" applyBorder="1"/>
    <xf numFmtId="173" fontId="0" fillId="0" borderId="14" xfId="199" applyNumberFormat="1" applyFont="1" applyBorder="1"/>
    <xf numFmtId="172" fontId="0" fillId="0" borderId="0" xfId="0" applyAlignment="1"/>
    <xf numFmtId="174" fontId="25" fillId="0" borderId="17" xfId="3" applyNumberFormat="1" applyFont="1" applyFill="1" applyBorder="1"/>
    <xf numFmtId="172" fontId="54" fillId="0" borderId="14" xfId="0" applyFont="1" applyBorder="1" applyAlignment="1">
      <alignment horizontal="left"/>
    </xf>
    <xf numFmtId="173" fontId="18" fillId="0" borderId="14" xfId="4" applyNumberFormat="1" applyFont="1" applyBorder="1"/>
    <xf numFmtId="0" fontId="22" fillId="0" borderId="0" xfId="335" applyFont="1" applyBorder="1" applyAlignment="1">
      <alignment horizontal="center"/>
    </xf>
    <xf numFmtId="10" fontId="22" fillId="0" borderId="0" xfId="313" applyNumberFormat="1" applyFont="1" applyBorder="1" applyAlignment="1">
      <alignment horizontal="center"/>
    </xf>
    <xf numFmtId="172" fontId="0" fillId="0" borderId="0" xfId="0" applyBorder="1" applyAlignment="1">
      <alignment horizontal="center"/>
    </xf>
    <xf numFmtId="173" fontId="118" fillId="0" borderId="14" xfId="0" applyNumberFormat="1" applyFont="1" applyBorder="1"/>
    <xf numFmtId="10" fontId="0" fillId="0" borderId="14" xfId="0" applyNumberFormat="1" applyBorder="1"/>
    <xf numFmtId="10" fontId="0" fillId="0" borderId="14" xfId="0" applyNumberFormat="1" applyFont="1" applyBorder="1"/>
    <xf numFmtId="172" fontId="22" fillId="0" borderId="0" xfId="0" applyFont="1" applyAlignment="1">
      <alignment horizontal="center"/>
    </xf>
    <xf numFmtId="0" fontId="22" fillId="0" borderId="0" xfId="0" applyNumberFormat="1" applyFont="1" applyAlignment="1">
      <alignment horizontal="center"/>
    </xf>
    <xf numFmtId="43" fontId="119" fillId="0" borderId="0" xfId="1" applyFont="1"/>
    <xf numFmtId="37" fontId="0" fillId="0" borderId="0" xfId="205" applyNumberFormat="1" applyFont="1" applyFill="1"/>
    <xf numFmtId="37" fontId="0" fillId="0" borderId="1" xfId="205" applyNumberFormat="1" applyFont="1" applyFill="1" applyBorder="1"/>
    <xf numFmtId="37" fontId="5" fillId="0" borderId="0" xfId="205" applyNumberFormat="1" applyFont="1" applyFill="1"/>
    <xf numFmtId="173" fontId="0" fillId="0" borderId="0" xfId="212" applyNumberFormat="1" applyFont="1" applyFill="1" applyBorder="1"/>
    <xf numFmtId="174" fontId="0" fillId="0" borderId="4" xfId="213" applyNumberFormat="1" applyFont="1" applyFill="1" applyBorder="1"/>
    <xf numFmtId="173" fontId="18" fillId="0" borderId="0" xfId="206" applyNumberFormat="1" applyFont="1" applyFill="1"/>
    <xf numFmtId="174" fontId="0" fillId="0" borderId="0" xfId="205" applyNumberFormat="1" applyFont="1" applyFill="1"/>
    <xf numFmtId="174" fontId="0" fillId="0" borderId="0" xfId="205" applyNumberFormat="1" applyFont="1" applyFill="1" applyBorder="1"/>
    <xf numFmtId="173" fontId="0" fillId="0" borderId="0" xfId="206" applyNumberFormat="1" applyFont="1" applyFill="1" applyAlignment="1"/>
    <xf numFmtId="0" fontId="9" fillId="0" borderId="0" xfId="0" applyNumberFormat="1" applyFont="1" applyAlignment="1" applyProtection="1">
      <alignment vertical="top" wrapText="1"/>
      <protection locked="0"/>
    </xf>
    <xf numFmtId="173" fontId="19" fillId="0" borderId="0" xfId="2" applyNumberFormat="1"/>
    <xf numFmtId="0" fontId="18" fillId="0" borderId="0" xfId="0" applyNumberFormat="1" applyFont="1" applyAlignment="1">
      <alignment horizontal="center"/>
    </xf>
    <xf numFmtId="0" fontId="9" fillId="0" borderId="8" xfId="0" applyNumberFormat="1" applyFont="1" applyBorder="1" applyAlignment="1">
      <alignment horizontal="center"/>
    </xf>
    <xf numFmtId="0" fontId="9" fillId="0" borderId="9" xfId="0" applyNumberFormat="1" applyFont="1" applyBorder="1" applyAlignment="1">
      <alignment horizontal="center"/>
    </xf>
    <xf numFmtId="0" fontId="9" fillId="0" borderId="10" xfId="0" applyNumberFormat="1" applyFont="1" applyBorder="1" applyAlignment="1">
      <alignment horizontal="center"/>
    </xf>
    <xf numFmtId="0" fontId="9" fillId="0" borderId="0" xfId="0" applyNumberFormat="1" applyFont="1" applyAlignment="1" applyProtection="1">
      <alignment vertical="top" wrapText="1"/>
      <protection locked="0"/>
    </xf>
    <xf numFmtId="3" fontId="9" fillId="0" borderId="0" xfId="0" applyNumberFormat="1" applyFont="1" applyAlignment="1">
      <alignment horizontal="right"/>
    </xf>
    <xf numFmtId="0" fontId="9" fillId="0" borderId="0" xfId="0" applyNumberFormat="1" applyFont="1" applyFill="1" applyAlignment="1" applyProtection="1">
      <alignment vertical="top" wrapText="1"/>
      <protection locked="0"/>
    </xf>
    <xf numFmtId="0" fontId="9" fillId="0" borderId="0" xfId="0" applyNumberFormat="1" applyFont="1" applyFill="1" applyAlignment="1">
      <alignment vertical="top" wrapText="1"/>
    </xf>
    <xf numFmtId="172" fontId="22" fillId="0" borderId="0" xfId="312" applyNumberFormat="1" applyFont="1" applyFill="1" applyBorder="1" applyAlignment="1">
      <alignment horizontal="left" vertical="center"/>
    </xf>
    <xf numFmtId="172" fontId="22" fillId="0" borderId="0" xfId="312" applyNumberFormat="1" applyFont="1" applyFill="1" applyBorder="1" applyAlignment="1">
      <alignment horizontal="left" vertical="top" wrapText="1"/>
    </xf>
    <xf numFmtId="0" fontId="20" fillId="0" borderId="0" xfId="2" applyFont="1" applyAlignment="1">
      <alignment horizontal="center"/>
    </xf>
    <xf numFmtId="0" fontId="22" fillId="0" borderId="0" xfId="2" applyFont="1" applyAlignment="1">
      <alignment horizontal="center"/>
    </xf>
    <xf numFmtId="14" fontId="20" fillId="0" borderId="0" xfId="2" applyNumberFormat="1" applyFont="1" applyAlignment="1">
      <alignment horizontal="center"/>
    </xf>
    <xf numFmtId="0" fontId="23" fillId="0" borderId="4" xfId="2" applyFont="1" applyBorder="1" applyAlignment="1">
      <alignment horizontal="center"/>
    </xf>
    <xf numFmtId="0" fontId="23" fillId="0" borderId="4" xfId="2" applyFont="1" applyFill="1" applyBorder="1" applyAlignment="1">
      <alignment horizontal="center"/>
    </xf>
    <xf numFmtId="0" fontId="60" fillId="0" borderId="0" xfId="2" applyFont="1" applyAlignment="1">
      <alignment horizontal="center"/>
    </xf>
    <xf numFmtId="0" fontId="58" fillId="0" borderId="0" xfId="2" applyFont="1" applyAlignment="1">
      <alignment horizontal="center"/>
    </xf>
    <xf numFmtId="14" fontId="60" fillId="0" borderId="0" xfId="2" applyNumberFormat="1" applyFont="1" applyAlignment="1">
      <alignment horizontal="center"/>
    </xf>
    <xf numFmtId="0" fontId="61" fillId="0" borderId="4" xfId="2" applyFont="1" applyBorder="1" applyAlignment="1">
      <alignment horizontal="center"/>
    </xf>
    <xf numFmtId="0" fontId="91" fillId="0" borderId="0" xfId="2" applyFont="1" applyAlignment="1">
      <alignment horizontal="center"/>
    </xf>
    <xf numFmtId="14" fontId="91" fillId="0" borderId="0" xfId="2" applyNumberFormat="1" applyFont="1" applyAlignment="1">
      <alignment horizontal="center"/>
    </xf>
    <xf numFmtId="0" fontId="19" fillId="0" borderId="8" xfId="2" applyFill="1" applyBorder="1" applyAlignment="1">
      <alignment horizontal="left"/>
    </xf>
    <xf numFmtId="0" fontId="19" fillId="0" borderId="9" xfId="2" applyFill="1" applyBorder="1" applyAlignment="1">
      <alignment horizontal="left"/>
    </xf>
    <xf numFmtId="0" fontId="24" fillId="0" borderId="4" xfId="2" applyFont="1" applyBorder="1" applyAlignment="1">
      <alignment horizontal="center"/>
    </xf>
    <xf numFmtId="0" fontId="5" fillId="0" borderId="0" xfId="211" applyAlignment="1">
      <alignment horizontal="center"/>
    </xf>
    <xf numFmtId="14" fontId="5" fillId="0" borderId="0" xfId="211" applyNumberFormat="1" applyAlignment="1">
      <alignment horizontal="center"/>
    </xf>
  </cellXfs>
  <cellStyles count="339">
    <cellStyle name="20% - Accent1" xfId="232" builtinId="30" customBuiltin="1"/>
    <cellStyle name="20% - Accent1 2" xfId="299"/>
    <cellStyle name="20% - Accent1 3" xfId="319"/>
    <cellStyle name="20% - Accent2" xfId="236" builtinId="34" customBuiltin="1"/>
    <cellStyle name="20% - Accent2 2" xfId="301"/>
    <cellStyle name="20% - Accent2 3" xfId="322"/>
    <cellStyle name="20% - Accent3" xfId="240" builtinId="38" customBuiltin="1"/>
    <cellStyle name="20% - Accent3 2" xfId="303"/>
    <cellStyle name="20% - Accent3 3" xfId="325"/>
    <cellStyle name="20% - Accent4" xfId="244" builtinId="42" customBuiltin="1"/>
    <cellStyle name="20% - Accent4 2" xfId="305"/>
    <cellStyle name="20% - Accent4 3" xfId="327"/>
    <cellStyle name="20% - Accent5" xfId="248" builtinId="46" customBuiltin="1"/>
    <cellStyle name="20% - Accent5 2" xfId="307"/>
    <cellStyle name="20% - Accent5 3" xfId="329"/>
    <cellStyle name="20% - Accent6" xfId="252" builtinId="50" customBuiltin="1"/>
    <cellStyle name="20% - Accent6 2" xfId="309"/>
    <cellStyle name="20% - Accent6 3" xfId="332"/>
    <cellStyle name="40% - Accent1" xfId="233" builtinId="31" customBuiltin="1"/>
    <cellStyle name="40% - Accent1 2" xfId="300"/>
    <cellStyle name="40% - Accent1 3" xfId="320"/>
    <cellStyle name="40% - Accent2" xfId="237" builtinId="35" customBuiltin="1"/>
    <cellStyle name="40% - Accent2 2" xfId="302"/>
    <cellStyle name="40% - Accent2 3" xfId="323"/>
    <cellStyle name="40% - Accent3" xfId="241" builtinId="39" customBuiltin="1"/>
    <cellStyle name="40% - Accent3 2" xfId="304"/>
    <cellStyle name="40% - Accent3 3" xfId="326"/>
    <cellStyle name="40% - Accent4" xfId="245" builtinId="43" customBuiltin="1"/>
    <cellStyle name="40% - Accent4 2" xfId="306"/>
    <cellStyle name="40% - Accent4 3" xfId="328"/>
    <cellStyle name="40% - Accent5" xfId="249" builtinId="47" customBuiltin="1"/>
    <cellStyle name="40% - Accent5 2" xfId="308"/>
    <cellStyle name="40% - Accent5 3" xfId="330"/>
    <cellStyle name="40% - Accent6" xfId="253" builtinId="51" customBuiltin="1"/>
    <cellStyle name="40% - Accent6 2" xfId="310"/>
    <cellStyle name="40% - Accent6 3" xfId="333"/>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B 2" xfId="261"/>
    <cellStyle name="C01H" xfId="12"/>
    <cellStyle name="C01L" xfId="13"/>
    <cellStyle name="C02A" xfId="14"/>
    <cellStyle name="C02B" xfId="15"/>
    <cellStyle name="C02B 2" xfId="262"/>
    <cellStyle name="C02H" xfId="16"/>
    <cellStyle name="C02L" xfId="17"/>
    <cellStyle name="C03A" xfId="18"/>
    <cellStyle name="C03B" xfId="19"/>
    <cellStyle name="C03H" xfId="20"/>
    <cellStyle name="C03L" xfId="21"/>
    <cellStyle name="C04A" xfId="22"/>
    <cellStyle name="C04A 2" xfId="263"/>
    <cellStyle name="C04B" xfId="23"/>
    <cellStyle name="C04H" xfId="24"/>
    <cellStyle name="C04L" xfId="25"/>
    <cellStyle name="C05A" xfId="26"/>
    <cellStyle name="C05B" xfId="27"/>
    <cellStyle name="C05H" xfId="28"/>
    <cellStyle name="C05L" xfId="29"/>
    <cellStyle name="C05L 2" xfId="264"/>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2] 2" xfId="265"/>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266"/>
    <cellStyle name="Comma 2 3" xfId="213"/>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267"/>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269"/>
    <cellStyle name="Comma 6 3" xfId="268"/>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7 2" xfId="295"/>
    <cellStyle name="Comma 88" xfId="259"/>
    <cellStyle name="Comma 89" xfId="317"/>
    <cellStyle name="Comma 9" xfId="123"/>
    <cellStyle name="Comma 90" xfId="331"/>
    <cellStyle name="Comma 91" xfId="315"/>
    <cellStyle name="Comma0" xfId="124"/>
    <cellStyle name="Comma0 2" xfId="270"/>
    <cellStyle name="Currency" xfId="199" builtinId="4"/>
    <cellStyle name="Currency [2]" xfId="125"/>
    <cellStyle name="Currency [2] 2" xfId="271"/>
    <cellStyle name="Currency 2" xfId="4"/>
    <cellStyle name="Currency 3" xfId="126"/>
    <cellStyle name="Currency 3 2" xfId="127"/>
    <cellStyle name="Currency 3 2 2" xfId="272"/>
    <cellStyle name="Currency 3 3" xfId="209"/>
    <cellStyle name="Currency 3 4" xfId="212"/>
    <cellStyle name="Currency 4" xfId="128"/>
    <cellStyle name="Currency 5" xfId="129"/>
    <cellStyle name="Currency 6" xfId="202"/>
    <cellStyle name="Currency 7" xfId="206"/>
    <cellStyle name="Currency 7 2" xfId="296"/>
    <cellStyle name="Currency 8" xfId="324"/>
    <cellStyle name="Currency 9" xfId="338"/>
    <cellStyle name="Currency0" xfId="130"/>
    <cellStyle name="Currency0 2" xfId="273"/>
    <cellStyle name="Date" xfId="131"/>
    <cellStyle name="Date 2" xfId="274"/>
    <cellStyle name="Explanatory Text" xfId="229" builtinId="53" customBuiltin="1"/>
    <cellStyle name="Fixed" xfId="132"/>
    <cellStyle name="Fixed 2" xfId="275"/>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94"/>
    <cellStyle name="Normal 11" xfId="138"/>
    <cellStyle name="Normal 12" xfId="214"/>
    <cellStyle name="Normal 12 2" xfId="298"/>
    <cellStyle name="Normal 12 3" xfId="318"/>
    <cellStyle name="Normal 13" xfId="255"/>
    <cellStyle name="Normal 14" xfId="256"/>
    <cellStyle name="Normal 15" xfId="258"/>
    <cellStyle name="Normal 16" xfId="312"/>
    <cellStyle name="Normal 17" xfId="316"/>
    <cellStyle name="Normal 18" xfId="321"/>
    <cellStyle name="Normal 19" xfId="314"/>
    <cellStyle name="Normal 2" xfId="2"/>
    <cellStyle name="Normal 2 2" xfId="6"/>
    <cellStyle name="Normal 3" xfId="139"/>
    <cellStyle name="Normal 3 2" xfId="210"/>
    <cellStyle name="Normal 3 3" xfId="211"/>
    <cellStyle name="Normal 33" xfId="140"/>
    <cellStyle name="Normal 34" xfId="141"/>
    <cellStyle name="Normal 4" xfId="142"/>
    <cellStyle name="Normal 4 2" xfId="143"/>
    <cellStyle name="Normal 4 2 2" xfId="277"/>
    <cellStyle name="Normal 4 3" xfId="276"/>
    <cellStyle name="Normal 5" xfId="144"/>
    <cellStyle name="Normal 6" xfId="5"/>
    <cellStyle name="Normal 6 2" xfId="145"/>
    <cellStyle name="Normal 6 2 2" xfId="278"/>
    <cellStyle name="Normal 6 3" xfId="200"/>
    <cellStyle name="Normal 6 3 2" xfId="293"/>
    <cellStyle name="Normal 6 4" xfId="260"/>
    <cellStyle name="Normal 7" xfId="146"/>
    <cellStyle name="Normal 7 2" xfId="279"/>
    <cellStyle name="Normal 8" xfId="147"/>
    <cellStyle name="Normal 9" xfId="203"/>
    <cellStyle name="Normal_Debt Service" xfId="208"/>
    <cellStyle name="Normal_GRE_Rate_Zones_Allocation_11042004" xfId="335"/>
    <cellStyle name="Note 2" xfId="257"/>
    <cellStyle name="Note 2 2" xfId="311"/>
    <cellStyle name="Note 2 3" xfId="334"/>
    <cellStyle name="Output" xfId="224" builtinId="21" customBuiltin="1"/>
    <cellStyle name="Percent" xfId="198" builtinId="5"/>
    <cellStyle name="Percent [2]" xfId="148"/>
    <cellStyle name="Percent [2] 2" xfId="280"/>
    <cellStyle name="Percent 10" xfId="337"/>
    <cellStyle name="Percent 2" xfId="149"/>
    <cellStyle name="Percent 2 2" xfId="281"/>
    <cellStyle name="Percent 3" xfId="150"/>
    <cellStyle name="Percent 3 2" xfId="151"/>
    <cellStyle name="Percent 3 2 2" xfId="283"/>
    <cellStyle name="Percent 3 3" xfId="282"/>
    <cellStyle name="Percent 4" xfId="152"/>
    <cellStyle name="Percent 5" xfId="153"/>
    <cellStyle name="Percent 6" xfId="154"/>
    <cellStyle name="Percent 7" xfId="207"/>
    <cellStyle name="Percent 7 2" xfId="297"/>
    <cellStyle name="Percent 8" xfId="313"/>
    <cellStyle name="Percent 9" xfId="336"/>
    <cellStyle name="PSChar" xfId="155"/>
    <cellStyle name="PSDate" xfId="156"/>
    <cellStyle name="PSDec" xfId="157"/>
    <cellStyle name="PSdesc" xfId="158"/>
    <cellStyle name="PSdesc 2" xfId="284"/>
    <cellStyle name="PSHeading" xfId="159"/>
    <cellStyle name="PSInt" xfId="160"/>
    <cellStyle name="PSSpacer" xfId="161"/>
    <cellStyle name="PStest" xfId="162"/>
    <cellStyle name="PStest 2" xfId="285"/>
    <cellStyle name="R00A" xfId="163"/>
    <cellStyle name="R00B" xfId="164"/>
    <cellStyle name="R00L" xfId="165"/>
    <cellStyle name="R01A" xfId="166"/>
    <cellStyle name="R01B" xfId="167"/>
    <cellStyle name="R01H" xfId="168"/>
    <cellStyle name="R01L" xfId="169"/>
    <cellStyle name="R02A" xfId="170"/>
    <cellStyle name="R02B" xfId="171"/>
    <cellStyle name="R02B 2" xfId="286"/>
    <cellStyle name="R02H" xfId="172"/>
    <cellStyle name="R02L" xfId="173"/>
    <cellStyle name="R03A" xfId="174"/>
    <cellStyle name="R03B" xfId="175"/>
    <cellStyle name="R03B 2" xfId="287"/>
    <cellStyle name="R03H" xfId="176"/>
    <cellStyle name="R03L" xfId="177"/>
    <cellStyle name="R04A" xfId="178"/>
    <cellStyle name="R04B" xfId="179"/>
    <cellStyle name="R04B 2" xfId="288"/>
    <cellStyle name="R04H" xfId="180"/>
    <cellStyle name="R04L" xfId="181"/>
    <cellStyle name="R05A" xfId="182"/>
    <cellStyle name="R05B" xfId="183"/>
    <cellStyle name="R05B 2" xfId="289"/>
    <cellStyle name="R05H" xfId="184"/>
    <cellStyle name="R05L" xfId="185"/>
    <cellStyle name="R05L 2" xfId="290"/>
    <cellStyle name="R06A" xfId="186"/>
    <cellStyle name="R06B" xfId="187"/>
    <cellStyle name="R06B 2" xfId="291"/>
    <cellStyle name="R06H" xfId="188"/>
    <cellStyle name="R06L" xfId="189"/>
    <cellStyle name="R07A" xfId="190"/>
    <cellStyle name="R07B" xfId="191"/>
    <cellStyle name="R07B 2" xfId="292"/>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showGridLines="0" tabSelected="1" workbookViewId="0"/>
  </sheetViews>
  <sheetFormatPr defaultRowHeight="15"/>
  <cols>
    <col min="1" max="1" width="8.88671875" style="352"/>
    <col min="2" max="2" width="40.77734375" style="352" customWidth="1"/>
    <col min="3" max="16384" width="8.88671875" style="352"/>
  </cols>
  <sheetData>
    <row r="3" spans="2:3" ht="18.75">
      <c r="B3" s="350" t="s">
        <v>718</v>
      </c>
      <c r="C3" s="351"/>
    </row>
    <row r="4" spans="2:3" ht="18.75">
      <c r="B4" s="350" t="s">
        <v>498</v>
      </c>
      <c r="C4" s="351"/>
    </row>
    <row r="5" spans="2:3" ht="18.75">
      <c r="B5" s="350" t="s">
        <v>499</v>
      </c>
      <c r="C5" s="353">
        <v>2015</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D3:O63"/>
  <sheetViews>
    <sheetView showGridLines="0" zoomScale="80" zoomScaleNormal="80" workbookViewId="0"/>
  </sheetViews>
  <sheetFormatPr defaultRowHeight="15"/>
  <cols>
    <col min="1" max="1" width="8.88671875" style="354"/>
    <col min="2" max="3" width="1.109375" style="354" customWidth="1"/>
    <col min="4" max="4" width="8.88671875" style="354"/>
    <col min="5" max="5" width="21.6640625" style="354" customWidth="1"/>
    <col min="6" max="6" width="6.21875" style="354" customWidth="1"/>
    <col min="7" max="7" width="13.109375" style="354" bestFit="1" customWidth="1"/>
    <col min="8" max="8" width="12.44140625" style="354" customWidth="1"/>
    <col min="9" max="9" width="12" style="354" bestFit="1" customWidth="1"/>
    <col min="10" max="10" width="12.44140625" style="354" customWidth="1"/>
    <col min="11" max="11" width="13.109375" style="354" bestFit="1" customWidth="1"/>
    <col min="12" max="14" width="12.44140625" style="354" customWidth="1"/>
    <col min="15" max="15" width="14.5546875" style="354" customWidth="1"/>
    <col min="16" max="16384" width="8.88671875" style="354"/>
  </cols>
  <sheetData>
    <row r="3" spans="4:15" ht="6.75" customHeight="1"/>
    <row r="4" spans="4:15" ht="6.75" customHeight="1"/>
    <row r="5" spans="4:15" ht="15.75">
      <c r="D5" s="355" t="str">
        <f>Coversheet!B3</f>
        <v>Rochester Public Utilities</v>
      </c>
      <c r="E5" s="355"/>
      <c r="F5" s="355"/>
      <c r="G5" s="355"/>
      <c r="H5" s="355"/>
      <c r="I5" s="355"/>
      <c r="J5" s="355"/>
      <c r="K5" s="355"/>
      <c r="L5" s="355"/>
      <c r="M5" s="355"/>
      <c r="N5" s="355"/>
      <c r="O5" s="355"/>
    </row>
    <row r="6" spans="4:15" ht="15.75">
      <c r="D6" s="356">
        <f>Coversheet!C5</f>
        <v>2015</v>
      </c>
      <c r="E6" s="355" t="s">
        <v>506</v>
      </c>
      <c r="F6" s="355"/>
      <c r="G6" s="355"/>
      <c r="H6" s="355"/>
      <c r="I6" s="355"/>
      <c r="J6" s="355"/>
      <c r="K6" s="355"/>
      <c r="L6" s="355"/>
      <c r="M6" s="355"/>
      <c r="N6" s="355"/>
      <c r="O6" s="355"/>
    </row>
    <row r="7" spans="4:15" ht="15.75">
      <c r="D7" s="355" t="s">
        <v>499</v>
      </c>
      <c r="E7" s="355"/>
      <c r="F7" s="355"/>
      <c r="G7" s="357">
        <f>Coversheet!C5</f>
        <v>2015</v>
      </c>
      <c r="O7" s="355"/>
    </row>
    <row r="8" spans="4:15" ht="17.25" customHeight="1">
      <c r="D8" s="355"/>
      <c r="E8" s="355"/>
      <c r="F8" s="355"/>
      <c r="G8" s="357"/>
      <c r="O8" s="472"/>
    </row>
    <row r="9" spans="4:15" s="359" customFormat="1" ht="30" customHeight="1">
      <c r="D9" s="358" t="s">
        <v>501</v>
      </c>
      <c r="E9" s="358" t="s">
        <v>507</v>
      </c>
      <c r="F9" s="358" t="s">
        <v>503</v>
      </c>
      <c r="G9" s="358" t="s">
        <v>508</v>
      </c>
      <c r="H9" s="358" t="s">
        <v>756</v>
      </c>
      <c r="I9" s="358" t="s">
        <v>757</v>
      </c>
      <c r="J9" s="358" t="s">
        <v>45</v>
      </c>
      <c r="K9" s="358" t="s">
        <v>484</v>
      </c>
      <c r="L9" s="358" t="s">
        <v>509</v>
      </c>
      <c r="M9" s="358" t="s">
        <v>510</v>
      </c>
      <c r="N9" s="358" t="s">
        <v>511</v>
      </c>
      <c r="O9" s="358" t="s">
        <v>512</v>
      </c>
    </row>
    <row r="10" spans="4:15" s="359" customFormat="1">
      <c r="D10" s="360">
        <v>1</v>
      </c>
      <c r="E10" s="368" t="s">
        <v>497</v>
      </c>
      <c r="F10" s="368">
        <f>$G$7-1</f>
        <v>2014</v>
      </c>
      <c r="G10" s="369">
        <f>'Plant Sched 4'!C15</f>
        <v>111364764</v>
      </c>
      <c r="H10" s="369">
        <f>J10-I10</f>
        <v>26579864</v>
      </c>
      <c r="I10" s="369">
        <v>2393899</v>
      </c>
      <c r="J10" s="369">
        <f>'Plant Sched 4'!C17</f>
        <v>28973763</v>
      </c>
      <c r="K10" s="369">
        <f>'Plant Sched 4'!C18</f>
        <v>135702558</v>
      </c>
      <c r="L10" s="369">
        <f>'Plant Sched 4'!C19</f>
        <v>46181702</v>
      </c>
      <c r="M10" s="369">
        <f>'Plant Sched 4'!C9</f>
        <v>367762</v>
      </c>
      <c r="N10" s="369">
        <v>0</v>
      </c>
      <c r="O10" s="370">
        <f>G10+J10+K10+L10+M10+N10</f>
        <v>322590549</v>
      </c>
    </row>
    <row r="11" spans="4:15">
      <c r="D11" s="360">
        <v>2</v>
      </c>
      <c r="E11" s="361" t="s">
        <v>486</v>
      </c>
      <c r="F11" s="360">
        <f>$G$7</f>
        <v>2015</v>
      </c>
      <c r="G11" s="369">
        <f t="shared" ref="G11:G22" si="0">G10</f>
        <v>111364764</v>
      </c>
      <c r="H11" s="369">
        <f>H10</f>
        <v>26579864</v>
      </c>
      <c r="I11" s="369">
        <f t="shared" ref="I11:I22" si="1">I10</f>
        <v>2393899</v>
      </c>
      <c r="J11" s="369">
        <f t="shared" ref="J11:J22" si="2">H11+I11</f>
        <v>28973763</v>
      </c>
      <c r="K11" s="369">
        <f t="shared" ref="K11:K21" si="3">K10</f>
        <v>135702558</v>
      </c>
      <c r="L11" s="369">
        <f t="shared" ref="L11:L22" si="4">L10</f>
        <v>46181702</v>
      </c>
      <c r="M11" s="369">
        <f t="shared" ref="M11:M22" si="5">M10</f>
        <v>367762</v>
      </c>
      <c r="N11" s="369">
        <f t="shared" ref="N11:N22" si="6">N10</f>
        <v>0</v>
      </c>
      <c r="O11" s="370">
        <f t="shared" ref="O11:O22" si="7">G11+J11+K11+L11+M11+N11</f>
        <v>322590549</v>
      </c>
    </row>
    <row r="12" spans="4:15" ht="15.75">
      <c r="D12" s="360">
        <v>3</v>
      </c>
      <c r="E12" s="364" t="s">
        <v>487</v>
      </c>
      <c r="F12" s="360">
        <f t="shared" ref="F12:F22" si="8">$G$7</f>
        <v>2015</v>
      </c>
      <c r="G12" s="369">
        <f t="shared" si="0"/>
        <v>111364764</v>
      </c>
      <c r="H12" s="369">
        <f t="shared" ref="H12:H21" si="9">H11</f>
        <v>26579864</v>
      </c>
      <c r="I12" s="369">
        <f t="shared" si="1"/>
        <v>2393899</v>
      </c>
      <c r="J12" s="369">
        <f t="shared" si="2"/>
        <v>28973763</v>
      </c>
      <c r="K12" s="369">
        <f t="shared" si="3"/>
        <v>135702558</v>
      </c>
      <c r="L12" s="494">
        <v>46325503</v>
      </c>
      <c r="M12" s="369">
        <f t="shared" si="5"/>
        <v>367762</v>
      </c>
      <c r="N12" s="369">
        <f t="shared" si="6"/>
        <v>0</v>
      </c>
      <c r="O12" s="370">
        <f t="shared" si="7"/>
        <v>322734350</v>
      </c>
    </row>
    <row r="13" spans="4:15" ht="15.75">
      <c r="D13" s="360">
        <v>4</v>
      </c>
      <c r="E13" s="364" t="s">
        <v>488</v>
      </c>
      <c r="F13" s="360">
        <f t="shared" si="8"/>
        <v>2015</v>
      </c>
      <c r="G13" s="369">
        <f t="shared" si="0"/>
        <v>111364764</v>
      </c>
      <c r="H13" s="369">
        <f t="shared" si="9"/>
        <v>26579864</v>
      </c>
      <c r="I13" s="369">
        <f t="shared" si="1"/>
        <v>2393899</v>
      </c>
      <c r="J13" s="369">
        <f t="shared" si="2"/>
        <v>28973763</v>
      </c>
      <c r="K13" s="369">
        <f t="shared" si="3"/>
        <v>135702558</v>
      </c>
      <c r="L13" s="494">
        <f t="shared" si="4"/>
        <v>46325503</v>
      </c>
      <c r="M13" s="369">
        <f t="shared" si="5"/>
        <v>367762</v>
      </c>
      <c r="N13" s="369">
        <f t="shared" si="6"/>
        <v>0</v>
      </c>
      <c r="O13" s="370">
        <f t="shared" si="7"/>
        <v>322734350</v>
      </c>
    </row>
    <row r="14" spans="4:15" ht="15.75">
      <c r="D14" s="360">
        <v>5</v>
      </c>
      <c r="E14" s="364" t="s">
        <v>489</v>
      </c>
      <c r="F14" s="360">
        <f t="shared" si="8"/>
        <v>2015</v>
      </c>
      <c r="G14" s="369">
        <f t="shared" si="0"/>
        <v>111364764</v>
      </c>
      <c r="H14" s="369">
        <f t="shared" si="9"/>
        <v>26579864</v>
      </c>
      <c r="I14" s="369">
        <f t="shared" si="1"/>
        <v>2393899</v>
      </c>
      <c r="J14" s="369">
        <f t="shared" si="2"/>
        <v>28973763</v>
      </c>
      <c r="K14" s="369">
        <f t="shared" si="3"/>
        <v>135702558</v>
      </c>
      <c r="L14" s="494">
        <f t="shared" si="4"/>
        <v>46325503</v>
      </c>
      <c r="M14" s="369">
        <f t="shared" si="5"/>
        <v>367762</v>
      </c>
      <c r="N14" s="369">
        <f t="shared" si="6"/>
        <v>0</v>
      </c>
      <c r="O14" s="370">
        <f t="shared" si="7"/>
        <v>322734350</v>
      </c>
    </row>
    <row r="15" spans="4:15" ht="15.75">
      <c r="D15" s="360">
        <v>6</v>
      </c>
      <c r="E15" s="364" t="s">
        <v>490</v>
      </c>
      <c r="F15" s="360">
        <f t="shared" si="8"/>
        <v>2015</v>
      </c>
      <c r="G15" s="369">
        <f t="shared" si="0"/>
        <v>111364764</v>
      </c>
      <c r="H15" s="369">
        <f>H14</f>
        <v>26579864</v>
      </c>
      <c r="I15" s="369">
        <f t="shared" si="1"/>
        <v>2393899</v>
      </c>
      <c r="J15" s="369">
        <f t="shared" si="2"/>
        <v>28973763</v>
      </c>
      <c r="K15" s="369">
        <f t="shared" si="3"/>
        <v>135702558</v>
      </c>
      <c r="L15" s="494">
        <v>46469304</v>
      </c>
      <c r="M15" s="369">
        <f t="shared" si="5"/>
        <v>367762</v>
      </c>
      <c r="N15" s="369">
        <f t="shared" si="6"/>
        <v>0</v>
      </c>
      <c r="O15" s="370">
        <f t="shared" si="7"/>
        <v>322878151</v>
      </c>
    </row>
    <row r="16" spans="4:15" ht="15.75">
      <c r="D16" s="360">
        <v>7</v>
      </c>
      <c r="E16" s="364" t="s">
        <v>491</v>
      </c>
      <c r="F16" s="360">
        <f t="shared" si="8"/>
        <v>2015</v>
      </c>
      <c r="G16" s="369">
        <f t="shared" si="0"/>
        <v>111364764</v>
      </c>
      <c r="H16" s="369">
        <f t="shared" si="9"/>
        <v>26579864</v>
      </c>
      <c r="I16" s="369">
        <f>I15</f>
        <v>2393899</v>
      </c>
      <c r="J16" s="369">
        <f t="shared" si="2"/>
        <v>28973763</v>
      </c>
      <c r="K16" s="369">
        <v>136323160</v>
      </c>
      <c r="L16" s="494">
        <f t="shared" si="4"/>
        <v>46469304</v>
      </c>
      <c r="M16" s="369">
        <f t="shared" si="5"/>
        <v>367762</v>
      </c>
      <c r="N16" s="369">
        <f t="shared" si="6"/>
        <v>0</v>
      </c>
      <c r="O16" s="370">
        <f t="shared" si="7"/>
        <v>323498753</v>
      </c>
    </row>
    <row r="17" spans="4:15" ht="15.75">
      <c r="D17" s="360">
        <v>8</v>
      </c>
      <c r="E17" s="364" t="s">
        <v>492</v>
      </c>
      <c r="F17" s="360">
        <f t="shared" si="8"/>
        <v>2015</v>
      </c>
      <c r="G17" s="369">
        <f t="shared" si="0"/>
        <v>111364764</v>
      </c>
      <c r="H17" s="369">
        <f t="shared" si="9"/>
        <v>26579864</v>
      </c>
      <c r="I17" s="369">
        <f t="shared" si="1"/>
        <v>2393899</v>
      </c>
      <c r="J17" s="369">
        <f t="shared" si="2"/>
        <v>28973763</v>
      </c>
      <c r="K17" s="369">
        <f t="shared" si="3"/>
        <v>136323160</v>
      </c>
      <c r="L17" s="494">
        <f t="shared" si="4"/>
        <v>46469304</v>
      </c>
      <c r="M17" s="369">
        <f t="shared" si="5"/>
        <v>367762</v>
      </c>
      <c r="N17" s="369">
        <f t="shared" si="6"/>
        <v>0</v>
      </c>
      <c r="O17" s="370">
        <f t="shared" si="7"/>
        <v>323498753</v>
      </c>
    </row>
    <row r="18" spans="4:15" ht="15.75">
      <c r="D18" s="360">
        <v>9</v>
      </c>
      <c r="E18" s="364" t="s">
        <v>493</v>
      </c>
      <c r="F18" s="360">
        <f t="shared" si="8"/>
        <v>2015</v>
      </c>
      <c r="G18" s="369">
        <f t="shared" si="0"/>
        <v>111364764</v>
      </c>
      <c r="H18" s="369">
        <f t="shared" si="9"/>
        <v>26579864</v>
      </c>
      <c r="I18" s="369">
        <f t="shared" si="1"/>
        <v>2393899</v>
      </c>
      <c r="J18" s="369">
        <f t="shared" si="2"/>
        <v>28973763</v>
      </c>
      <c r="K18" s="369">
        <v>136943761</v>
      </c>
      <c r="L18" s="494">
        <v>46613106</v>
      </c>
      <c r="M18" s="369">
        <f t="shared" si="5"/>
        <v>367762</v>
      </c>
      <c r="N18" s="369">
        <f t="shared" si="6"/>
        <v>0</v>
      </c>
      <c r="O18" s="370">
        <f t="shared" si="7"/>
        <v>324263156</v>
      </c>
    </row>
    <row r="19" spans="4:15" ht="15.75">
      <c r="D19" s="360">
        <v>10</v>
      </c>
      <c r="E19" s="364" t="s">
        <v>494</v>
      </c>
      <c r="F19" s="360">
        <f t="shared" si="8"/>
        <v>2015</v>
      </c>
      <c r="G19" s="369">
        <f t="shared" si="0"/>
        <v>111364764</v>
      </c>
      <c r="H19" s="369">
        <f t="shared" si="9"/>
        <v>26579864</v>
      </c>
      <c r="I19" s="369">
        <f t="shared" si="1"/>
        <v>2393899</v>
      </c>
      <c r="J19" s="369">
        <f t="shared" si="2"/>
        <v>28973763</v>
      </c>
      <c r="K19" s="369">
        <f t="shared" si="3"/>
        <v>136943761</v>
      </c>
      <c r="L19" s="494">
        <f t="shared" si="4"/>
        <v>46613106</v>
      </c>
      <c r="M19" s="369">
        <f t="shared" si="5"/>
        <v>367762</v>
      </c>
      <c r="N19" s="369">
        <f t="shared" si="6"/>
        <v>0</v>
      </c>
      <c r="O19" s="370">
        <f t="shared" si="7"/>
        <v>324263156</v>
      </c>
    </row>
    <row r="20" spans="4:15" ht="15.75">
      <c r="D20" s="360">
        <v>11</v>
      </c>
      <c r="E20" s="364" t="s">
        <v>495</v>
      </c>
      <c r="F20" s="360">
        <f t="shared" si="8"/>
        <v>2015</v>
      </c>
      <c r="G20" s="369">
        <f t="shared" si="0"/>
        <v>111364764</v>
      </c>
      <c r="H20" s="369">
        <f>H19</f>
        <v>26579864</v>
      </c>
      <c r="I20" s="369">
        <v>19752604</v>
      </c>
      <c r="J20" s="369">
        <f t="shared" si="2"/>
        <v>46332468</v>
      </c>
      <c r="K20" s="369">
        <v>137564363</v>
      </c>
      <c r="L20" s="494">
        <f t="shared" si="4"/>
        <v>46613106</v>
      </c>
      <c r="M20" s="369">
        <f t="shared" si="5"/>
        <v>367762</v>
      </c>
      <c r="N20" s="369">
        <f t="shared" si="6"/>
        <v>0</v>
      </c>
      <c r="O20" s="370">
        <f t="shared" si="7"/>
        <v>342242463</v>
      </c>
    </row>
    <row r="21" spans="4:15" ht="15.75">
      <c r="D21" s="360">
        <v>12</v>
      </c>
      <c r="E21" s="364" t="s">
        <v>496</v>
      </c>
      <c r="F21" s="360">
        <f t="shared" si="8"/>
        <v>2015</v>
      </c>
      <c r="G21" s="369">
        <f t="shared" si="0"/>
        <v>111364764</v>
      </c>
      <c r="H21" s="369">
        <f t="shared" si="9"/>
        <v>26579864</v>
      </c>
      <c r="I21" s="369">
        <f t="shared" si="1"/>
        <v>19752604</v>
      </c>
      <c r="J21" s="369">
        <f t="shared" si="2"/>
        <v>46332468</v>
      </c>
      <c r="K21" s="369">
        <f t="shared" si="3"/>
        <v>137564363</v>
      </c>
      <c r="L21" s="494">
        <v>46756907</v>
      </c>
      <c r="M21" s="369">
        <f t="shared" si="5"/>
        <v>367762</v>
      </c>
      <c r="N21" s="369">
        <f t="shared" si="6"/>
        <v>0</v>
      </c>
      <c r="O21" s="370">
        <f t="shared" si="7"/>
        <v>342386264</v>
      </c>
    </row>
    <row r="22" spans="4:15" ht="15.75">
      <c r="D22" s="360">
        <v>13</v>
      </c>
      <c r="E22" s="364" t="s">
        <v>497</v>
      </c>
      <c r="F22" s="360">
        <f t="shared" si="8"/>
        <v>2015</v>
      </c>
      <c r="G22" s="369">
        <f t="shared" si="0"/>
        <v>111364764</v>
      </c>
      <c r="H22" s="369">
        <v>28394444</v>
      </c>
      <c r="I22" s="369">
        <f t="shared" si="1"/>
        <v>19752604</v>
      </c>
      <c r="J22" s="369">
        <f t="shared" si="2"/>
        <v>48147048</v>
      </c>
      <c r="K22" s="369">
        <v>138184965</v>
      </c>
      <c r="L22" s="369">
        <f t="shared" si="4"/>
        <v>46756907</v>
      </c>
      <c r="M22" s="369">
        <f t="shared" si="5"/>
        <v>367762</v>
      </c>
      <c r="N22" s="369">
        <f t="shared" si="6"/>
        <v>0</v>
      </c>
      <c r="O22" s="370">
        <f t="shared" si="7"/>
        <v>344821446</v>
      </c>
    </row>
    <row r="23" spans="4:15">
      <c r="D23" s="360">
        <v>14</v>
      </c>
    </row>
    <row r="24" spans="4:15" ht="17.25">
      <c r="D24" s="360">
        <v>15</v>
      </c>
      <c r="E24" s="356" t="s">
        <v>513</v>
      </c>
      <c r="F24" s="365"/>
      <c r="G24" s="372">
        <f>SUM(G10:G22)/13</f>
        <v>111364764</v>
      </c>
      <c r="H24" s="372">
        <f t="shared" ref="H24" si="10">SUM(H10:H22)/13</f>
        <v>26719447.076923076</v>
      </c>
      <c r="I24" s="372">
        <f t="shared" ref="I24:J24" si="11">SUM(I10:I22)/13</f>
        <v>6399754</v>
      </c>
      <c r="J24" s="372">
        <f t="shared" si="11"/>
        <v>33119201.076923076</v>
      </c>
      <c r="K24" s="372">
        <f t="shared" ref="K24:O24" si="12">SUM(K10:K22)/13</f>
        <v>136466375.46153846</v>
      </c>
      <c r="L24" s="372">
        <f t="shared" si="12"/>
        <v>46469304.384615384</v>
      </c>
      <c r="M24" s="372">
        <f t="shared" ref="M24" si="13">SUM(M10:M22)/13</f>
        <v>367762</v>
      </c>
      <c r="N24" s="372">
        <f t="shared" si="12"/>
        <v>0</v>
      </c>
      <c r="O24" s="372">
        <f t="shared" si="12"/>
        <v>327787406.92307693</v>
      </c>
    </row>
    <row r="25" spans="4:15">
      <c r="E25" s="373" t="s">
        <v>514</v>
      </c>
      <c r="F25" s="373"/>
      <c r="G25" s="373" t="s">
        <v>515</v>
      </c>
      <c r="H25" s="373"/>
      <c r="I25" s="373" t="s">
        <v>758</v>
      </c>
      <c r="J25" s="373" t="s">
        <v>516</v>
      </c>
      <c r="K25" s="373" t="s">
        <v>517</v>
      </c>
      <c r="L25" s="373" t="s">
        <v>518</v>
      </c>
      <c r="M25" s="373" t="s">
        <v>518</v>
      </c>
      <c r="N25" s="373" t="s">
        <v>519</v>
      </c>
      <c r="O25" s="373"/>
    </row>
    <row r="26" spans="4:15">
      <c r="I26" s="373" t="s">
        <v>759</v>
      </c>
    </row>
    <row r="27" spans="4:15" ht="30">
      <c r="D27" s="358" t="s">
        <v>501</v>
      </c>
      <c r="E27" s="358" t="s">
        <v>520</v>
      </c>
      <c r="F27" s="358" t="s">
        <v>503</v>
      </c>
      <c r="G27" s="358" t="s">
        <v>508</v>
      </c>
      <c r="H27" s="358" t="s">
        <v>756</v>
      </c>
      <c r="I27" s="358" t="s">
        <v>757</v>
      </c>
      <c r="J27" s="358" t="s">
        <v>760</v>
      </c>
      <c r="K27" s="358" t="s">
        <v>484</v>
      </c>
      <c r="L27" s="358" t="s">
        <v>509</v>
      </c>
      <c r="M27" s="358" t="s">
        <v>510</v>
      </c>
      <c r="N27" s="358" t="s">
        <v>511</v>
      </c>
      <c r="O27" s="358" t="s">
        <v>521</v>
      </c>
    </row>
    <row r="28" spans="4:15">
      <c r="D28" s="360">
        <v>16</v>
      </c>
      <c r="E28" s="368" t="s">
        <v>497</v>
      </c>
      <c r="F28" s="368">
        <f>$G$7-1</f>
        <v>2014</v>
      </c>
      <c r="G28" s="369">
        <v>85430135</v>
      </c>
      <c r="H28" s="369">
        <v>11556892</v>
      </c>
      <c r="I28" s="369">
        <v>39898</v>
      </c>
      <c r="J28" s="369">
        <f>H28+I28</f>
        <v>11596790</v>
      </c>
      <c r="K28" s="369">
        <v>61052079</v>
      </c>
      <c r="L28" s="369">
        <v>25198170</v>
      </c>
      <c r="M28" s="369">
        <v>38765</v>
      </c>
      <c r="N28" s="369">
        <v>0</v>
      </c>
      <c r="O28" s="370">
        <f>G28+J28+K28+L28+M28+N28</f>
        <v>183315939</v>
      </c>
    </row>
    <row r="29" spans="4:15">
      <c r="D29" s="360">
        <v>17</v>
      </c>
      <c r="E29" s="361" t="s">
        <v>486</v>
      </c>
      <c r="F29" s="360">
        <f>$G$7</f>
        <v>2015</v>
      </c>
      <c r="G29" s="369">
        <v>85660071</v>
      </c>
      <c r="H29" s="369">
        <v>11622039</v>
      </c>
      <c r="I29" s="369">
        <v>45765</v>
      </c>
      <c r="J29" s="369">
        <f t="shared" ref="J29:J40" si="14">H29+I29</f>
        <v>11667804</v>
      </c>
      <c r="K29" s="369">
        <v>61384683</v>
      </c>
      <c r="L29" s="369">
        <v>25400721</v>
      </c>
      <c r="M29" s="369">
        <v>39842</v>
      </c>
      <c r="N29" s="369">
        <v>0</v>
      </c>
      <c r="O29" s="370">
        <f t="shared" ref="O29:O40" si="15">G29+J29+K29+L29+M29+N29</f>
        <v>184153121</v>
      </c>
    </row>
    <row r="30" spans="4:15" ht="15.75">
      <c r="D30" s="360">
        <v>18</v>
      </c>
      <c r="E30" s="364" t="s">
        <v>487</v>
      </c>
      <c r="F30" s="360">
        <f t="shared" ref="F30:F40" si="16">$G$7</f>
        <v>2015</v>
      </c>
      <c r="G30" s="369">
        <v>85890007</v>
      </c>
      <c r="H30" s="369">
        <v>11687186</v>
      </c>
      <c r="I30" s="369">
        <v>51632</v>
      </c>
      <c r="J30" s="369">
        <f t="shared" si="14"/>
        <v>11738818</v>
      </c>
      <c r="K30" s="369">
        <v>61717287</v>
      </c>
      <c r="L30" s="369">
        <v>25603903</v>
      </c>
      <c r="M30" s="369">
        <v>40919</v>
      </c>
      <c r="N30" s="369">
        <v>0</v>
      </c>
      <c r="O30" s="370">
        <f t="shared" si="15"/>
        <v>184990934</v>
      </c>
    </row>
    <row r="31" spans="4:15" ht="15.75">
      <c r="D31" s="360">
        <v>19</v>
      </c>
      <c r="E31" s="364" t="s">
        <v>488</v>
      </c>
      <c r="F31" s="360">
        <f t="shared" si="16"/>
        <v>2015</v>
      </c>
      <c r="G31" s="369">
        <v>86119943</v>
      </c>
      <c r="H31" s="369">
        <v>11752333</v>
      </c>
      <c r="I31" s="369">
        <v>57499</v>
      </c>
      <c r="J31" s="369">
        <f t="shared" si="14"/>
        <v>11809832</v>
      </c>
      <c r="K31" s="369">
        <v>62049891</v>
      </c>
      <c r="L31" s="369">
        <v>25807085</v>
      </c>
      <c r="M31" s="369">
        <v>41996</v>
      </c>
      <c r="N31" s="369">
        <v>0</v>
      </c>
      <c r="O31" s="370">
        <f t="shared" si="15"/>
        <v>185828747</v>
      </c>
    </row>
    <row r="32" spans="4:15" ht="15.75">
      <c r="D32" s="360">
        <v>20</v>
      </c>
      <c r="E32" s="364" t="s">
        <v>489</v>
      </c>
      <c r="F32" s="360">
        <f t="shared" si="16"/>
        <v>2015</v>
      </c>
      <c r="G32" s="369">
        <v>86349879</v>
      </c>
      <c r="H32" s="369">
        <v>11817480</v>
      </c>
      <c r="I32" s="369">
        <v>63366</v>
      </c>
      <c r="J32" s="369">
        <f t="shared" si="14"/>
        <v>11880846</v>
      </c>
      <c r="K32" s="369">
        <v>62382495</v>
      </c>
      <c r="L32" s="369">
        <v>26010267</v>
      </c>
      <c r="M32" s="369">
        <v>43073</v>
      </c>
      <c r="N32" s="369">
        <v>0</v>
      </c>
      <c r="O32" s="370">
        <f t="shared" si="15"/>
        <v>186666560</v>
      </c>
    </row>
    <row r="33" spans="4:15" ht="15.75">
      <c r="D33" s="360">
        <v>21</v>
      </c>
      <c r="E33" s="364" t="s">
        <v>490</v>
      </c>
      <c r="F33" s="360">
        <f t="shared" si="16"/>
        <v>2015</v>
      </c>
      <c r="G33" s="369">
        <v>86579815</v>
      </c>
      <c r="H33" s="369">
        <v>11882627</v>
      </c>
      <c r="I33" s="369">
        <v>69233</v>
      </c>
      <c r="J33" s="369">
        <f t="shared" si="14"/>
        <v>11951860</v>
      </c>
      <c r="K33" s="369">
        <v>62715099</v>
      </c>
      <c r="L33" s="369">
        <v>26214080</v>
      </c>
      <c r="M33" s="369">
        <v>44150</v>
      </c>
      <c r="N33" s="369">
        <v>0</v>
      </c>
      <c r="O33" s="370">
        <f t="shared" si="15"/>
        <v>187505004</v>
      </c>
    </row>
    <row r="34" spans="4:15" ht="15.75">
      <c r="D34" s="360">
        <v>22</v>
      </c>
      <c r="E34" s="364" t="s">
        <v>491</v>
      </c>
      <c r="F34" s="360">
        <f t="shared" si="16"/>
        <v>2015</v>
      </c>
      <c r="G34" s="369">
        <v>86809751</v>
      </c>
      <c r="H34" s="369">
        <v>11947774</v>
      </c>
      <c r="I34" s="369">
        <v>75100</v>
      </c>
      <c r="J34" s="369">
        <f t="shared" si="14"/>
        <v>12022874</v>
      </c>
      <c r="K34" s="369">
        <v>63049224</v>
      </c>
      <c r="L34" s="369">
        <v>26417893</v>
      </c>
      <c r="M34" s="369">
        <v>45227</v>
      </c>
      <c r="N34" s="369">
        <v>0</v>
      </c>
      <c r="O34" s="370">
        <f t="shared" si="15"/>
        <v>188344969</v>
      </c>
    </row>
    <row r="35" spans="4:15" ht="15.75">
      <c r="D35" s="360">
        <v>23</v>
      </c>
      <c r="E35" s="364" t="s">
        <v>492</v>
      </c>
      <c r="F35" s="360">
        <f t="shared" si="16"/>
        <v>2015</v>
      </c>
      <c r="G35" s="369">
        <v>87039687</v>
      </c>
      <c r="H35" s="369">
        <v>12012921</v>
      </c>
      <c r="I35" s="369">
        <v>80967</v>
      </c>
      <c r="J35" s="369">
        <f t="shared" si="14"/>
        <v>12093888</v>
      </c>
      <c r="K35" s="369">
        <v>63383349</v>
      </c>
      <c r="L35" s="369">
        <v>26621706</v>
      </c>
      <c r="M35" s="369">
        <v>46304</v>
      </c>
      <c r="N35" s="369">
        <v>0</v>
      </c>
      <c r="O35" s="370">
        <f t="shared" si="15"/>
        <v>189184934</v>
      </c>
    </row>
    <row r="36" spans="4:15" ht="15.75">
      <c r="D36" s="360">
        <v>24</v>
      </c>
      <c r="E36" s="364" t="s">
        <v>493</v>
      </c>
      <c r="F36" s="360">
        <f t="shared" si="16"/>
        <v>2015</v>
      </c>
      <c r="G36" s="369">
        <v>87269623</v>
      </c>
      <c r="H36" s="369">
        <v>12078068</v>
      </c>
      <c r="I36" s="369">
        <v>86834</v>
      </c>
      <c r="J36" s="369">
        <f t="shared" si="14"/>
        <v>12164902</v>
      </c>
      <c r="K36" s="369">
        <v>63718995</v>
      </c>
      <c r="L36" s="369">
        <v>26826149</v>
      </c>
      <c r="M36" s="369">
        <v>47381</v>
      </c>
      <c r="N36" s="369">
        <v>0</v>
      </c>
      <c r="O36" s="370">
        <f t="shared" si="15"/>
        <v>190027050</v>
      </c>
    </row>
    <row r="37" spans="4:15" ht="15.75">
      <c r="D37" s="360">
        <v>25</v>
      </c>
      <c r="E37" s="364" t="s">
        <v>494</v>
      </c>
      <c r="F37" s="360">
        <f t="shared" si="16"/>
        <v>2015</v>
      </c>
      <c r="G37" s="369">
        <v>87499559</v>
      </c>
      <c r="H37" s="369">
        <v>12143215</v>
      </c>
      <c r="I37" s="369">
        <v>92701</v>
      </c>
      <c r="J37" s="369">
        <f t="shared" si="14"/>
        <v>12235916</v>
      </c>
      <c r="K37" s="369">
        <v>64054641</v>
      </c>
      <c r="L37" s="369">
        <v>27030592</v>
      </c>
      <c r="M37" s="369">
        <v>48458</v>
      </c>
      <c r="N37" s="369">
        <v>0</v>
      </c>
      <c r="O37" s="370">
        <f t="shared" si="15"/>
        <v>190869166</v>
      </c>
    </row>
    <row r="38" spans="4:15" ht="15.75">
      <c r="D38" s="360">
        <v>26</v>
      </c>
      <c r="E38" s="364" t="s">
        <v>495</v>
      </c>
      <c r="F38" s="360">
        <f t="shared" si="16"/>
        <v>2015</v>
      </c>
      <c r="G38" s="369">
        <v>87729495</v>
      </c>
      <c r="H38" s="369">
        <v>12208362</v>
      </c>
      <c r="I38" s="369">
        <v>141114</v>
      </c>
      <c r="J38" s="369">
        <f t="shared" si="14"/>
        <v>12349476</v>
      </c>
      <c r="K38" s="369">
        <v>64391809</v>
      </c>
      <c r="L38" s="369">
        <v>27235035</v>
      </c>
      <c r="M38" s="369">
        <v>49535</v>
      </c>
      <c r="N38" s="369">
        <v>0</v>
      </c>
      <c r="O38" s="370">
        <f t="shared" si="15"/>
        <v>191755350</v>
      </c>
    </row>
    <row r="39" spans="4:15" ht="15.75">
      <c r="D39" s="360">
        <v>27</v>
      </c>
      <c r="E39" s="364" t="s">
        <v>496</v>
      </c>
      <c r="F39" s="360">
        <f t="shared" si="16"/>
        <v>2015</v>
      </c>
      <c r="G39" s="369">
        <v>87959431</v>
      </c>
      <c r="H39" s="369">
        <v>12273509</v>
      </c>
      <c r="I39" s="369">
        <v>189527</v>
      </c>
      <c r="J39" s="369">
        <f t="shared" si="14"/>
        <v>12463036</v>
      </c>
      <c r="K39" s="369">
        <v>64728977</v>
      </c>
      <c r="L39" s="369">
        <v>27440109</v>
      </c>
      <c r="M39" s="369">
        <v>50612</v>
      </c>
      <c r="N39" s="369">
        <v>0</v>
      </c>
      <c r="O39" s="370">
        <f t="shared" si="15"/>
        <v>192642165</v>
      </c>
    </row>
    <row r="40" spans="4:15" ht="15.75">
      <c r="D40" s="360">
        <v>28</v>
      </c>
      <c r="E40" s="364" t="s">
        <v>497</v>
      </c>
      <c r="F40" s="360">
        <f t="shared" si="16"/>
        <v>2015</v>
      </c>
      <c r="G40" s="369">
        <v>88189367</v>
      </c>
      <c r="H40" s="369">
        <v>12343103</v>
      </c>
      <c r="I40" s="369">
        <v>237940</v>
      </c>
      <c r="J40" s="369">
        <f t="shared" si="14"/>
        <v>12581043</v>
      </c>
      <c r="K40" s="369">
        <v>65067666</v>
      </c>
      <c r="L40" s="369">
        <v>27645183</v>
      </c>
      <c r="M40" s="369">
        <v>51689</v>
      </c>
      <c r="N40" s="369">
        <v>0</v>
      </c>
      <c r="O40" s="370">
        <f t="shared" si="15"/>
        <v>193534948</v>
      </c>
    </row>
    <row r="41" spans="4:15">
      <c r="D41" s="360">
        <v>29</v>
      </c>
    </row>
    <row r="42" spans="4:15" ht="17.25">
      <c r="D42" s="360">
        <v>30</v>
      </c>
      <c r="E42" s="356" t="s">
        <v>513</v>
      </c>
      <c r="F42" s="365"/>
      <c r="G42" s="372">
        <f>SUM(G28:G40)/13</f>
        <v>86809751</v>
      </c>
      <c r="H42" s="372">
        <f t="shared" ref="H42" si="17">SUM(H28:H40)/13</f>
        <v>11948116.076923076</v>
      </c>
      <c r="I42" s="372">
        <f t="shared" ref="I42:J42" si="18">SUM(I28:I40)/13</f>
        <v>94736.61538461539</v>
      </c>
      <c r="J42" s="372">
        <f t="shared" si="18"/>
        <v>12042852.692307692</v>
      </c>
      <c r="K42" s="372">
        <f t="shared" ref="K42:O42" si="19">SUM(K28:K40)/13</f>
        <v>63053553.461538464</v>
      </c>
      <c r="L42" s="372">
        <f t="shared" si="19"/>
        <v>26419299.46153846</v>
      </c>
      <c r="M42" s="372">
        <f t="shared" ref="M42" si="20">SUM(M28:M40)/13</f>
        <v>45227</v>
      </c>
      <c r="N42" s="372">
        <f t="shared" si="19"/>
        <v>0</v>
      </c>
      <c r="O42" s="372">
        <f t="shared" si="19"/>
        <v>188370683.61538461</v>
      </c>
    </row>
    <row r="43" spans="4:15">
      <c r="E43" s="373" t="s">
        <v>514</v>
      </c>
      <c r="F43" s="373"/>
      <c r="G43" s="373" t="s">
        <v>522</v>
      </c>
      <c r="H43" s="373"/>
      <c r="I43" s="373"/>
      <c r="J43" s="373" t="s">
        <v>523</v>
      </c>
      <c r="K43" s="373" t="s">
        <v>524</v>
      </c>
      <c r="L43" s="373" t="s">
        <v>525</v>
      </c>
      <c r="M43" s="373" t="s">
        <v>525</v>
      </c>
      <c r="N43" s="373" t="s">
        <v>526</v>
      </c>
    </row>
    <row r="44" spans="4:15" ht="30">
      <c r="D44" s="358" t="s">
        <v>501</v>
      </c>
      <c r="E44" s="358" t="s">
        <v>527</v>
      </c>
      <c r="F44" s="358" t="s">
        <v>503</v>
      </c>
      <c r="G44" s="358" t="s">
        <v>508</v>
      </c>
      <c r="H44" s="358" t="s">
        <v>756</v>
      </c>
      <c r="I44" s="358" t="s">
        <v>757</v>
      </c>
      <c r="J44" s="358" t="s">
        <v>760</v>
      </c>
      <c r="K44" s="358" t="s">
        <v>484</v>
      </c>
      <c r="L44" s="358" t="s">
        <v>509</v>
      </c>
      <c r="M44" s="358" t="s">
        <v>510</v>
      </c>
      <c r="N44" s="358" t="s">
        <v>511</v>
      </c>
      <c r="O44" s="358" t="s">
        <v>528</v>
      </c>
    </row>
    <row r="45" spans="4:15">
      <c r="D45" s="360">
        <v>31</v>
      </c>
      <c r="E45" s="368" t="s">
        <v>497</v>
      </c>
      <c r="F45" s="368">
        <f>$G$7-1</f>
        <v>2014</v>
      </c>
      <c r="G45" s="369">
        <f>G10-G28</f>
        <v>25934629</v>
      </c>
      <c r="H45" s="369">
        <f t="shared" ref="H45:I57" si="21">H10-H28</f>
        <v>15022972</v>
      </c>
      <c r="I45" s="369">
        <f t="shared" si="21"/>
        <v>2354001</v>
      </c>
      <c r="J45" s="369">
        <f>H45+I45</f>
        <v>17376973</v>
      </c>
      <c r="K45" s="369">
        <f t="shared" ref="K45:O57" si="22">K10-K28</f>
        <v>74650479</v>
      </c>
      <c r="L45" s="369">
        <f t="shared" si="22"/>
        <v>20983532</v>
      </c>
      <c r="M45" s="369">
        <f t="shared" si="22"/>
        <v>328997</v>
      </c>
      <c r="N45" s="369">
        <f t="shared" si="22"/>
        <v>0</v>
      </c>
      <c r="O45" s="369">
        <f t="shared" si="22"/>
        <v>139274610</v>
      </c>
    </row>
    <row r="46" spans="4:15">
      <c r="D46" s="360">
        <v>32</v>
      </c>
      <c r="E46" s="361" t="s">
        <v>486</v>
      </c>
      <c r="F46" s="360">
        <f>$G$7</f>
        <v>2015</v>
      </c>
      <c r="G46" s="369">
        <f t="shared" ref="G46:O57" si="23">G11-G29</f>
        <v>25704693</v>
      </c>
      <c r="H46" s="369">
        <f t="shared" si="21"/>
        <v>14957825</v>
      </c>
      <c r="I46" s="369">
        <f t="shared" si="21"/>
        <v>2348134</v>
      </c>
      <c r="J46" s="369">
        <f t="shared" ref="J46:J57" si="24">H46+I46</f>
        <v>17305959</v>
      </c>
      <c r="K46" s="369">
        <f t="shared" si="23"/>
        <v>74317875</v>
      </c>
      <c r="L46" s="369">
        <f t="shared" si="23"/>
        <v>20780981</v>
      </c>
      <c r="M46" s="369">
        <f t="shared" si="22"/>
        <v>327920</v>
      </c>
      <c r="N46" s="369">
        <f t="shared" si="23"/>
        <v>0</v>
      </c>
      <c r="O46" s="369">
        <f t="shared" si="23"/>
        <v>138437428</v>
      </c>
    </row>
    <row r="47" spans="4:15" ht="15.75">
      <c r="D47" s="360">
        <v>33</v>
      </c>
      <c r="E47" s="364" t="s">
        <v>487</v>
      </c>
      <c r="F47" s="360">
        <f t="shared" ref="F47:F57" si="25">$G$7</f>
        <v>2015</v>
      </c>
      <c r="G47" s="369">
        <f t="shared" si="23"/>
        <v>25474757</v>
      </c>
      <c r="H47" s="369">
        <f t="shared" si="21"/>
        <v>14892678</v>
      </c>
      <c r="I47" s="369">
        <f t="shared" si="21"/>
        <v>2342267</v>
      </c>
      <c r="J47" s="369">
        <f t="shared" si="24"/>
        <v>17234945</v>
      </c>
      <c r="K47" s="369">
        <f t="shared" si="23"/>
        <v>73985271</v>
      </c>
      <c r="L47" s="369">
        <f t="shared" si="23"/>
        <v>20721600</v>
      </c>
      <c r="M47" s="369">
        <f t="shared" si="22"/>
        <v>326843</v>
      </c>
      <c r="N47" s="369">
        <f t="shared" si="23"/>
        <v>0</v>
      </c>
      <c r="O47" s="369">
        <f t="shared" si="23"/>
        <v>137743416</v>
      </c>
    </row>
    <row r="48" spans="4:15" ht="15.75">
      <c r="D48" s="360">
        <v>34</v>
      </c>
      <c r="E48" s="364" t="s">
        <v>488</v>
      </c>
      <c r="F48" s="360">
        <f t="shared" si="25"/>
        <v>2015</v>
      </c>
      <c r="G48" s="369">
        <f t="shared" si="23"/>
        <v>25244821</v>
      </c>
      <c r="H48" s="369">
        <f t="shared" si="21"/>
        <v>14827531</v>
      </c>
      <c r="I48" s="369">
        <f t="shared" si="21"/>
        <v>2336400</v>
      </c>
      <c r="J48" s="369">
        <f t="shared" si="24"/>
        <v>17163931</v>
      </c>
      <c r="K48" s="369">
        <f t="shared" si="23"/>
        <v>73652667</v>
      </c>
      <c r="L48" s="369">
        <f t="shared" si="23"/>
        <v>20518418</v>
      </c>
      <c r="M48" s="369">
        <f t="shared" si="22"/>
        <v>325766</v>
      </c>
      <c r="N48" s="369">
        <f t="shared" si="23"/>
        <v>0</v>
      </c>
      <c r="O48" s="369">
        <f t="shared" si="23"/>
        <v>136905603</v>
      </c>
    </row>
    <row r="49" spans="4:15" ht="15.75">
      <c r="D49" s="360">
        <v>35</v>
      </c>
      <c r="E49" s="364" t="s">
        <v>489</v>
      </c>
      <c r="F49" s="360">
        <f t="shared" si="25"/>
        <v>2015</v>
      </c>
      <c r="G49" s="369">
        <f t="shared" si="23"/>
        <v>25014885</v>
      </c>
      <c r="H49" s="369">
        <f t="shared" si="21"/>
        <v>14762384</v>
      </c>
      <c r="I49" s="369">
        <f t="shared" si="21"/>
        <v>2330533</v>
      </c>
      <c r="J49" s="369">
        <f t="shared" si="24"/>
        <v>17092917</v>
      </c>
      <c r="K49" s="369">
        <f t="shared" si="23"/>
        <v>73320063</v>
      </c>
      <c r="L49" s="369">
        <f t="shared" si="23"/>
        <v>20315236</v>
      </c>
      <c r="M49" s="369">
        <f t="shared" si="22"/>
        <v>324689</v>
      </c>
      <c r="N49" s="369">
        <f t="shared" si="23"/>
        <v>0</v>
      </c>
      <c r="O49" s="369">
        <f t="shared" si="23"/>
        <v>136067790</v>
      </c>
    </row>
    <row r="50" spans="4:15" ht="15.75">
      <c r="D50" s="360">
        <v>36</v>
      </c>
      <c r="E50" s="364" t="s">
        <v>490</v>
      </c>
      <c r="F50" s="360">
        <f t="shared" si="25"/>
        <v>2015</v>
      </c>
      <c r="G50" s="369">
        <f t="shared" si="23"/>
        <v>24784949</v>
      </c>
      <c r="H50" s="369">
        <f t="shared" si="21"/>
        <v>14697237</v>
      </c>
      <c r="I50" s="369">
        <f t="shared" si="21"/>
        <v>2324666</v>
      </c>
      <c r="J50" s="369">
        <f t="shared" si="24"/>
        <v>17021903</v>
      </c>
      <c r="K50" s="369">
        <f t="shared" si="23"/>
        <v>72987459</v>
      </c>
      <c r="L50" s="369">
        <f t="shared" si="23"/>
        <v>20255224</v>
      </c>
      <c r="M50" s="369">
        <f t="shared" si="22"/>
        <v>323612</v>
      </c>
      <c r="N50" s="369">
        <f t="shared" si="23"/>
        <v>0</v>
      </c>
      <c r="O50" s="369">
        <f t="shared" si="23"/>
        <v>135373147</v>
      </c>
    </row>
    <row r="51" spans="4:15" ht="15.75">
      <c r="D51" s="360">
        <v>37</v>
      </c>
      <c r="E51" s="364" t="s">
        <v>491</v>
      </c>
      <c r="F51" s="360">
        <f t="shared" si="25"/>
        <v>2015</v>
      </c>
      <c r="G51" s="369">
        <f t="shared" si="23"/>
        <v>24555013</v>
      </c>
      <c r="H51" s="369">
        <f t="shared" si="21"/>
        <v>14632090</v>
      </c>
      <c r="I51" s="369">
        <f t="shared" si="21"/>
        <v>2318799</v>
      </c>
      <c r="J51" s="369">
        <f t="shared" si="24"/>
        <v>16950889</v>
      </c>
      <c r="K51" s="369">
        <f t="shared" si="23"/>
        <v>73273936</v>
      </c>
      <c r="L51" s="369">
        <f t="shared" si="23"/>
        <v>20051411</v>
      </c>
      <c r="M51" s="369">
        <f t="shared" si="22"/>
        <v>322535</v>
      </c>
      <c r="N51" s="369">
        <f t="shared" si="23"/>
        <v>0</v>
      </c>
      <c r="O51" s="369">
        <f t="shared" si="23"/>
        <v>135153784</v>
      </c>
    </row>
    <row r="52" spans="4:15" ht="15.75">
      <c r="D52" s="360">
        <v>38</v>
      </c>
      <c r="E52" s="364" t="s">
        <v>492</v>
      </c>
      <c r="F52" s="360">
        <f t="shared" si="25"/>
        <v>2015</v>
      </c>
      <c r="G52" s="369">
        <f t="shared" si="23"/>
        <v>24325077</v>
      </c>
      <c r="H52" s="369">
        <f t="shared" si="21"/>
        <v>14566943</v>
      </c>
      <c r="I52" s="369">
        <f t="shared" si="21"/>
        <v>2312932</v>
      </c>
      <c r="J52" s="369">
        <f t="shared" si="24"/>
        <v>16879875</v>
      </c>
      <c r="K52" s="369">
        <f t="shared" si="23"/>
        <v>72939811</v>
      </c>
      <c r="L52" s="369">
        <f t="shared" si="23"/>
        <v>19847598</v>
      </c>
      <c r="M52" s="369">
        <f t="shared" si="22"/>
        <v>321458</v>
      </c>
      <c r="N52" s="369">
        <f t="shared" si="23"/>
        <v>0</v>
      </c>
      <c r="O52" s="369">
        <f t="shared" si="23"/>
        <v>134313819</v>
      </c>
    </row>
    <row r="53" spans="4:15" ht="15.75">
      <c r="D53" s="360">
        <v>39</v>
      </c>
      <c r="E53" s="364" t="s">
        <v>493</v>
      </c>
      <c r="F53" s="360">
        <f t="shared" si="25"/>
        <v>2015</v>
      </c>
      <c r="G53" s="369">
        <f t="shared" si="23"/>
        <v>24095141</v>
      </c>
      <c r="H53" s="369">
        <f t="shared" si="21"/>
        <v>14501796</v>
      </c>
      <c r="I53" s="369">
        <f t="shared" si="21"/>
        <v>2307065</v>
      </c>
      <c r="J53" s="369">
        <f t="shared" si="24"/>
        <v>16808861</v>
      </c>
      <c r="K53" s="369">
        <f t="shared" si="23"/>
        <v>73224766</v>
      </c>
      <c r="L53" s="369">
        <f t="shared" si="23"/>
        <v>19786957</v>
      </c>
      <c r="M53" s="369">
        <f t="shared" si="22"/>
        <v>320381</v>
      </c>
      <c r="N53" s="369">
        <f t="shared" si="23"/>
        <v>0</v>
      </c>
      <c r="O53" s="369">
        <f t="shared" si="23"/>
        <v>134236106</v>
      </c>
    </row>
    <row r="54" spans="4:15" ht="15.75">
      <c r="D54" s="360">
        <v>40</v>
      </c>
      <c r="E54" s="364" t="s">
        <v>494</v>
      </c>
      <c r="F54" s="360">
        <f t="shared" si="25"/>
        <v>2015</v>
      </c>
      <c r="G54" s="369">
        <f t="shared" si="23"/>
        <v>23865205</v>
      </c>
      <c r="H54" s="369">
        <f t="shared" si="21"/>
        <v>14436649</v>
      </c>
      <c r="I54" s="369">
        <f t="shared" si="21"/>
        <v>2301198</v>
      </c>
      <c r="J54" s="369">
        <f t="shared" si="24"/>
        <v>16737847</v>
      </c>
      <c r="K54" s="369">
        <f t="shared" si="23"/>
        <v>72889120</v>
      </c>
      <c r="L54" s="369">
        <f t="shared" si="23"/>
        <v>19582514</v>
      </c>
      <c r="M54" s="369">
        <f t="shared" si="22"/>
        <v>319304</v>
      </c>
      <c r="N54" s="369">
        <f t="shared" si="23"/>
        <v>0</v>
      </c>
      <c r="O54" s="369">
        <f t="shared" si="23"/>
        <v>133393990</v>
      </c>
    </row>
    <row r="55" spans="4:15" ht="15.75">
      <c r="D55" s="360">
        <v>41</v>
      </c>
      <c r="E55" s="364" t="s">
        <v>495</v>
      </c>
      <c r="F55" s="360">
        <f t="shared" si="25"/>
        <v>2015</v>
      </c>
      <c r="G55" s="369">
        <f t="shared" si="23"/>
        <v>23635269</v>
      </c>
      <c r="H55" s="369">
        <f t="shared" si="21"/>
        <v>14371502</v>
      </c>
      <c r="I55" s="369">
        <f t="shared" si="21"/>
        <v>19611490</v>
      </c>
      <c r="J55" s="369">
        <f t="shared" si="24"/>
        <v>33982992</v>
      </c>
      <c r="K55" s="369">
        <f t="shared" si="23"/>
        <v>73172554</v>
      </c>
      <c r="L55" s="369">
        <f t="shared" si="23"/>
        <v>19378071</v>
      </c>
      <c r="M55" s="369">
        <f t="shared" si="22"/>
        <v>318227</v>
      </c>
      <c r="N55" s="369">
        <f t="shared" si="23"/>
        <v>0</v>
      </c>
      <c r="O55" s="369">
        <f t="shared" si="23"/>
        <v>150487113</v>
      </c>
    </row>
    <row r="56" spans="4:15" ht="15.75">
      <c r="D56" s="360">
        <v>42</v>
      </c>
      <c r="E56" s="364" t="s">
        <v>496</v>
      </c>
      <c r="F56" s="360">
        <f t="shared" si="25"/>
        <v>2015</v>
      </c>
      <c r="G56" s="369">
        <f t="shared" si="23"/>
        <v>23405333</v>
      </c>
      <c r="H56" s="369">
        <f t="shared" si="21"/>
        <v>14306355</v>
      </c>
      <c r="I56" s="369">
        <f t="shared" si="21"/>
        <v>19563077</v>
      </c>
      <c r="J56" s="369">
        <f t="shared" si="24"/>
        <v>33869432</v>
      </c>
      <c r="K56" s="369">
        <f t="shared" si="23"/>
        <v>72835386</v>
      </c>
      <c r="L56" s="369">
        <f t="shared" si="23"/>
        <v>19316798</v>
      </c>
      <c r="M56" s="369">
        <f t="shared" si="22"/>
        <v>317150</v>
      </c>
      <c r="N56" s="369">
        <f t="shared" si="23"/>
        <v>0</v>
      </c>
      <c r="O56" s="369">
        <f t="shared" si="23"/>
        <v>149744099</v>
      </c>
    </row>
    <row r="57" spans="4:15" ht="15.75">
      <c r="D57" s="360">
        <v>43</v>
      </c>
      <c r="E57" s="364" t="s">
        <v>497</v>
      </c>
      <c r="F57" s="360">
        <f t="shared" si="25"/>
        <v>2015</v>
      </c>
      <c r="G57" s="371">
        <f t="shared" si="23"/>
        <v>23175397</v>
      </c>
      <c r="H57" s="371">
        <f t="shared" si="21"/>
        <v>16051341</v>
      </c>
      <c r="I57" s="371">
        <f t="shared" si="21"/>
        <v>19514664</v>
      </c>
      <c r="J57" s="371">
        <f t="shared" si="24"/>
        <v>35566005</v>
      </c>
      <c r="K57" s="371">
        <f t="shared" si="23"/>
        <v>73117299</v>
      </c>
      <c r="L57" s="371">
        <f t="shared" si="23"/>
        <v>19111724</v>
      </c>
      <c r="M57" s="371">
        <f t="shared" si="22"/>
        <v>316073</v>
      </c>
      <c r="N57" s="371">
        <f t="shared" si="23"/>
        <v>0</v>
      </c>
      <c r="O57" s="371">
        <f t="shared" si="23"/>
        <v>151286498</v>
      </c>
    </row>
    <row r="58" spans="4:15">
      <c r="D58" s="360">
        <v>44</v>
      </c>
    </row>
    <row r="59" spans="4:15" ht="17.25">
      <c r="D59" s="360">
        <v>45</v>
      </c>
      <c r="E59" s="356" t="s">
        <v>513</v>
      </c>
      <c r="F59" s="365"/>
      <c r="G59" s="372">
        <f>SUM(G45:G57)/13</f>
        <v>24555013</v>
      </c>
      <c r="H59" s="372">
        <f t="shared" ref="H59:J59" si="26">SUM(H45:H57)/13</f>
        <v>14771331</v>
      </c>
      <c r="I59" s="372">
        <f t="shared" si="26"/>
        <v>6305017.384615385</v>
      </c>
      <c r="J59" s="372">
        <f t="shared" si="26"/>
        <v>21076348.384615384</v>
      </c>
      <c r="K59" s="372">
        <f t="shared" ref="K59:O59" si="27">SUM(K45:K57)/13</f>
        <v>73412822</v>
      </c>
      <c r="L59" s="372">
        <f t="shared" si="27"/>
        <v>20050004.923076924</v>
      </c>
      <c r="M59" s="372">
        <f t="shared" si="27"/>
        <v>322535</v>
      </c>
      <c r="N59" s="372">
        <f t="shared" si="27"/>
        <v>0</v>
      </c>
      <c r="O59" s="372">
        <f t="shared" si="27"/>
        <v>139416723.30769232</v>
      </c>
    </row>
    <row r="61" spans="4:15" ht="6.75" customHeight="1"/>
    <row r="62" spans="4:15" ht="6.75" customHeight="1" thickBot="1"/>
    <row r="63" spans="4:15" ht="15.75" thickBot="1">
      <c r="E63" s="600" t="s">
        <v>861</v>
      </c>
      <c r="F63" s="601"/>
      <c r="G63" s="601"/>
      <c r="H63" s="601"/>
      <c r="I63" s="602">
        <f>I40-I28</f>
        <v>198042</v>
      </c>
    </row>
  </sheetData>
  <printOptions horizontalCentered="1" verticalCentered="1"/>
  <pageMargins left="0.2" right="0.2" top="0.25" bottom="0.25" header="0.3" footer="0.3"/>
  <pageSetup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E3:H19"/>
  <sheetViews>
    <sheetView showGridLines="0" zoomScale="80" zoomScaleNormal="80" workbookViewId="0"/>
  </sheetViews>
  <sheetFormatPr defaultRowHeight="15"/>
  <cols>
    <col min="1" max="2" width="8.88671875" style="354"/>
    <col min="3" max="4" width="1.44140625" style="354" customWidth="1"/>
    <col min="5" max="5" width="8.88671875" style="354"/>
    <col min="6" max="6" width="26.88671875" style="354" customWidth="1"/>
    <col min="7" max="7" width="15.21875" style="354" customWidth="1"/>
    <col min="8" max="9" width="0.88671875" style="354" customWidth="1"/>
    <col min="10" max="16384" width="8.88671875" style="354"/>
  </cols>
  <sheetData>
    <row r="3" spans="5:8" ht="6" customHeight="1"/>
    <row r="4" spans="5:8" ht="6" customHeight="1"/>
    <row r="5" spans="5:8" ht="15.75">
      <c r="E5" s="355" t="str">
        <f>Coversheet!B3</f>
        <v>Rochester Public Utilities</v>
      </c>
      <c r="F5" s="355"/>
      <c r="G5" s="355"/>
      <c r="H5" s="355"/>
    </row>
    <row r="6" spans="5:8" ht="15.75">
      <c r="E6" s="356">
        <f>Coversheet!C5</f>
        <v>2015</v>
      </c>
      <c r="F6" s="355" t="s">
        <v>529</v>
      </c>
      <c r="G6" s="355"/>
      <c r="H6" s="355"/>
    </row>
    <row r="7" spans="5:8" ht="15.75">
      <c r="E7" s="355" t="s">
        <v>499</v>
      </c>
      <c r="F7" s="355"/>
      <c r="G7" s="357">
        <f>Coversheet!C5</f>
        <v>2015</v>
      </c>
      <c r="H7" s="357"/>
    </row>
    <row r="10" spans="5:8" ht="18.75" customHeight="1">
      <c r="F10" s="376" t="s">
        <v>530</v>
      </c>
    </row>
    <row r="11" spans="5:8">
      <c r="F11" s="377" t="s">
        <v>531</v>
      </c>
      <c r="G11" s="369">
        <v>0</v>
      </c>
    </row>
    <row r="12" spans="5:8">
      <c r="F12" s="377" t="s">
        <v>532</v>
      </c>
      <c r="G12" s="369">
        <v>0</v>
      </c>
    </row>
    <row r="13" spans="5:8">
      <c r="F13" s="377" t="s">
        <v>533</v>
      </c>
      <c r="G13" s="369">
        <v>0</v>
      </c>
    </row>
    <row r="14" spans="5:8">
      <c r="F14" s="377" t="s">
        <v>534</v>
      </c>
      <c r="G14" s="369">
        <v>0</v>
      </c>
    </row>
    <row r="15" spans="5:8">
      <c r="F15" s="377" t="s">
        <v>535</v>
      </c>
      <c r="G15" s="371">
        <v>0</v>
      </c>
    </row>
    <row r="16" spans="5:8">
      <c r="G16" s="369"/>
    </row>
    <row r="17" spans="6:7">
      <c r="F17" s="377" t="s">
        <v>536</v>
      </c>
      <c r="G17" s="369">
        <f>SUM(G11:G15)</f>
        <v>0</v>
      </c>
    </row>
    <row r="18" spans="6:7" ht="5.25" customHeight="1"/>
    <row r="19" spans="6:7" ht="5.25" customHeight="1"/>
  </sheetData>
  <pageMargins left="0.7" right="0.7" top="0.75" bottom="0.75" header="0.3" footer="0.3"/>
  <pageSetup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E22"/>
  <sheetViews>
    <sheetView showGridLines="0" zoomScaleNormal="100" workbookViewId="0"/>
  </sheetViews>
  <sheetFormatPr defaultRowHeight="15"/>
  <cols>
    <col min="1" max="1" width="6.21875" style="354" customWidth="1"/>
    <col min="2" max="2" width="8.88671875" style="354"/>
    <col min="3" max="3" width="21.6640625" style="354" customWidth="1"/>
    <col min="4" max="4" width="6.21875" style="354" customWidth="1"/>
    <col min="5" max="5" width="19.33203125" style="354" customWidth="1"/>
    <col min="6" max="16384" width="8.88671875" style="354"/>
  </cols>
  <sheetData>
    <row r="3" spans="2:5" ht="15.75">
      <c r="B3" s="355" t="str">
        <f>Coversheet!B3</f>
        <v>Rochester Public Utilities</v>
      </c>
      <c r="C3" s="355"/>
      <c r="D3" s="355"/>
      <c r="E3" s="355"/>
    </row>
    <row r="4" spans="2:5" ht="15.75">
      <c r="B4" s="356">
        <f>Coversheet!C5</f>
        <v>2015</v>
      </c>
      <c r="C4" s="355" t="s">
        <v>537</v>
      </c>
      <c r="D4" s="355"/>
      <c r="E4" s="355"/>
    </row>
    <row r="5" spans="2:5" ht="15.75">
      <c r="B5" s="355" t="s">
        <v>499</v>
      </c>
      <c r="C5" s="355"/>
      <c r="D5" s="355"/>
      <c r="E5" s="357">
        <f>Coversheet!C5</f>
        <v>2015</v>
      </c>
    </row>
    <row r="6" spans="2:5" ht="15.75">
      <c r="B6" s="355"/>
      <c r="C6" s="355"/>
      <c r="D6" s="355"/>
      <c r="E6" s="357"/>
    </row>
    <row r="7" spans="2:5" s="359" customFormat="1" ht="35.25" customHeight="1">
      <c r="B7" s="358" t="s">
        <v>501</v>
      </c>
      <c r="C7" s="358" t="s">
        <v>502</v>
      </c>
      <c r="D7" s="358" t="s">
        <v>503</v>
      </c>
      <c r="E7" s="358" t="s">
        <v>538</v>
      </c>
    </row>
    <row r="8" spans="2:5" s="359" customFormat="1">
      <c r="B8" s="368">
        <v>1</v>
      </c>
      <c r="C8" s="368" t="s">
        <v>497</v>
      </c>
      <c r="D8" s="368">
        <f>$E$5-1</f>
        <v>2014</v>
      </c>
      <c r="E8" s="375">
        <v>0</v>
      </c>
    </row>
    <row r="9" spans="2:5">
      <c r="B9" s="360">
        <v>2</v>
      </c>
      <c r="C9" s="361" t="s">
        <v>486</v>
      </c>
      <c r="D9" s="360">
        <f t="shared" ref="D9:D20" si="0">$E$5</f>
        <v>2015</v>
      </c>
      <c r="E9" s="375">
        <v>0</v>
      </c>
    </row>
    <row r="10" spans="2:5" ht="15.75">
      <c r="B10" s="360">
        <v>3</v>
      </c>
      <c r="C10" s="364" t="s">
        <v>487</v>
      </c>
      <c r="D10" s="360">
        <f t="shared" si="0"/>
        <v>2015</v>
      </c>
      <c r="E10" s="375">
        <v>0</v>
      </c>
    </row>
    <row r="11" spans="2:5" ht="15.75">
      <c r="B11" s="360">
        <v>4</v>
      </c>
      <c r="C11" s="364" t="s">
        <v>488</v>
      </c>
      <c r="D11" s="360">
        <f t="shared" si="0"/>
        <v>2015</v>
      </c>
      <c r="E11" s="375">
        <v>0</v>
      </c>
    </row>
    <row r="12" spans="2:5" ht="15.75">
      <c r="B12" s="360">
        <v>5</v>
      </c>
      <c r="C12" s="364" t="s">
        <v>489</v>
      </c>
      <c r="D12" s="360">
        <f t="shared" si="0"/>
        <v>2015</v>
      </c>
      <c r="E12" s="375">
        <v>0</v>
      </c>
    </row>
    <row r="13" spans="2:5" ht="15.75">
      <c r="B13" s="360">
        <v>6</v>
      </c>
      <c r="C13" s="364" t="s">
        <v>490</v>
      </c>
      <c r="D13" s="360">
        <f t="shared" si="0"/>
        <v>2015</v>
      </c>
      <c r="E13" s="375">
        <v>0</v>
      </c>
    </row>
    <row r="14" spans="2:5" ht="15.75">
      <c r="B14" s="360">
        <v>7</v>
      </c>
      <c r="C14" s="364" t="s">
        <v>491</v>
      </c>
      <c r="D14" s="360">
        <f t="shared" si="0"/>
        <v>2015</v>
      </c>
      <c r="E14" s="375">
        <v>0</v>
      </c>
    </row>
    <row r="15" spans="2:5" ht="15.75">
      <c r="B15" s="360">
        <v>8</v>
      </c>
      <c r="C15" s="364" t="s">
        <v>492</v>
      </c>
      <c r="D15" s="360">
        <f t="shared" si="0"/>
        <v>2015</v>
      </c>
      <c r="E15" s="375">
        <v>0</v>
      </c>
    </row>
    <row r="16" spans="2:5" ht="15.75">
      <c r="B16" s="360">
        <v>9</v>
      </c>
      <c r="C16" s="364" t="s">
        <v>493</v>
      </c>
      <c r="D16" s="360">
        <f t="shared" si="0"/>
        <v>2015</v>
      </c>
      <c r="E16" s="375">
        <v>0</v>
      </c>
    </row>
    <row r="17" spans="2:5" ht="15.75">
      <c r="B17" s="360">
        <v>10</v>
      </c>
      <c r="C17" s="364" t="s">
        <v>494</v>
      </c>
      <c r="D17" s="360">
        <f t="shared" si="0"/>
        <v>2015</v>
      </c>
      <c r="E17" s="375">
        <v>0</v>
      </c>
    </row>
    <row r="18" spans="2:5" ht="15.75">
      <c r="B18" s="360">
        <v>11</v>
      </c>
      <c r="C18" s="364" t="s">
        <v>495</v>
      </c>
      <c r="D18" s="360">
        <f t="shared" si="0"/>
        <v>2015</v>
      </c>
      <c r="E18" s="375">
        <v>0</v>
      </c>
    </row>
    <row r="19" spans="2:5" ht="15.75">
      <c r="B19" s="360">
        <v>12</v>
      </c>
      <c r="C19" s="364" t="s">
        <v>496</v>
      </c>
      <c r="D19" s="360">
        <f t="shared" si="0"/>
        <v>2015</v>
      </c>
      <c r="E19" s="375">
        <v>0</v>
      </c>
    </row>
    <row r="20" spans="2:5" ht="15.75">
      <c r="B20" s="360">
        <v>13</v>
      </c>
      <c r="C20" s="364" t="s">
        <v>497</v>
      </c>
      <c r="D20" s="360">
        <f t="shared" si="0"/>
        <v>2015</v>
      </c>
      <c r="E20" s="378">
        <v>0</v>
      </c>
    </row>
    <row r="21" spans="2:5">
      <c r="B21" s="360">
        <v>14</v>
      </c>
    </row>
    <row r="22" spans="2:5" ht="15.75">
      <c r="B22" s="360">
        <v>15</v>
      </c>
      <c r="C22" s="356" t="s">
        <v>513</v>
      </c>
      <c r="D22" s="365"/>
      <c r="E22" s="379">
        <f>SUM(E8:E20)/13</f>
        <v>0</v>
      </c>
    </row>
  </sheetData>
  <pageMargins left="0.7" right="0.45" top="0.75" bottom="0.75" header="0.3" footer="0.3"/>
  <pageSetup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H24"/>
  <sheetViews>
    <sheetView showGridLines="0" zoomScaleNormal="100" workbookViewId="0"/>
  </sheetViews>
  <sheetFormatPr defaultRowHeight="15"/>
  <cols>
    <col min="1" max="1" width="4.5546875" style="354" customWidth="1"/>
    <col min="2" max="2" width="8.88671875" style="354"/>
    <col min="3" max="3" width="21.6640625" style="354" customWidth="1"/>
    <col min="4" max="4" width="6.21875" style="354" customWidth="1"/>
    <col min="5" max="5" width="15.44140625" style="354" customWidth="1"/>
    <col min="6" max="6" width="14.6640625" style="354" bestFit="1" customWidth="1"/>
    <col min="7" max="16384" width="8.88671875" style="354"/>
  </cols>
  <sheetData>
    <row r="3" spans="2:8" ht="15.75">
      <c r="B3" s="355" t="str">
        <f>Coversheet!B3</f>
        <v>Rochester Public Utilities</v>
      </c>
      <c r="C3" s="355"/>
      <c r="D3" s="355"/>
      <c r="E3" s="355"/>
      <c r="F3" s="355"/>
    </row>
    <row r="4" spans="2:8" ht="15.75">
      <c r="B4" s="356">
        <f>Coversheet!C5</f>
        <v>2015</v>
      </c>
      <c r="C4" s="355" t="s">
        <v>591</v>
      </c>
      <c r="D4" s="355"/>
      <c r="E4" s="355"/>
      <c r="F4" s="355"/>
    </row>
    <row r="5" spans="2:8" ht="15.75">
      <c r="B5" s="355" t="s">
        <v>499</v>
      </c>
      <c r="C5" s="355"/>
      <c r="D5" s="355"/>
      <c r="E5" s="357">
        <f>Coversheet!C5</f>
        <v>2015</v>
      </c>
    </row>
    <row r="6" spans="2:8" ht="15.75">
      <c r="B6" s="355"/>
      <c r="C6" s="355"/>
      <c r="D6" s="355"/>
      <c r="E6" s="357"/>
      <c r="H6" s="472"/>
    </row>
    <row r="7" spans="2:8" s="359" customFormat="1" ht="46.5" customHeight="1">
      <c r="B7" s="358" t="s">
        <v>501</v>
      </c>
      <c r="C7" s="358" t="s">
        <v>502</v>
      </c>
      <c r="D7" s="358" t="s">
        <v>503</v>
      </c>
      <c r="E7" s="358" t="s">
        <v>592</v>
      </c>
      <c r="F7" s="358" t="s">
        <v>593</v>
      </c>
    </row>
    <row r="8" spans="2:8" s="359" customFormat="1">
      <c r="B8" s="368">
        <v>1</v>
      </c>
      <c r="C8" s="368" t="s">
        <v>497</v>
      </c>
      <c r="D8" s="368">
        <f>$E$5-1</f>
        <v>2014</v>
      </c>
      <c r="E8" s="375">
        <v>250000</v>
      </c>
      <c r="F8" s="375">
        <v>750000</v>
      </c>
    </row>
    <row r="9" spans="2:8">
      <c r="B9" s="360">
        <v>2</v>
      </c>
      <c r="C9" s="361" t="s">
        <v>486</v>
      </c>
      <c r="D9" s="360">
        <f>$E$5</f>
        <v>2015</v>
      </c>
      <c r="E9" s="375">
        <f>E8</f>
        <v>250000</v>
      </c>
      <c r="F9" s="375">
        <f>F8-62500</f>
        <v>687500</v>
      </c>
    </row>
    <row r="10" spans="2:8" ht="15.75">
      <c r="B10" s="360">
        <v>3</v>
      </c>
      <c r="C10" s="364" t="s">
        <v>487</v>
      </c>
      <c r="D10" s="360">
        <f t="shared" ref="D10:D20" si="0">$E$5</f>
        <v>2015</v>
      </c>
      <c r="E10" s="375">
        <f t="shared" ref="E10:E20" si="1">E9</f>
        <v>250000</v>
      </c>
      <c r="F10" s="375">
        <f t="shared" ref="F10:F20" si="2">F9-62500</f>
        <v>625000</v>
      </c>
    </row>
    <row r="11" spans="2:8" ht="15.75">
      <c r="B11" s="360">
        <v>4</v>
      </c>
      <c r="C11" s="364" t="s">
        <v>488</v>
      </c>
      <c r="D11" s="360">
        <f t="shared" si="0"/>
        <v>2015</v>
      </c>
      <c r="E11" s="375">
        <f>E10</f>
        <v>250000</v>
      </c>
      <c r="F11" s="375">
        <f t="shared" si="2"/>
        <v>562500</v>
      </c>
    </row>
    <row r="12" spans="2:8" ht="15.75">
      <c r="B12" s="360">
        <v>5</v>
      </c>
      <c r="C12" s="364" t="s">
        <v>489</v>
      </c>
      <c r="D12" s="360">
        <f t="shared" si="0"/>
        <v>2015</v>
      </c>
      <c r="E12" s="375">
        <f t="shared" si="1"/>
        <v>250000</v>
      </c>
      <c r="F12" s="375">
        <f t="shared" si="2"/>
        <v>500000</v>
      </c>
    </row>
    <row r="13" spans="2:8" ht="15.75">
      <c r="B13" s="360">
        <v>6</v>
      </c>
      <c r="C13" s="364" t="s">
        <v>490</v>
      </c>
      <c r="D13" s="360">
        <f t="shared" si="0"/>
        <v>2015</v>
      </c>
      <c r="E13" s="375">
        <f>E12+5000</f>
        <v>255000</v>
      </c>
      <c r="F13" s="375">
        <f t="shared" si="2"/>
        <v>437500</v>
      </c>
    </row>
    <row r="14" spans="2:8" ht="15.75">
      <c r="B14" s="360">
        <v>7</v>
      </c>
      <c r="C14" s="364" t="s">
        <v>491</v>
      </c>
      <c r="D14" s="360">
        <f t="shared" si="0"/>
        <v>2015</v>
      </c>
      <c r="E14" s="375">
        <f t="shared" si="1"/>
        <v>255000</v>
      </c>
      <c r="F14" s="375">
        <f t="shared" si="2"/>
        <v>375000</v>
      </c>
    </row>
    <row r="15" spans="2:8" ht="15.75">
      <c r="B15" s="360">
        <v>8</v>
      </c>
      <c r="C15" s="364" t="s">
        <v>492</v>
      </c>
      <c r="D15" s="360">
        <f t="shared" si="0"/>
        <v>2015</v>
      </c>
      <c r="E15" s="375">
        <f>E14+5000</f>
        <v>260000</v>
      </c>
      <c r="F15" s="375">
        <f t="shared" si="2"/>
        <v>312500</v>
      </c>
    </row>
    <row r="16" spans="2:8" ht="15.75">
      <c r="B16" s="360">
        <v>9</v>
      </c>
      <c r="C16" s="364" t="s">
        <v>493</v>
      </c>
      <c r="D16" s="360">
        <f t="shared" si="0"/>
        <v>2015</v>
      </c>
      <c r="E16" s="375">
        <f t="shared" si="1"/>
        <v>260000</v>
      </c>
      <c r="F16" s="375">
        <f t="shared" si="2"/>
        <v>250000</v>
      </c>
    </row>
    <row r="17" spans="2:6" ht="15.75">
      <c r="B17" s="360">
        <v>10</v>
      </c>
      <c r="C17" s="364" t="s">
        <v>494</v>
      </c>
      <c r="D17" s="360">
        <f t="shared" si="0"/>
        <v>2015</v>
      </c>
      <c r="E17" s="375">
        <f t="shared" si="1"/>
        <v>260000</v>
      </c>
      <c r="F17" s="375">
        <f t="shared" si="2"/>
        <v>187500</v>
      </c>
    </row>
    <row r="18" spans="2:6" ht="15.75">
      <c r="B18" s="360">
        <v>11</v>
      </c>
      <c r="C18" s="364" t="s">
        <v>495</v>
      </c>
      <c r="D18" s="360">
        <f t="shared" si="0"/>
        <v>2015</v>
      </c>
      <c r="E18" s="375">
        <f>E17+5000</f>
        <v>265000</v>
      </c>
      <c r="F18" s="375">
        <f t="shared" si="2"/>
        <v>125000</v>
      </c>
    </row>
    <row r="19" spans="2:6" ht="15.75">
      <c r="B19" s="360">
        <v>12</v>
      </c>
      <c r="C19" s="364" t="s">
        <v>496</v>
      </c>
      <c r="D19" s="360">
        <f t="shared" si="0"/>
        <v>2015</v>
      </c>
      <c r="E19" s="375">
        <f t="shared" si="1"/>
        <v>265000</v>
      </c>
      <c r="F19" s="375">
        <f t="shared" si="2"/>
        <v>62500</v>
      </c>
    </row>
    <row r="20" spans="2:6" ht="15.75">
      <c r="B20" s="360">
        <v>13</v>
      </c>
      <c r="C20" s="364" t="s">
        <v>497</v>
      </c>
      <c r="D20" s="360">
        <f t="shared" si="0"/>
        <v>2015</v>
      </c>
      <c r="E20" s="375">
        <f t="shared" si="1"/>
        <v>265000</v>
      </c>
      <c r="F20" s="375">
        <f t="shared" si="2"/>
        <v>0</v>
      </c>
    </row>
    <row r="21" spans="2:6">
      <c r="B21" s="360">
        <v>14</v>
      </c>
    </row>
    <row r="22" spans="2:6" ht="17.25">
      <c r="B22" s="360">
        <v>15</v>
      </c>
      <c r="C22" s="356" t="s">
        <v>513</v>
      </c>
      <c r="D22" s="365"/>
      <c r="E22" s="372">
        <f>SUM(E8:E20)/13</f>
        <v>256538.46153846153</v>
      </c>
      <c r="F22" s="372">
        <f t="shared" ref="F22" si="3">SUM(F8:F20)/13</f>
        <v>375000</v>
      </c>
    </row>
    <row r="24" spans="2:6">
      <c r="C24" s="373" t="s">
        <v>514</v>
      </c>
      <c r="D24" s="373"/>
      <c r="E24" s="373" t="s">
        <v>539</v>
      </c>
      <c r="F24" s="373" t="s">
        <v>540</v>
      </c>
    </row>
  </sheetData>
  <pageMargins left="0.7" right="0.7" top="0.75" bottom="0.75" header="0.3" footer="0.3"/>
  <pageSetup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E3:Y39"/>
  <sheetViews>
    <sheetView showGridLines="0" zoomScaleNormal="100" workbookViewId="0">
      <selection activeCell="I21" sqref="I21"/>
    </sheetView>
  </sheetViews>
  <sheetFormatPr defaultRowHeight="15"/>
  <cols>
    <col min="1" max="2" width="8.88671875" style="354"/>
    <col min="3" max="4" width="1.33203125" style="354" customWidth="1"/>
    <col min="5" max="5" width="8.88671875" style="354"/>
    <col min="6" max="6" width="14.5546875" style="354" customWidth="1"/>
    <col min="7" max="7" width="10.33203125" style="354" customWidth="1"/>
    <col min="8" max="8" width="13.5546875" style="354" bestFit="1" customWidth="1"/>
    <col min="9" max="10" width="13.109375" style="354" bestFit="1" customWidth="1"/>
    <col min="11" max="11" width="14.109375" style="354" bestFit="1" customWidth="1"/>
    <col min="12" max="12" width="12.5546875" style="354" bestFit="1" customWidth="1"/>
    <col min="13" max="13" width="11" style="354" bestFit="1" customWidth="1"/>
    <col min="14" max="14" width="11.77734375" style="354" bestFit="1" customWidth="1"/>
    <col min="15" max="15" width="11.5546875" style="354" bestFit="1" customWidth="1"/>
    <col min="16" max="24" width="10" style="354" bestFit="1" customWidth="1"/>
    <col min="25" max="16384" width="8.88671875" style="354"/>
  </cols>
  <sheetData>
    <row r="3" spans="5:11" ht="5.25" customHeight="1"/>
    <row r="4" spans="5:11" ht="5.25" customHeight="1"/>
    <row r="5" spans="5:11" ht="15.75">
      <c r="E5" s="355" t="str">
        <f>Coversheet!B3</f>
        <v>Rochester Public Utilities</v>
      </c>
      <c r="F5" s="355"/>
      <c r="G5" s="355"/>
      <c r="H5" s="355"/>
      <c r="I5" s="355"/>
      <c r="J5" s="355"/>
      <c r="K5" s="355"/>
    </row>
    <row r="6" spans="5:11" ht="15.75">
      <c r="E6" s="356">
        <f>Coversheet!C5</f>
        <v>2015</v>
      </c>
      <c r="F6" s="355" t="s">
        <v>541</v>
      </c>
      <c r="G6" s="355"/>
      <c r="H6" s="355"/>
      <c r="I6" s="355"/>
      <c r="J6" s="355"/>
      <c r="K6" s="355"/>
    </row>
    <row r="7" spans="5:11" ht="15.75">
      <c r="E7" s="355" t="s">
        <v>499</v>
      </c>
      <c r="F7" s="355"/>
      <c r="G7" s="355"/>
      <c r="H7" s="357">
        <f>Coversheet!C5</f>
        <v>2015</v>
      </c>
      <c r="I7" s="357"/>
      <c r="J7" s="357"/>
    </row>
    <row r="8" spans="5:11" ht="15.75">
      <c r="E8" s="355"/>
      <c r="F8" s="355"/>
      <c r="G8" s="355"/>
      <c r="H8" s="357"/>
      <c r="I8" s="357"/>
      <c r="J8" s="357"/>
    </row>
    <row r="9" spans="5:11" s="359" customFormat="1" ht="62.25" customHeight="1">
      <c r="E9" s="358" t="s">
        <v>501</v>
      </c>
      <c r="F9" s="358" t="s">
        <v>502</v>
      </c>
      <c r="G9" s="358" t="s">
        <v>503</v>
      </c>
      <c r="H9" s="358" t="s">
        <v>542</v>
      </c>
      <c r="I9" s="358" t="s">
        <v>768</v>
      </c>
      <c r="J9" s="358" t="s">
        <v>769</v>
      </c>
      <c r="K9" s="358" t="s">
        <v>740</v>
      </c>
    </row>
    <row r="10" spans="5:11" s="359" customFormat="1">
      <c r="E10" s="368">
        <v>1</v>
      </c>
      <c r="F10" s="368" t="s">
        <v>497</v>
      </c>
      <c r="G10" s="368">
        <f>$H$7-1</f>
        <v>2014</v>
      </c>
      <c r="H10" s="375">
        <v>111425000</v>
      </c>
      <c r="I10" s="479">
        <v>6893671</v>
      </c>
      <c r="J10" s="479">
        <v>115299</v>
      </c>
      <c r="K10" s="375">
        <v>122591311</v>
      </c>
    </row>
    <row r="11" spans="5:11">
      <c r="E11" s="360">
        <v>2</v>
      </c>
      <c r="F11" s="361" t="s">
        <v>486</v>
      </c>
      <c r="G11" s="360">
        <f>$H$7</f>
        <v>2015</v>
      </c>
      <c r="H11" s="375">
        <f>H10</f>
        <v>111425000</v>
      </c>
      <c r="I11" s="479">
        <v>6844802</v>
      </c>
      <c r="J11" s="479">
        <v>114249</v>
      </c>
      <c r="K11" s="375">
        <v>122839874</v>
      </c>
    </row>
    <row r="12" spans="5:11" ht="15.75">
      <c r="E12" s="360">
        <v>3</v>
      </c>
      <c r="F12" s="364" t="s">
        <v>487</v>
      </c>
      <c r="G12" s="360">
        <f t="shared" ref="G12:G22" si="0">$H$7</f>
        <v>2015</v>
      </c>
      <c r="H12" s="375">
        <f t="shared" ref="H12:H21" si="1">H11</f>
        <v>111425000</v>
      </c>
      <c r="I12" s="479">
        <v>6795825</v>
      </c>
      <c r="J12" s="479">
        <v>113196</v>
      </c>
      <c r="K12" s="375">
        <v>123088438</v>
      </c>
    </row>
    <row r="13" spans="5:11" ht="15.75">
      <c r="E13" s="360">
        <v>4</v>
      </c>
      <c r="F13" s="364" t="s">
        <v>488</v>
      </c>
      <c r="G13" s="360">
        <f t="shared" si="0"/>
        <v>2015</v>
      </c>
      <c r="H13" s="375">
        <f t="shared" si="1"/>
        <v>111425000</v>
      </c>
      <c r="I13" s="479">
        <v>6746738</v>
      </c>
      <c r="J13" s="479">
        <v>112139</v>
      </c>
      <c r="K13" s="375">
        <v>123337001</v>
      </c>
    </row>
    <row r="14" spans="5:11" ht="15.75">
      <c r="E14" s="360">
        <v>5</v>
      </c>
      <c r="F14" s="364" t="s">
        <v>489</v>
      </c>
      <c r="G14" s="360">
        <f t="shared" si="0"/>
        <v>2015</v>
      </c>
      <c r="H14" s="375">
        <f t="shared" si="1"/>
        <v>111425000</v>
      </c>
      <c r="I14" s="479">
        <v>6697541</v>
      </c>
      <c r="J14" s="479">
        <v>111079</v>
      </c>
      <c r="K14" s="375">
        <v>123585565</v>
      </c>
    </row>
    <row r="15" spans="5:11" ht="15.75">
      <c r="E15" s="360">
        <v>6</v>
      </c>
      <c r="F15" s="364" t="s">
        <v>490</v>
      </c>
      <c r="G15" s="360">
        <f t="shared" si="0"/>
        <v>2015</v>
      </c>
      <c r="H15" s="375">
        <f t="shared" si="1"/>
        <v>111425000</v>
      </c>
      <c r="I15" s="479">
        <v>6648235</v>
      </c>
      <c r="J15" s="479">
        <v>110014</v>
      </c>
      <c r="K15" s="375">
        <v>123834128</v>
      </c>
    </row>
    <row r="16" spans="5:11" ht="15.75">
      <c r="E16" s="360">
        <v>7</v>
      </c>
      <c r="F16" s="364" t="s">
        <v>491</v>
      </c>
      <c r="G16" s="360">
        <f t="shared" si="0"/>
        <v>2015</v>
      </c>
      <c r="H16" s="375">
        <f t="shared" si="1"/>
        <v>111425000</v>
      </c>
      <c r="I16" s="479">
        <v>6598819</v>
      </c>
      <c r="J16" s="479">
        <v>108947</v>
      </c>
      <c r="K16" s="375">
        <v>124082692</v>
      </c>
    </row>
    <row r="17" spans="5:25" ht="15.75">
      <c r="E17" s="360">
        <v>8</v>
      </c>
      <c r="F17" s="364" t="s">
        <v>492</v>
      </c>
      <c r="G17" s="360">
        <f t="shared" si="0"/>
        <v>2015</v>
      </c>
      <c r="H17" s="375">
        <f t="shared" si="1"/>
        <v>111425000</v>
      </c>
      <c r="I17" s="479">
        <v>6549293</v>
      </c>
      <c r="J17" s="479">
        <v>107875</v>
      </c>
      <c r="K17" s="375">
        <v>124331255</v>
      </c>
    </row>
    <row r="18" spans="5:25" ht="15.75">
      <c r="E18" s="360">
        <v>9</v>
      </c>
      <c r="F18" s="364" t="s">
        <v>493</v>
      </c>
      <c r="G18" s="360">
        <f t="shared" si="0"/>
        <v>2015</v>
      </c>
      <c r="H18" s="375">
        <f t="shared" si="1"/>
        <v>111425000</v>
      </c>
      <c r="I18" s="479">
        <v>6499655</v>
      </c>
      <c r="J18" s="479">
        <v>106799</v>
      </c>
      <c r="K18" s="375">
        <v>124579819</v>
      </c>
    </row>
    <row r="19" spans="5:25" ht="15.75">
      <c r="E19" s="360">
        <v>10</v>
      </c>
      <c r="F19" s="364" t="s">
        <v>494</v>
      </c>
      <c r="G19" s="360">
        <f t="shared" si="0"/>
        <v>2015</v>
      </c>
      <c r="H19" s="375">
        <f t="shared" si="1"/>
        <v>111425000</v>
      </c>
      <c r="I19" s="479">
        <v>6449907</v>
      </c>
      <c r="J19" s="479">
        <v>105720</v>
      </c>
      <c r="K19" s="375">
        <v>124828382</v>
      </c>
    </row>
    <row r="20" spans="5:25" ht="15.75">
      <c r="E20" s="360">
        <v>11</v>
      </c>
      <c r="F20" s="364" t="s">
        <v>495</v>
      </c>
      <c r="G20" s="360">
        <f t="shared" si="0"/>
        <v>2015</v>
      </c>
      <c r="H20" s="375">
        <f t="shared" si="1"/>
        <v>111425000</v>
      </c>
      <c r="I20" s="479">
        <v>6400048</v>
      </c>
      <c r="J20" s="479">
        <v>104637</v>
      </c>
      <c r="K20" s="375">
        <v>125076946</v>
      </c>
    </row>
    <row r="21" spans="5:25" ht="15.75">
      <c r="E21" s="360">
        <v>12</v>
      </c>
      <c r="F21" s="364" t="s">
        <v>496</v>
      </c>
      <c r="G21" s="360">
        <f t="shared" si="0"/>
        <v>2015</v>
      </c>
      <c r="H21" s="375">
        <f t="shared" si="1"/>
        <v>111425000</v>
      </c>
      <c r="I21" s="479">
        <v>6350077</v>
      </c>
      <c r="J21" s="479">
        <v>103550</v>
      </c>
      <c r="K21" s="375">
        <v>125325509</v>
      </c>
    </row>
    <row r="22" spans="5:25" ht="15.75">
      <c r="E22" s="360">
        <v>13</v>
      </c>
      <c r="F22" s="364" t="s">
        <v>497</v>
      </c>
      <c r="G22" s="360">
        <f t="shared" si="0"/>
        <v>2015</v>
      </c>
      <c r="H22" s="478">
        <v>107660000</v>
      </c>
      <c r="I22" s="478">
        <v>6304788</v>
      </c>
      <c r="J22" s="478">
        <v>102460</v>
      </c>
      <c r="K22" s="375">
        <v>125574073</v>
      </c>
    </row>
    <row r="23" spans="5:25">
      <c r="E23" s="360">
        <v>14</v>
      </c>
      <c r="F23" s="373" t="s">
        <v>715</v>
      </c>
      <c r="G23" s="373"/>
      <c r="H23" s="373" t="s">
        <v>716</v>
      </c>
      <c r="I23" s="484" t="s">
        <v>770</v>
      </c>
      <c r="J23" s="484" t="s">
        <v>717</v>
      </c>
      <c r="K23" s="604" t="s">
        <v>774</v>
      </c>
      <c r="L23" s="369"/>
      <c r="M23" s="369"/>
      <c r="N23" s="369"/>
      <c r="O23" s="369"/>
      <c r="P23" s="369"/>
      <c r="Q23" s="369"/>
    </row>
    <row r="24" spans="5:25" ht="17.25">
      <c r="E24" s="360">
        <v>15</v>
      </c>
      <c r="F24" s="356" t="s">
        <v>513</v>
      </c>
      <c r="G24" s="365"/>
      <c r="H24" s="372">
        <f>SUM(H10:H22)/13</f>
        <v>111135384.61538461</v>
      </c>
      <c r="I24" s="372">
        <f>SUM(I10:I22)/13</f>
        <v>6598415.307692308</v>
      </c>
      <c r="J24" s="372">
        <f>SUM(J10:J22)/13</f>
        <v>108920.30769230769</v>
      </c>
      <c r="K24" s="372">
        <f t="shared" ref="K24" si="2">SUM(K10:K22)/13</f>
        <v>124082691.76923077</v>
      </c>
    </row>
    <row r="25" spans="5:25">
      <c r="K25" s="374"/>
    </row>
    <row r="26" spans="5:25">
      <c r="F26" s="373" t="s">
        <v>771</v>
      </c>
      <c r="G26" s="373"/>
      <c r="H26" s="373" t="s">
        <v>772</v>
      </c>
      <c r="I26" s="373" t="s">
        <v>772</v>
      </c>
      <c r="J26" s="373" t="s">
        <v>772</v>
      </c>
      <c r="K26" s="373" t="s">
        <v>773</v>
      </c>
      <c r="L26" s="369"/>
      <c r="M26" s="369"/>
      <c r="N26" s="369"/>
      <c r="O26" s="369"/>
      <c r="P26" s="369"/>
      <c r="Q26" s="369"/>
    </row>
    <row r="27" spans="5:25" ht="7.5" customHeight="1">
      <c r="F27" s="374"/>
      <c r="K27" s="374"/>
    </row>
    <row r="28" spans="5:25" ht="7.5" customHeight="1">
      <c r="F28" s="374"/>
      <c r="G28" s="374"/>
      <c r="H28" s="374"/>
      <c r="I28" s="374"/>
      <c r="J28" s="374"/>
      <c r="K28" s="374"/>
      <c r="L28" s="374"/>
      <c r="M28" s="374"/>
      <c r="N28" s="374"/>
      <c r="O28" s="374"/>
      <c r="P28" s="374"/>
    </row>
    <row r="31" spans="5:25">
      <c r="L31"/>
      <c r="M31"/>
      <c r="N31"/>
      <c r="O31"/>
      <c r="P31"/>
      <c r="Q31"/>
      <c r="R31"/>
      <c r="S31"/>
      <c r="T31"/>
      <c r="U31"/>
      <c r="V31"/>
      <c r="W31"/>
      <c r="X31"/>
      <c r="Y31"/>
    </row>
    <row r="32" spans="5:25">
      <c r="L32"/>
      <c r="M32"/>
      <c r="N32"/>
      <c r="O32"/>
      <c r="P32"/>
      <c r="Q32"/>
      <c r="R32"/>
      <c r="S32"/>
      <c r="T32"/>
      <c r="U32"/>
      <c r="V32"/>
      <c r="W32"/>
      <c r="X32"/>
      <c r="Y32"/>
    </row>
    <row r="33" spans="8:25">
      <c r="L33"/>
      <c r="M33"/>
      <c r="N33"/>
      <c r="O33"/>
      <c r="P33"/>
      <c r="Q33"/>
      <c r="R33"/>
      <c r="S33"/>
      <c r="T33"/>
      <c r="U33"/>
      <c r="V33"/>
      <c r="W33"/>
      <c r="X33"/>
      <c r="Y33"/>
    </row>
    <row r="34" spans="8:25">
      <c r="L34"/>
      <c r="M34"/>
      <c r="N34"/>
      <c r="O34"/>
      <c r="P34"/>
      <c r="Q34"/>
      <c r="R34"/>
      <c r="S34"/>
      <c r="T34"/>
      <c r="U34"/>
      <c r="V34"/>
      <c r="W34"/>
      <c r="X34"/>
      <c r="Y34"/>
    </row>
    <row r="35" spans="8:25">
      <c r="L35"/>
      <c r="M35"/>
      <c r="N35"/>
      <c r="O35"/>
      <c r="P35"/>
      <c r="Q35"/>
      <c r="R35"/>
      <c r="S35"/>
      <c r="T35"/>
      <c r="U35"/>
      <c r="V35"/>
      <c r="W35"/>
      <c r="X35"/>
      <c r="Y35"/>
    </row>
    <row r="36" spans="8:25">
      <c r="L36"/>
      <c r="M36"/>
      <c r="N36"/>
      <c r="O36"/>
      <c r="P36"/>
      <c r="Q36"/>
      <c r="R36"/>
      <c r="S36"/>
      <c r="T36"/>
      <c r="U36"/>
      <c r="V36"/>
      <c r="W36"/>
      <c r="X36"/>
      <c r="Y36"/>
    </row>
    <row r="37" spans="8:25">
      <c r="L37"/>
      <c r="M37"/>
      <c r="N37"/>
      <c r="O37"/>
      <c r="P37"/>
      <c r="Q37"/>
      <c r="R37"/>
      <c r="S37"/>
      <c r="T37"/>
      <c r="U37"/>
      <c r="V37"/>
      <c r="W37"/>
      <c r="X37"/>
      <c r="Y37"/>
    </row>
    <row r="38" spans="8:25">
      <c r="L38"/>
      <c r="M38"/>
      <c r="N38"/>
      <c r="O38"/>
      <c r="P38"/>
      <c r="Q38"/>
      <c r="R38"/>
      <c r="S38"/>
      <c r="T38"/>
      <c r="U38"/>
      <c r="V38"/>
      <c r="W38"/>
      <c r="X38"/>
      <c r="Y38"/>
    </row>
    <row r="39" spans="8:25">
      <c r="H39" s="486"/>
    </row>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74"/>
  <sheetViews>
    <sheetView zoomScale="80" zoomScaleNormal="80" zoomScaleSheetLayoutView="100" workbookViewId="0"/>
  </sheetViews>
  <sheetFormatPr defaultRowHeight="15"/>
  <cols>
    <col min="1" max="1" width="61.77734375" style="352" customWidth="1"/>
    <col min="2" max="2" width="7.88671875" style="352" customWidth="1"/>
    <col min="3" max="3" width="12.44140625" style="352" bestFit="1" customWidth="1"/>
    <col min="4" max="16384" width="8.88671875" style="352"/>
  </cols>
  <sheetData>
    <row r="1" spans="1:4" ht="23.25">
      <c r="A1" s="412" t="str">
        <f>Coversheet!B3</f>
        <v>Rochester Public Utilities</v>
      </c>
      <c r="B1" s="415"/>
      <c r="C1" s="405"/>
      <c r="D1" s="405"/>
    </row>
    <row r="2" spans="1:4" ht="23.25">
      <c r="A2" s="412" t="str">
        <f>'Capital Structure'!E7</f>
        <v>Forecasted 12 Months Ended December 31,</v>
      </c>
      <c r="B2" s="414">
        <f>'Capital Structure'!H7</f>
        <v>2015</v>
      </c>
      <c r="C2" s="405"/>
      <c r="D2" s="405"/>
    </row>
    <row r="4" spans="1:4" ht="15.75">
      <c r="A4" s="380" t="s">
        <v>543</v>
      </c>
      <c r="C4" s="381" t="s">
        <v>7</v>
      </c>
    </row>
    <row r="5" spans="1:4" ht="15.75">
      <c r="A5" s="382" t="s">
        <v>452</v>
      </c>
      <c r="B5" s="383"/>
    </row>
    <row r="6" spans="1:4" ht="15.75">
      <c r="A6" s="384" t="s">
        <v>544</v>
      </c>
      <c r="B6" s="383"/>
      <c r="C6" s="474">
        <v>92278</v>
      </c>
    </row>
    <row r="7" spans="1:4" ht="15.75">
      <c r="A7" s="384" t="s">
        <v>545</v>
      </c>
      <c r="B7" s="383"/>
      <c r="C7" s="640">
        <v>0</v>
      </c>
    </row>
    <row r="8" spans="1:4" ht="15.75">
      <c r="A8" s="384" t="s">
        <v>546</v>
      </c>
      <c r="B8" s="383"/>
      <c r="C8" s="640">
        <v>110929</v>
      </c>
      <c r="D8" s="352" t="s">
        <v>547</v>
      </c>
    </row>
    <row r="9" spans="1:4" ht="15.75">
      <c r="A9" s="384" t="s">
        <v>548</v>
      </c>
      <c r="B9" s="383"/>
      <c r="C9" s="640">
        <v>246300</v>
      </c>
      <c r="D9" s="352" t="s">
        <v>547</v>
      </c>
    </row>
    <row r="10" spans="1:4" ht="15.75">
      <c r="A10" s="384" t="s">
        <v>549</v>
      </c>
      <c r="B10" s="383"/>
      <c r="C10" s="640">
        <v>8741</v>
      </c>
      <c r="D10" s="352" t="s">
        <v>547</v>
      </c>
    </row>
    <row r="11" spans="1:4" ht="15.75">
      <c r="A11" s="384" t="s">
        <v>550</v>
      </c>
      <c r="B11" s="383"/>
      <c r="C11" s="640">
        <v>28057</v>
      </c>
      <c r="D11" s="352" t="s">
        <v>551</v>
      </c>
    </row>
    <row r="12" spans="1:4" ht="15.75">
      <c r="A12" s="384" t="s">
        <v>552</v>
      </c>
      <c r="B12" s="383"/>
      <c r="C12" s="640">
        <v>191188</v>
      </c>
    </row>
    <row r="13" spans="1:4" ht="15.75">
      <c r="A13" s="384" t="s">
        <v>553</v>
      </c>
      <c r="B13" s="383"/>
      <c r="C13" s="640">
        <v>46433</v>
      </c>
    </row>
    <row r="14" spans="1:4" ht="15.75">
      <c r="A14" s="384" t="s">
        <v>554</v>
      </c>
      <c r="B14" s="383"/>
      <c r="C14" s="640">
        <v>0</v>
      </c>
    </row>
    <row r="15" spans="1:4" ht="15.75">
      <c r="A15" s="384" t="s">
        <v>555</v>
      </c>
      <c r="B15" s="383"/>
      <c r="C15" s="640">
        <v>0</v>
      </c>
      <c r="D15" s="352" t="s">
        <v>551</v>
      </c>
    </row>
    <row r="16" spans="1:4" ht="15.75">
      <c r="A16" s="384" t="s">
        <v>556</v>
      </c>
      <c r="B16" s="383"/>
      <c r="C16" s="640">
        <v>13291</v>
      </c>
    </row>
    <row r="17" spans="1:4" ht="15.75">
      <c r="A17" s="384" t="s">
        <v>557</v>
      </c>
      <c r="B17" s="383"/>
      <c r="C17" s="640">
        <v>6950</v>
      </c>
    </row>
    <row r="18" spans="1:4" ht="15.75">
      <c r="A18" s="384" t="s">
        <v>558</v>
      </c>
      <c r="B18" s="383"/>
      <c r="C18" s="640">
        <v>0</v>
      </c>
    </row>
    <row r="19" spans="1:4" ht="15.75">
      <c r="A19" s="384" t="s">
        <v>559</v>
      </c>
      <c r="B19" s="383"/>
      <c r="C19" s="640">
        <v>7046353</v>
      </c>
      <c r="D19" s="352" t="s">
        <v>560</v>
      </c>
    </row>
    <row r="20" spans="1:4" ht="15.75">
      <c r="A20" s="384" t="s">
        <v>561</v>
      </c>
      <c r="B20" s="383"/>
      <c r="C20" s="640">
        <v>30646</v>
      </c>
    </row>
    <row r="21" spans="1:4" ht="15" customHeight="1" thickBot="1">
      <c r="A21" s="384" t="s">
        <v>562</v>
      </c>
      <c r="B21" s="383"/>
      <c r="C21" s="641">
        <v>0</v>
      </c>
    </row>
    <row r="22" spans="1:4" ht="15" customHeight="1">
      <c r="A22" s="432" t="s">
        <v>713</v>
      </c>
      <c r="B22" s="383"/>
      <c r="C22" s="489">
        <f>SUM(C6:C21)</f>
        <v>7821166</v>
      </c>
    </row>
    <row r="23" spans="1:4" ht="15.75">
      <c r="A23" s="382" t="s">
        <v>453</v>
      </c>
      <c r="B23" s="383"/>
      <c r="C23" s="489"/>
    </row>
    <row r="24" spans="1:4" ht="15.75">
      <c r="A24" s="384" t="s">
        <v>563</v>
      </c>
      <c r="B24" s="383"/>
      <c r="C24" s="640">
        <v>5297</v>
      </c>
    </row>
    <row r="25" spans="1:4" ht="15.75">
      <c r="A25" s="384" t="s">
        <v>564</v>
      </c>
      <c r="B25" s="383"/>
      <c r="C25" s="640">
        <v>0</v>
      </c>
    </row>
    <row r="26" spans="1:4" ht="15.75">
      <c r="A26" s="384" t="s">
        <v>565</v>
      </c>
      <c r="B26" s="383"/>
      <c r="C26" s="640">
        <v>0</v>
      </c>
    </row>
    <row r="27" spans="1:4" ht="15.75">
      <c r="A27" s="384" t="s">
        <v>566</v>
      </c>
      <c r="B27" s="383"/>
      <c r="C27" s="640">
        <v>0</v>
      </c>
    </row>
    <row r="28" spans="1:4" ht="15.75">
      <c r="A28" s="384" t="s">
        <v>567</v>
      </c>
      <c r="B28" s="383"/>
      <c r="C28" s="640">
        <v>0</v>
      </c>
    </row>
    <row r="29" spans="1:4" ht="15.75">
      <c r="A29" s="384" t="s">
        <v>568</v>
      </c>
      <c r="B29" s="383"/>
      <c r="C29" s="640">
        <v>0</v>
      </c>
    </row>
    <row r="30" spans="1:4" ht="15.75">
      <c r="A30" s="384" t="s">
        <v>569</v>
      </c>
      <c r="B30" s="383"/>
      <c r="C30" s="640">
        <v>54643</v>
      </c>
    </row>
    <row r="31" spans="1:4" ht="15.75">
      <c r="A31" s="384" t="s">
        <v>570</v>
      </c>
      <c r="B31" s="383"/>
      <c r="C31" s="640">
        <v>29437</v>
      </c>
    </row>
    <row r="32" spans="1:4" ht="15.75">
      <c r="A32" s="384" t="s">
        <v>571</v>
      </c>
      <c r="B32" s="383"/>
      <c r="C32" s="640">
        <v>0</v>
      </c>
    </row>
    <row r="33" spans="1:4" ht="15.75">
      <c r="A33" s="384" t="s">
        <v>572</v>
      </c>
      <c r="B33" s="383"/>
      <c r="C33" s="642">
        <v>0</v>
      </c>
    </row>
    <row r="34" spans="1:4" ht="15.75">
      <c r="A34" s="432" t="s">
        <v>714</v>
      </c>
      <c r="B34" s="383"/>
      <c r="C34" s="490">
        <f>SUM(C24:C33)</f>
        <v>89377</v>
      </c>
    </row>
    <row r="35" spans="1:4" ht="18">
      <c r="A35" s="384"/>
      <c r="B35" s="383"/>
      <c r="C35" s="491"/>
    </row>
    <row r="37" spans="1:4" ht="15.75">
      <c r="A37" s="384" t="s">
        <v>594</v>
      </c>
      <c r="C37" s="404">
        <f>C22+C34</f>
        <v>7910543</v>
      </c>
      <c r="D37" s="352" t="s">
        <v>573</v>
      </c>
    </row>
    <row r="40" spans="1:4">
      <c r="A40" s="386" t="s">
        <v>595</v>
      </c>
    </row>
    <row r="41" spans="1:4">
      <c r="A41" s="387" t="s">
        <v>596</v>
      </c>
      <c r="C41" s="450" t="s">
        <v>765</v>
      </c>
    </row>
    <row r="42" spans="1:4">
      <c r="A42" s="387" t="s">
        <v>597</v>
      </c>
    </row>
    <row r="43" spans="1:4">
      <c r="A43" s="387" t="s">
        <v>598</v>
      </c>
    </row>
    <row r="44" spans="1:4">
      <c r="A44" s="388" t="s">
        <v>599</v>
      </c>
    </row>
    <row r="45" spans="1:4">
      <c r="A45" s="387" t="s">
        <v>600</v>
      </c>
    </row>
    <row r="46" spans="1:4">
      <c r="A46" s="388" t="s">
        <v>599</v>
      </c>
    </row>
    <row r="47" spans="1:4">
      <c r="A47" s="389" t="s">
        <v>601</v>
      </c>
    </row>
    <row r="48" spans="1:4" ht="15.75">
      <c r="A48" s="480" t="s">
        <v>766</v>
      </c>
      <c r="B48" s="450"/>
      <c r="C48" s="482">
        <v>6894720</v>
      </c>
    </row>
    <row r="49" spans="1:3" ht="15.75">
      <c r="A49" s="480" t="s">
        <v>767</v>
      </c>
      <c r="B49" s="450"/>
      <c r="C49" s="482">
        <v>151633</v>
      </c>
    </row>
    <row r="50" spans="1:3" ht="15.75">
      <c r="A50" s="481"/>
      <c r="B50" s="450"/>
      <c r="C50" s="483">
        <f>SUM(C48:C49)</f>
        <v>7046353</v>
      </c>
    </row>
    <row r="51" spans="1:3" ht="15.75">
      <c r="A51" s="384"/>
    </row>
    <row r="52" spans="1:3" ht="15.75">
      <c r="A52" s="384"/>
    </row>
    <row r="53" spans="1:3" ht="15.75">
      <c r="A53" s="384"/>
    </row>
    <row r="54" spans="1:3" ht="15.75">
      <c r="A54" s="384"/>
    </row>
    <row r="55" spans="1:3" ht="15.75">
      <c r="A55" s="390"/>
    </row>
    <row r="56" spans="1:3" ht="15.75">
      <c r="A56" s="384"/>
    </row>
    <row r="57" spans="1:3" ht="15.75">
      <c r="A57" s="384"/>
    </row>
    <row r="58" spans="1:3" ht="15.75">
      <c r="A58" s="384"/>
    </row>
    <row r="59" spans="1:3" ht="15.75">
      <c r="A59" s="384"/>
    </row>
    <row r="60" spans="1:3" ht="15.75">
      <c r="A60" s="390"/>
    </row>
    <row r="61" spans="1:3" ht="15.75">
      <c r="A61" s="384"/>
    </row>
    <row r="62" spans="1:3" ht="15.75">
      <c r="A62" s="384"/>
    </row>
    <row r="63" spans="1:3" ht="15.75">
      <c r="A63" s="384"/>
    </row>
    <row r="64" spans="1:3" ht="15.75">
      <c r="A64" s="384"/>
    </row>
    <row r="65" spans="1:1" ht="15.75">
      <c r="A65" s="384"/>
    </row>
    <row r="66" spans="1:1" ht="15.75">
      <c r="A66" s="384"/>
    </row>
    <row r="67" spans="1:1" ht="15.75">
      <c r="A67" s="384"/>
    </row>
    <row r="68" spans="1:1" ht="15.75">
      <c r="A68" s="384"/>
    </row>
    <row r="69" spans="1:1" ht="15.75">
      <c r="A69" s="384"/>
    </row>
    <row r="70" spans="1:1" ht="15.75">
      <c r="A70" s="384"/>
    </row>
    <row r="71" spans="1:1" ht="15.75">
      <c r="A71" s="384"/>
    </row>
    <row r="72" spans="1:1" ht="15.75">
      <c r="A72" s="384"/>
    </row>
    <row r="73" spans="1:1" ht="15.75">
      <c r="A73" s="384"/>
    </row>
    <row r="74" spans="1:1" ht="15.75">
      <c r="A74" s="384"/>
    </row>
  </sheetData>
  <pageMargins left="0.45" right="0.2" top="0.75" bottom="0.5" header="0.3" footer="0.3"/>
  <pageSetup scale="67" orientation="landscape"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9"/>
  <sheetViews>
    <sheetView zoomScale="70" zoomScaleNormal="70" zoomScaleSheetLayoutView="100" workbookViewId="0"/>
  </sheetViews>
  <sheetFormatPr defaultRowHeight="15"/>
  <cols>
    <col min="1" max="1" width="54.88671875" style="352" customWidth="1"/>
    <col min="2" max="2" width="10.33203125" style="352" customWidth="1"/>
    <col min="3" max="3" width="14.5546875" style="352" bestFit="1" customWidth="1"/>
    <col min="4" max="16384" width="8.88671875" style="352"/>
  </cols>
  <sheetData>
    <row r="1" spans="1:4" ht="23.25">
      <c r="A1" s="412" t="str">
        <f>Coversheet!B3</f>
        <v>Rochester Public Utilities</v>
      </c>
      <c r="B1" s="415"/>
      <c r="C1" s="405"/>
      <c r="D1" s="405"/>
    </row>
    <row r="2" spans="1:4" ht="23.25">
      <c r="A2" s="412" t="str">
        <f>'Transmission O&amp;M'!A2</f>
        <v>Forecasted 12 Months Ended December 31,</v>
      </c>
      <c r="B2" s="414">
        <f>'Transmission O&amp;M'!B2</f>
        <v>2015</v>
      </c>
      <c r="C2" s="405"/>
      <c r="D2" s="405"/>
    </row>
    <row r="3" spans="1:4" ht="18.75">
      <c r="A3" s="350"/>
    </row>
    <row r="4" spans="1:4" ht="18.75">
      <c r="A4" s="350"/>
    </row>
    <row r="5" spans="1:4" ht="15.75">
      <c r="A5" s="380" t="s">
        <v>602</v>
      </c>
      <c r="C5" s="381" t="s">
        <v>7</v>
      </c>
    </row>
    <row r="6" spans="1:4" ht="15.75">
      <c r="A6" s="380"/>
      <c r="D6" s="381"/>
    </row>
    <row r="7" spans="1:4" ht="15.75">
      <c r="A7" s="390" t="s">
        <v>603</v>
      </c>
      <c r="B7" s="383"/>
      <c r="C7" s="395"/>
    </row>
    <row r="8" spans="1:4" ht="15.75">
      <c r="A8" s="384" t="s">
        <v>604</v>
      </c>
      <c r="B8" s="383"/>
      <c r="C8" s="395">
        <v>31799</v>
      </c>
    </row>
    <row r="9" spans="1:4" ht="15.75">
      <c r="A9" s="384" t="s">
        <v>605</v>
      </c>
      <c r="B9" s="383"/>
      <c r="C9" s="489">
        <v>149208</v>
      </c>
    </row>
    <row r="10" spans="1:4" ht="15.75">
      <c r="A10" s="384" t="s">
        <v>606</v>
      </c>
      <c r="B10" s="383"/>
      <c r="C10" s="489">
        <v>1660977</v>
      </c>
    </row>
    <row r="11" spans="1:4" ht="15.75">
      <c r="A11" s="384" t="s">
        <v>607</v>
      </c>
      <c r="B11" s="383"/>
      <c r="C11" s="489">
        <v>208080</v>
      </c>
    </row>
    <row r="12" spans="1:4" ht="15.75">
      <c r="A12" s="384" t="s">
        <v>608</v>
      </c>
      <c r="B12" s="383"/>
      <c r="C12" s="489">
        <v>0</v>
      </c>
    </row>
    <row r="13" spans="1:4" ht="15.75">
      <c r="A13" s="391" t="s">
        <v>609</v>
      </c>
      <c r="B13" s="383"/>
      <c r="C13" s="492">
        <f>SUM(C7:C12)</f>
        <v>2050064</v>
      </c>
      <c r="D13" s="352" t="s">
        <v>610</v>
      </c>
    </row>
    <row r="14" spans="1:4" ht="15.75">
      <c r="A14" s="384"/>
      <c r="B14" s="383"/>
      <c r="C14" s="385"/>
    </row>
    <row r="15" spans="1:4" ht="15.75">
      <c r="A15" s="390" t="s">
        <v>611</v>
      </c>
      <c r="B15" s="383"/>
      <c r="C15" s="385"/>
    </row>
    <row r="16" spans="1:4" ht="15.75">
      <c r="A16" s="384" t="s">
        <v>612</v>
      </c>
      <c r="B16" s="383"/>
      <c r="C16" s="395">
        <v>0</v>
      </c>
    </row>
    <row r="17" spans="1:4" ht="15.75">
      <c r="A17" s="384" t="s">
        <v>613</v>
      </c>
      <c r="B17" s="383"/>
      <c r="C17" s="489">
        <v>1471015</v>
      </c>
    </row>
    <row r="18" spans="1:4" ht="15.75">
      <c r="A18" s="384" t="s">
        <v>614</v>
      </c>
      <c r="B18" s="383"/>
      <c r="C18" s="489">
        <v>-18075</v>
      </c>
    </row>
    <row r="19" spans="1:4" ht="15.75">
      <c r="A19" s="384" t="s">
        <v>615</v>
      </c>
      <c r="B19" s="383"/>
      <c r="C19" s="489">
        <v>4938</v>
      </c>
    </row>
    <row r="20" spans="1:4" ht="15.75">
      <c r="A20" s="391" t="s">
        <v>616</v>
      </c>
      <c r="B20" s="383"/>
      <c r="C20" s="492">
        <f>SUM(C16:C19)</f>
        <v>1457878</v>
      </c>
      <c r="D20" s="352" t="s">
        <v>617</v>
      </c>
    </row>
    <row r="21" spans="1:4" ht="18" customHeight="1">
      <c r="A21" s="384"/>
      <c r="B21" s="383"/>
      <c r="C21" s="385"/>
    </row>
    <row r="22" spans="1:4" ht="15.75">
      <c r="A22" s="390" t="s">
        <v>618</v>
      </c>
      <c r="B22" s="383"/>
      <c r="C22" s="385"/>
    </row>
    <row r="23" spans="1:4" ht="15.75">
      <c r="A23" s="384" t="s">
        <v>619</v>
      </c>
      <c r="B23" s="383"/>
      <c r="C23" s="395">
        <v>0</v>
      </c>
    </row>
    <row r="24" spans="1:4" ht="15.75">
      <c r="A24" s="384" t="s">
        <v>620</v>
      </c>
      <c r="B24" s="383"/>
      <c r="C24" s="489">
        <v>102771</v>
      </c>
    </row>
    <row r="25" spans="1:4" ht="15.75">
      <c r="A25" s="384" t="s">
        <v>621</v>
      </c>
      <c r="B25" s="383"/>
      <c r="C25" s="489">
        <v>256559</v>
      </c>
    </row>
    <row r="26" spans="1:4" ht="15.75">
      <c r="A26" s="384" t="s">
        <v>622</v>
      </c>
      <c r="B26" s="383"/>
      <c r="C26" s="489">
        <v>29778</v>
      </c>
    </row>
    <row r="27" spans="1:4" ht="15.75">
      <c r="A27" s="390" t="s">
        <v>618</v>
      </c>
      <c r="B27" s="383"/>
      <c r="C27" s="492">
        <f>SUM(C23:C26)</f>
        <v>389108</v>
      </c>
      <c r="D27" s="352" t="s">
        <v>623</v>
      </c>
    </row>
    <row r="28" spans="1:4" ht="15.75">
      <c r="A28" s="384"/>
      <c r="B28" s="383"/>
      <c r="C28" s="385"/>
    </row>
    <row r="29" spans="1:4" ht="15.75">
      <c r="A29" s="390" t="s">
        <v>588</v>
      </c>
      <c r="B29" s="383"/>
      <c r="C29" s="385"/>
    </row>
    <row r="30" spans="1:4" ht="15.75">
      <c r="A30" s="384" t="s">
        <v>574</v>
      </c>
      <c r="B30" s="383"/>
      <c r="C30" s="395">
        <v>3093695</v>
      </c>
    </row>
    <row r="31" spans="1:4" ht="15.75">
      <c r="A31" s="384" t="s">
        <v>575</v>
      </c>
      <c r="B31" s="383"/>
      <c r="C31" s="489">
        <v>1169707</v>
      </c>
    </row>
    <row r="32" spans="1:4" ht="15.75">
      <c r="A32" s="384" t="s">
        <v>576</v>
      </c>
      <c r="B32" s="383"/>
      <c r="C32" s="385">
        <v>0</v>
      </c>
    </row>
    <row r="33" spans="1:4" ht="15.75">
      <c r="A33" s="384" t="s">
        <v>577</v>
      </c>
      <c r="B33" s="383"/>
      <c r="C33" s="489">
        <v>751076</v>
      </c>
    </row>
    <row r="34" spans="1:4" ht="15.75">
      <c r="A34" s="384" t="s">
        <v>578</v>
      </c>
      <c r="B34" s="383"/>
      <c r="C34" s="489">
        <v>493623</v>
      </c>
    </row>
    <row r="35" spans="1:4" ht="15.75">
      <c r="A35" s="384" t="s">
        <v>579</v>
      </c>
      <c r="B35" s="383"/>
      <c r="C35" s="489">
        <v>864160</v>
      </c>
    </row>
    <row r="36" spans="1:4" ht="15.75">
      <c r="A36" s="384" t="s">
        <v>580</v>
      </c>
      <c r="B36" s="383"/>
      <c r="C36" s="489">
        <v>3497123</v>
      </c>
    </row>
    <row r="37" spans="1:4" ht="15.75">
      <c r="A37" s="384" t="s">
        <v>581</v>
      </c>
      <c r="B37" s="383"/>
      <c r="C37" s="489">
        <v>0</v>
      </c>
    </row>
    <row r="38" spans="1:4" ht="15.75">
      <c r="A38" s="384" t="s">
        <v>582</v>
      </c>
      <c r="B38" s="383"/>
      <c r="C38" s="489">
        <v>0</v>
      </c>
    </row>
    <row r="39" spans="1:4" ht="15.75">
      <c r="A39" s="384" t="s">
        <v>583</v>
      </c>
      <c r="B39" s="383"/>
      <c r="C39" s="489">
        <v>0</v>
      </c>
    </row>
    <row r="40" spans="1:4" ht="15.75">
      <c r="A40" s="384" t="s">
        <v>584</v>
      </c>
      <c r="B40" s="383"/>
      <c r="C40" s="489">
        <v>91702</v>
      </c>
    </row>
    <row r="41" spans="1:4" ht="15.75">
      <c r="A41" s="384" t="s">
        <v>585</v>
      </c>
      <c r="C41" s="489">
        <v>282562</v>
      </c>
    </row>
    <row r="42" spans="1:4" ht="15.75">
      <c r="A42" s="384" t="s">
        <v>586</v>
      </c>
      <c r="C42" s="489">
        <v>54411</v>
      </c>
    </row>
    <row r="43" spans="1:4" ht="15.75">
      <c r="A43" s="384" t="s">
        <v>587</v>
      </c>
      <c r="C43" s="489">
        <v>1367903</v>
      </c>
    </row>
    <row r="44" spans="1:4" ht="15.75">
      <c r="A44" s="390" t="s">
        <v>588</v>
      </c>
      <c r="C44" s="493">
        <f>SUM(C30:C43)</f>
        <v>11665962</v>
      </c>
      <c r="D44" s="352" t="s">
        <v>624</v>
      </c>
    </row>
    <row r="47" spans="1:4">
      <c r="A47" s="386" t="s">
        <v>595</v>
      </c>
    </row>
    <row r="48" spans="1:4">
      <c r="A48" s="392" t="s">
        <v>625</v>
      </c>
      <c r="B48" s="450" t="s">
        <v>763</v>
      </c>
    </row>
    <row r="49" spans="1:5">
      <c r="A49" s="392" t="s">
        <v>597</v>
      </c>
    </row>
    <row r="50" spans="1:5" ht="15.75">
      <c r="A50" s="384"/>
    </row>
    <row r="51" spans="1:5">
      <c r="A51" s="392" t="s">
        <v>626</v>
      </c>
      <c r="B51" s="392"/>
      <c r="C51" s="392"/>
      <c r="D51" s="392"/>
      <c r="E51" s="450" t="s">
        <v>764</v>
      </c>
    </row>
    <row r="52" spans="1:5">
      <c r="A52" s="392" t="s">
        <v>597</v>
      </c>
    </row>
    <row r="53" spans="1:5" ht="15.75">
      <c r="A53" s="384"/>
    </row>
    <row r="54" spans="1:5" ht="15.75">
      <c r="A54" s="384"/>
    </row>
    <row r="55" spans="1:5" ht="15.75">
      <c r="A55" s="390"/>
    </row>
    <row r="56" spans="1:5" ht="15.75">
      <c r="A56" s="384"/>
    </row>
    <row r="57" spans="1:5" ht="15.75">
      <c r="A57" s="384"/>
    </row>
    <row r="58" spans="1:5" ht="15.75">
      <c r="A58" s="384"/>
    </row>
    <row r="59" spans="1:5" ht="15.75">
      <c r="A59" s="384"/>
    </row>
    <row r="60" spans="1:5" ht="15.75">
      <c r="A60" s="390"/>
    </row>
    <row r="61" spans="1:5" ht="15.75">
      <c r="A61" s="384"/>
    </row>
    <row r="62" spans="1:5" ht="15.75">
      <c r="A62" s="384"/>
    </row>
    <row r="63" spans="1:5" ht="15.75">
      <c r="A63" s="384"/>
    </row>
    <row r="64" spans="1:5" ht="15.75">
      <c r="A64" s="384"/>
    </row>
    <row r="65" spans="1:1" ht="15.75">
      <c r="A65" s="390"/>
    </row>
    <row r="66" spans="1:1" ht="15.75">
      <c r="A66" s="384"/>
    </row>
    <row r="67" spans="1:1" ht="15.75">
      <c r="A67" s="384"/>
    </row>
    <row r="68" spans="1:1" ht="15.75">
      <c r="A68" s="384"/>
    </row>
    <row r="69" spans="1:1" ht="15.75">
      <c r="A69" s="384"/>
    </row>
    <row r="70" spans="1:1" ht="15.75">
      <c r="A70" s="384"/>
    </row>
    <row r="71" spans="1:1" ht="15.75">
      <c r="A71" s="384"/>
    </row>
    <row r="72" spans="1:1" ht="15.75">
      <c r="A72" s="384"/>
    </row>
    <row r="73" spans="1:1" ht="15.75">
      <c r="A73" s="384"/>
    </row>
    <row r="74" spans="1:1" ht="15.75">
      <c r="A74" s="384"/>
    </row>
    <row r="75" spans="1:1" ht="15.75">
      <c r="A75" s="384"/>
    </row>
    <row r="76" spans="1:1" ht="15.75">
      <c r="A76" s="384"/>
    </row>
    <row r="77" spans="1:1" ht="15.75">
      <c r="A77" s="384"/>
    </row>
    <row r="78" spans="1:1" ht="15.75">
      <c r="A78" s="384"/>
    </row>
    <row r="79" spans="1:1" ht="15.75">
      <c r="A79" s="384"/>
    </row>
  </sheetData>
  <pageMargins left="0.45" right="0.2" top="0.5" bottom="0.5" header="0.05" footer="0.05"/>
  <pageSetup scale="59" orientation="portrait" r:id="rId1"/>
  <headerFooter>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8"/>
  <sheetViews>
    <sheetView zoomScaleNormal="100" zoomScaleSheetLayoutView="100" workbookViewId="0">
      <selection sqref="A1:F1"/>
    </sheetView>
  </sheetViews>
  <sheetFormatPr defaultRowHeight="15"/>
  <cols>
    <col min="1" max="1" width="37.44140625" style="441" customWidth="1"/>
    <col min="2" max="2" width="13.109375" style="441" customWidth="1"/>
    <col min="3" max="3" width="10.21875" style="441" bestFit="1" customWidth="1"/>
    <col min="4" max="4" width="9.109375" style="441" customWidth="1"/>
    <col min="5" max="7" width="8.88671875" style="441"/>
    <col min="8" max="8" width="10.21875" style="441" bestFit="1" customWidth="1"/>
    <col min="9" max="16384" width="8.88671875" style="441"/>
  </cols>
  <sheetData>
    <row r="1" spans="1:9">
      <c r="A1" s="675" t="str">
        <f>Coversheet!B3</f>
        <v>Rochester Public Utilities</v>
      </c>
      <c r="B1" s="675"/>
      <c r="C1" s="675"/>
      <c r="D1" s="675"/>
      <c r="E1" s="675"/>
      <c r="F1" s="675"/>
    </row>
    <row r="2" spans="1:9">
      <c r="A2" s="676">
        <f>'Op &amp; Maint Sched 7'!A4:F4</f>
        <v>42369</v>
      </c>
      <c r="B2" s="675"/>
      <c r="C2" s="675"/>
      <c r="D2" s="675"/>
      <c r="E2" s="675"/>
      <c r="F2" s="675"/>
    </row>
    <row r="4" spans="1:9" ht="21">
      <c r="A4" s="442" t="s">
        <v>720</v>
      </c>
    </row>
    <row r="7" spans="1:9" ht="15.75">
      <c r="A7" s="441" t="s">
        <v>508</v>
      </c>
      <c r="B7" s="643">
        <f>C28</f>
        <v>1999845</v>
      </c>
      <c r="D7" s="441" t="s">
        <v>721</v>
      </c>
      <c r="I7" s="443"/>
    </row>
    <row r="8" spans="1:9" ht="15.75">
      <c r="A8" s="441" t="s">
        <v>722</v>
      </c>
      <c r="B8" s="475">
        <f>C30</f>
        <v>586236</v>
      </c>
      <c r="D8" s="441" t="s">
        <v>723</v>
      </c>
    </row>
    <row r="9" spans="1:9" ht="15.75">
      <c r="A9" s="441" t="s">
        <v>484</v>
      </c>
      <c r="B9" s="475">
        <f>C32</f>
        <v>3319738</v>
      </c>
      <c r="D9" s="441" t="s">
        <v>724</v>
      </c>
    </row>
    <row r="10" spans="1:9" ht="15.75">
      <c r="A10" s="441" t="s">
        <v>725</v>
      </c>
      <c r="B10" s="644">
        <f>C37</f>
        <v>1491930</v>
      </c>
      <c r="D10" s="441" t="s">
        <v>726</v>
      </c>
    </row>
    <row r="11" spans="1:9" ht="15.75">
      <c r="B11" s="444">
        <f>SUM(B7:B10)</f>
        <v>7397749</v>
      </c>
      <c r="D11" s="441" t="s">
        <v>727</v>
      </c>
    </row>
    <row r="12" spans="1:9">
      <c r="D12" s="441" t="s">
        <v>728</v>
      </c>
    </row>
    <row r="13" spans="1:9">
      <c r="D13" s="445" t="s">
        <v>729</v>
      </c>
    </row>
    <row r="14" spans="1:9">
      <c r="D14" s="445"/>
    </row>
    <row r="16" spans="1:9">
      <c r="A16" s="446" t="s">
        <v>730</v>
      </c>
      <c r="B16" s="446"/>
      <c r="C16" s="447"/>
      <c r="D16" s="446"/>
      <c r="E16" s="446"/>
      <c r="F16" s="446"/>
    </row>
    <row r="17" spans="1:6">
      <c r="A17" s="446" t="s">
        <v>731</v>
      </c>
      <c r="B17" s="446"/>
      <c r="C17" s="446"/>
      <c r="D17" s="446"/>
      <c r="E17" s="446"/>
      <c r="F17" s="446"/>
    </row>
    <row r="18" spans="1:6">
      <c r="A18" s="448"/>
      <c r="B18" s="446"/>
      <c r="C18" s="446"/>
      <c r="D18" s="446"/>
      <c r="E18" s="446"/>
      <c r="F18" s="446"/>
    </row>
    <row r="19" spans="1:6">
      <c r="A19" s="441" t="s">
        <v>732</v>
      </c>
    </row>
    <row r="20" spans="1:6">
      <c r="A20" s="449" t="s">
        <v>733</v>
      </c>
    </row>
    <row r="22" spans="1:6">
      <c r="A22" s="450"/>
      <c r="B22" s="451" t="s">
        <v>734</v>
      </c>
      <c r="C22" s="451" t="s">
        <v>735</v>
      </c>
      <c r="D22" s="451" t="s">
        <v>736</v>
      </c>
    </row>
    <row r="23" spans="1:6">
      <c r="A23" s="450"/>
      <c r="B23" s="450"/>
      <c r="C23" s="450"/>
      <c r="D23" s="450"/>
    </row>
    <row r="24" spans="1:6">
      <c r="A24" s="450" t="s">
        <v>454</v>
      </c>
      <c r="B24" s="452">
        <v>1063306</v>
      </c>
      <c r="C24" s="473">
        <v>1668393</v>
      </c>
      <c r="D24" s="452">
        <f>'Op &amp; Maint Sched 7'!F10</f>
        <v>2731699</v>
      </c>
      <c r="E24" s="453"/>
    </row>
    <row r="25" spans="1:6">
      <c r="A25" s="450" t="s">
        <v>457</v>
      </c>
      <c r="B25" s="452">
        <v>35230</v>
      </c>
      <c r="C25" s="473">
        <v>41830</v>
      </c>
      <c r="D25" s="452">
        <f>'Op &amp; Maint Sched 7'!F13</f>
        <v>77060</v>
      </c>
    </row>
    <row r="26" spans="1:6">
      <c r="A26" s="450" t="s">
        <v>459</v>
      </c>
      <c r="B26" s="452">
        <v>877652</v>
      </c>
      <c r="C26" s="473">
        <v>289622</v>
      </c>
      <c r="D26" s="452">
        <f>'Op &amp; Maint Sched 7'!F15</f>
        <v>1167274</v>
      </c>
    </row>
    <row r="27" spans="1:6">
      <c r="A27" s="450" t="s">
        <v>737</v>
      </c>
      <c r="B27" s="452">
        <v>83964839</v>
      </c>
      <c r="C27" s="452">
        <v>0</v>
      </c>
      <c r="D27" s="452">
        <f>'Op &amp; Maint Sched 7'!F16</f>
        <v>83964839</v>
      </c>
    </row>
    <row r="28" spans="1:6">
      <c r="A28" s="450" t="s">
        <v>464</v>
      </c>
      <c r="B28" s="454">
        <f t="shared" ref="B28:C28" si="0">SUM(B24:B27)</f>
        <v>85941027</v>
      </c>
      <c r="C28" s="454">
        <f t="shared" si="0"/>
        <v>1999845</v>
      </c>
      <c r="D28" s="454">
        <f>SUM(D24:D27)</f>
        <v>87940872</v>
      </c>
    </row>
    <row r="29" spans="1:6">
      <c r="A29" s="450"/>
      <c r="B29" s="450"/>
      <c r="C29" s="450"/>
      <c r="D29" s="450"/>
    </row>
    <row r="30" spans="1:6">
      <c r="A30" s="450" t="s">
        <v>465</v>
      </c>
      <c r="B30" s="452">
        <v>7324307</v>
      </c>
      <c r="C30" s="473">
        <v>586236</v>
      </c>
      <c r="D30" s="452">
        <f>'Op &amp; Maint Sched 7'!F21</f>
        <v>7910543</v>
      </c>
    </row>
    <row r="31" spans="1:6">
      <c r="A31" s="450"/>
      <c r="B31" s="450"/>
      <c r="C31" s="450"/>
      <c r="D31" s="450"/>
    </row>
    <row r="32" spans="1:6">
      <c r="A32" s="450" t="s">
        <v>468</v>
      </c>
      <c r="B32" s="452">
        <v>1067794</v>
      </c>
      <c r="C32" s="473">
        <v>3319738</v>
      </c>
      <c r="D32" s="452">
        <f>'Op &amp; Maint Sched 7'!F23</f>
        <v>4387532</v>
      </c>
    </row>
    <row r="33" spans="1:5">
      <c r="A33" s="450"/>
      <c r="B33" s="450"/>
      <c r="C33" s="450"/>
      <c r="D33" s="450"/>
    </row>
    <row r="34" spans="1:5">
      <c r="A34" s="450" t="s">
        <v>470</v>
      </c>
      <c r="B34" s="452">
        <v>951769</v>
      </c>
      <c r="C34" s="473">
        <v>1098295</v>
      </c>
      <c r="D34" s="452">
        <f>'Op &amp; Maint Sched 7'!F25</f>
        <v>2050064</v>
      </c>
    </row>
    <row r="35" spans="1:5">
      <c r="A35" s="450" t="s">
        <v>738</v>
      </c>
      <c r="B35" s="452">
        <v>1212494</v>
      </c>
      <c r="C35" s="473">
        <v>245384</v>
      </c>
      <c r="D35" s="452">
        <f>'Op &amp; Maint Sched 7'!F27</f>
        <v>1457878</v>
      </c>
    </row>
    <row r="36" spans="1:5">
      <c r="A36" s="450" t="s">
        <v>618</v>
      </c>
      <c r="B36" s="452">
        <v>240857</v>
      </c>
      <c r="C36" s="473">
        <v>148251</v>
      </c>
      <c r="D36" s="452">
        <f>'Op &amp; Maint Sched 7'!F28</f>
        <v>389108</v>
      </c>
    </row>
    <row r="37" spans="1:5">
      <c r="A37" s="450" t="s">
        <v>739</v>
      </c>
      <c r="B37" s="454">
        <f t="shared" ref="B37:C37" si="1">SUM(B34:B36)</f>
        <v>2405120</v>
      </c>
      <c r="C37" s="454">
        <f t="shared" si="1"/>
        <v>1491930</v>
      </c>
      <c r="D37" s="454">
        <f>SUM(D34:D36)</f>
        <v>3897050</v>
      </c>
    </row>
    <row r="38" spans="1:5">
      <c r="E38" s="453"/>
    </row>
  </sheetData>
  <mergeCells count="2">
    <mergeCell ref="A1:F1"/>
    <mergeCell ref="A2:F2"/>
  </mergeCells>
  <pageMargins left="0.7" right="0.7" top="0.75" bottom="0.75" header="0.3" footer="0.3"/>
  <pageSetup scale="90" orientation="landscape"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
  <sheetViews>
    <sheetView zoomScaleNormal="100" zoomScaleSheetLayoutView="100" workbookViewId="0"/>
  </sheetViews>
  <sheetFormatPr defaultRowHeight="15"/>
  <cols>
    <col min="1" max="1" width="56.109375" style="352" bestFit="1" customWidth="1"/>
    <col min="2" max="2" width="8.109375" style="352" customWidth="1"/>
    <col min="3" max="3" width="8.44140625" style="352" customWidth="1"/>
    <col min="4" max="16384" width="8.88671875" style="352"/>
  </cols>
  <sheetData>
    <row r="1" spans="1:7" ht="18.75">
      <c r="A1" s="407" t="str">
        <f>Coversheet!B3</f>
        <v>Rochester Public Utilities</v>
      </c>
      <c r="B1" s="411"/>
      <c r="C1" s="383"/>
      <c r="D1" s="383"/>
      <c r="E1" s="383"/>
      <c r="F1" s="383"/>
      <c r="G1" s="383"/>
    </row>
    <row r="2" spans="1:7" ht="18.75">
      <c r="A2" s="407" t="str">
        <f>'Admin &amp; General'!A2</f>
        <v>Forecasted 12 Months Ended December 31,</v>
      </c>
      <c r="B2" s="406">
        <f>'Admin &amp; General'!B2</f>
        <v>2015</v>
      </c>
      <c r="C2" s="383"/>
      <c r="D2" s="383"/>
      <c r="E2" s="383"/>
      <c r="F2" s="383"/>
      <c r="G2" s="383"/>
    </row>
    <row r="4" spans="1:7" ht="20.25">
      <c r="A4" s="393" t="s">
        <v>627</v>
      </c>
      <c r="B4" s="386"/>
      <c r="C4" s="386"/>
      <c r="D4" s="386"/>
    </row>
    <row r="5" spans="1:7">
      <c r="E5" s="472"/>
    </row>
    <row r="6" spans="1:7">
      <c r="A6" s="394"/>
      <c r="B6" s="394" t="s">
        <v>628</v>
      </c>
      <c r="D6" s="394"/>
    </row>
    <row r="7" spans="1:7">
      <c r="A7" s="381" t="s">
        <v>629</v>
      </c>
      <c r="B7" s="381" t="s">
        <v>630</v>
      </c>
      <c r="C7" s="381" t="s">
        <v>7</v>
      </c>
    </row>
    <row r="9" spans="1:7" ht="15.75">
      <c r="A9" s="387" t="s">
        <v>631</v>
      </c>
      <c r="B9" s="434">
        <v>0</v>
      </c>
      <c r="C9" s="395">
        <v>0</v>
      </c>
    </row>
    <row r="10" spans="1:7" ht="15.75">
      <c r="A10" s="387" t="s">
        <v>632</v>
      </c>
      <c r="B10" s="434">
        <f>565*0</f>
        <v>0</v>
      </c>
      <c r="C10" s="395">
        <v>0</v>
      </c>
    </row>
    <row r="11" spans="1:7" ht="17.25">
      <c r="A11" s="387" t="s">
        <v>633</v>
      </c>
      <c r="B11" s="435">
        <v>0</v>
      </c>
      <c r="C11" s="437">
        <v>0</v>
      </c>
    </row>
    <row r="13" spans="1:7">
      <c r="A13" s="387" t="s">
        <v>9</v>
      </c>
      <c r="B13" s="433">
        <f>SUM(B9:B12)</f>
        <v>0</v>
      </c>
      <c r="C13" s="397">
        <f>SUM(C9:C12)</f>
        <v>0</v>
      </c>
    </row>
    <row r="16" spans="1:7">
      <c r="A16" s="387"/>
    </row>
    <row r="17" spans="1:1">
      <c r="A17" s="387"/>
    </row>
  </sheetData>
  <pageMargins left="0.7" right="0.7" top="0.75" bottom="0.75" header="0.3" footer="0.3"/>
  <pageSetup scale="64" orientation="landscape" r:id="rId1"/>
  <headerFooter>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8"/>
  <sheetViews>
    <sheetView zoomScale="80" zoomScaleNormal="80" zoomScaleSheetLayoutView="100" workbookViewId="0">
      <selection activeCell="B19" sqref="B19"/>
    </sheetView>
  </sheetViews>
  <sheetFormatPr defaultRowHeight="15"/>
  <cols>
    <col min="1" max="1" width="81.5546875" style="352" customWidth="1"/>
    <col min="2" max="2" width="9.77734375" style="352" bestFit="1" customWidth="1"/>
    <col min="3" max="3" width="9" style="352" bestFit="1" customWidth="1"/>
    <col min="4" max="4" width="2.21875" style="352" customWidth="1"/>
    <col min="5" max="5" width="8.21875" style="352" bestFit="1" customWidth="1"/>
    <col min="6" max="16384" width="8.88671875" style="352"/>
  </cols>
  <sheetData>
    <row r="1" spans="1:9" ht="23.25">
      <c r="A1" s="412" t="str">
        <f>Coversheet!B3</f>
        <v>Rochester Public Utilities</v>
      </c>
      <c r="B1" s="413"/>
      <c r="C1" s="383"/>
      <c r="D1" s="383"/>
      <c r="E1" s="383"/>
      <c r="F1" s="383"/>
      <c r="G1" s="383"/>
      <c r="H1" s="383"/>
    </row>
    <row r="2" spans="1:9" ht="23.25">
      <c r="A2" s="412" t="str">
        <f>'FERC Fees'!A2</f>
        <v>Forecasted 12 Months Ended December 31,</v>
      </c>
      <c r="B2" s="414">
        <f>'FERC Fees'!B2</f>
        <v>2015</v>
      </c>
      <c r="C2" s="383"/>
      <c r="D2" s="383"/>
      <c r="E2" s="383"/>
      <c r="F2" s="383"/>
      <c r="G2" s="383"/>
      <c r="H2" s="383"/>
      <c r="I2" s="383"/>
    </row>
    <row r="4" spans="1:9" ht="20.25">
      <c r="A4" s="393" t="s">
        <v>634</v>
      </c>
      <c r="B4" s="386"/>
      <c r="C4" s="386"/>
      <c r="D4" s="386"/>
      <c r="E4" s="386"/>
    </row>
    <row r="7" spans="1:9" ht="15.75">
      <c r="A7" s="352" t="s">
        <v>635</v>
      </c>
      <c r="B7" s="395">
        <v>0</v>
      </c>
      <c r="C7" s="352" t="s">
        <v>636</v>
      </c>
    </row>
    <row r="12" spans="1:9">
      <c r="A12" s="352" t="s">
        <v>637</v>
      </c>
    </row>
    <row r="13" spans="1:9" ht="15.75">
      <c r="A13" s="387" t="s">
        <v>638</v>
      </c>
      <c r="B13" s="395">
        <v>0</v>
      </c>
      <c r="C13" s="352" t="s">
        <v>639</v>
      </c>
    </row>
    <row r="14" spans="1:9" ht="15.75">
      <c r="A14" s="387" t="s">
        <v>640</v>
      </c>
      <c r="B14" s="439">
        <v>0</v>
      </c>
      <c r="C14" s="352" t="s">
        <v>641</v>
      </c>
    </row>
    <row r="15" spans="1:9">
      <c r="B15" s="438">
        <f>SUM(B13:B14)</f>
        <v>0</v>
      </c>
    </row>
    <row r="18" spans="1:6">
      <c r="A18" s="352" t="s">
        <v>642</v>
      </c>
    </row>
    <row r="19" spans="1:6" ht="15.75">
      <c r="A19" s="445" t="s">
        <v>751</v>
      </c>
      <c r="B19" s="474">
        <v>91702</v>
      </c>
      <c r="C19" s="446" t="s">
        <v>752</v>
      </c>
    </row>
    <row r="20" spans="1:6" ht="15.75">
      <c r="A20" s="387" t="s">
        <v>643</v>
      </c>
      <c r="B20" s="439">
        <v>0</v>
      </c>
      <c r="C20" s="352" t="s">
        <v>644</v>
      </c>
    </row>
    <row r="21" spans="1:6" ht="18" customHeight="1">
      <c r="B21" s="436">
        <f>SUM(B19:B20)</f>
        <v>91702</v>
      </c>
    </row>
    <row r="24" spans="1:6">
      <c r="A24" s="386" t="s">
        <v>645</v>
      </c>
      <c r="B24" s="386"/>
      <c r="C24" s="386"/>
      <c r="D24" s="386"/>
      <c r="E24" s="386"/>
      <c r="F24" s="386"/>
    </row>
    <row r="27" spans="1:6">
      <c r="A27" s="441" t="s">
        <v>761</v>
      </c>
    </row>
    <row r="28" spans="1:6">
      <c r="A28" s="441" t="s">
        <v>762</v>
      </c>
    </row>
  </sheetData>
  <pageMargins left="0.7" right="0.45" top="0.75" bottom="0.75" header="0.3" footer="0.3"/>
  <pageSetup scale="71"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38"/>
  <sheetViews>
    <sheetView zoomScale="70" zoomScaleNormal="70" zoomScaleSheetLayoutView="75" workbookViewId="0">
      <selection activeCell="C4" sqref="C4"/>
    </sheetView>
  </sheetViews>
  <sheetFormatPr defaultRowHeight="15.75"/>
  <cols>
    <col min="1" max="1" width="6" style="3" customWidth="1"/>
    <col min="2" max="2" width="28.44140625" style="3" customWidth="1"/>
    <col min="3" max="3" width="32.5546875" style="3" customWidth="1"/>
    <col min="4" max="4" width="12.5546875" style="3" customWidth="1"/>
    <col min="5" max="5" width="5.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2" width="8.88671875" style="3"/>
    <col min="13" max="13" width="23.33203125" style="3" customWidth="1"/>
    <col min="14" max="14" width="12" style="3" bestFit="1" customWidth="1"/>
    <col min="15" max="15" width="13" style="3" bestFit="1" customWidth="1"/>
    <col min="16" max="16" width="12" style="3" bestFit="1" customWidth="1"/>
    <col min="17" max="17" width="8.5546875" style="3" bestFit="1" customWidth="1"/>
    <col min="18" max="16384" width="8.88671875" style="3"/>
  </cols>
  <sheetData>
    <row r="1" spans="1:16">
      <c r="B1" s="2"/>
      <c r="C1" s="2"/>
      <c r="D1" s="10"/>
      <c r="E1" s="2"/>
      <c r="F1" s="2"/>
      <c r="G1" s="2"/>
      <c r="H1" s="11"/>
      <c r="I1" s="12"/>
      <c r="K1" s="13" t="s">
        <v>183</v>
      </c>
      <c r="L1" s="12"/>
      <c r="N1" s="12"/>
      <c r="O1" s="12"/>
      <c r="P1" s="12"/>
    </row>
    <row r="2" spans="1:16">
      <c r="B2" s="2"/>
      <c r="C2" s="2"/>
      <c r="D2" s="10"/>
      <c r="E2" s="2"/>
      <c r="F2" s="2"/>
      <c r="G2" s="2"/>
      <c r="H2" s="11"/>
      <c r="I2" s="11"/>
      <c r="J2" s="12"/>
      <c r="K2" s="14"/>
      <c r="L2" s="12"/>
      <c r="N2" s="12"/>
      <c r="O2" s="12"/>
      <c r="P2" s="12"/>
    </row>
    <row r="3" spans="1:16">
      <c r="B3" s="2" t="s">
        <v>0</v>
      </c>
      <c r="C3" s="2"/>
      <c r="D3" s="10" t="s">
        <v>1</v>
      </c>
      <c r="E3" s="2"/>
      <c r="F3" s="2"/>
      <c r="G3" s="2"/>
      <c r="H3" s="118"/>
      <c r="I3" s="117"/>
      <c r="J3" s="15"/>
      <c r="K3" s="16" t="s">
        <v>719</v>
      </c>
      <c r="L3" s="12"/>
      <c r="N3" s="12"/>
      <c r="O3" s="12"/>
      <c r="P3" s="12"/>
    </row>
    <row r="4" spans="1:16">
      <c r="B4" s="2"/>
      <c r="C4" s="5" t="s">
        <v>2</v>
      </c>
      <c r="D4" s="5" t="s">
        <v>3</v>
      </c>
      <c r="E4" s="5"/>
      <c r="F4" s="5"/>
      <c r="G4" s="5"/>
      <c r="H4" s="11"/>
      <c r="I4" s="11"/>
      <c r="J4" s="12"/>
      <c r="K4" s="12"/>
      <c r="L4" s="12"/>
      <c r="N4" s="12"/>
      <c r="O4" s="12"/>
      <c r="P4" s="12"/>
    </row>
    <row r="5" spans="1:16">
      <c r="B5" s="12"/>
      <c r="C5" s="12"/>
      <c r="D5" s="12"/>
      <c r="E5" s="12"/>
      <c r="F5" s="12"/>
      <c r="G5" s="12"/>
      <c r="H5" s="12"/>
      <c r="I5" s="12"/>
      <c r="J5" s="12"/>
      <c r="K5" s="12"/>
      <c r="L5" s="12"/>
      <c r="N5" s="12"/>
      <c r="O5" s="12"/>
      <c r="P5" s="12"/>
    </row>
    <row r="6" spans="1:16">
      <c r="A6" s="1"/>
      <c r="B6" s="12"/>
      <c r="C6" s="12"/>
      <c r="D6" s="298" t="s">
        <v>718</v>
      </c>
      <c r="E6" s="297"/>
      <c r="F6" s="297"/>
      <c r="G6" s="297"/>
      <c r="H6" s="297"/>
      <c r="I6" s="12"/>
      <c r="J6" s="12"/>
      <c r="K6" s="12"/>
      <c r="L6" s="12"/>
      <c r="N6" s="12"/>
      <c r="O6" s="12"/>
      <c r="P6" s="12"/>
    </row>
    <row r="7" spans="1:16">
      <c r="A7" s="1"/>
      <c r="B7" s="12"/>
      <c r="C7" s="12"/>
      <c r="D7" s="17"/>
      <c r="E7" s="12"/>
      <c r="F7" s="12"/>
      <c r="G7" s="12"/>
      <c r="H7" s="12"/>
      <c r="I7" s="12"/>
      <c r="J7" s="12"/>
      <c r="K7" s="12"/>
      <c r="L7" s="12"/>
      <c r="N7" s="12"/>
      <c r="O7" s="12"/>
      <c r="P7" s="12"/>
    </row>
    <row r="8" spans="1:16">
      <c r="A8" s="1" t="s">
        <v>4</v>
      </c>
      <c r="B8" s="12"/>
      <c r="C8" s="12"/>
      <c r="D8" s="17"/>
      <c r="E8" s="12"/>
      <c r="F8" s="12"/>
      <c r="G8" s="12"/>
      <c r="H8" s="12"/>
      <c r="I8" s="1" t="s">
        <v>5</v>
      </c>
      <c r="J8" s="12"/>
      <c r="K8" s="12"/>
      <c r="L8" s="12"/>
      <c r="N8" s="12"/>
      <c r="O8" s="12"/>
      <c r="P8" s="12"/>
    </row>
    <row r="9" spans="1:16" ht="16.5" thickBot="1">
      <c r="A9" s="18" t="s">
        <v>6</v>
      </c>
      <c r="B9" s="12"/>
      <c r="C9" s="12"/>
      <c r="D9" s="12"/>
      <c r="E9" s="12"/>
      <c r="F9" s="12"/>
      <c r="G9" s="12"/>
      <c r="H9" s="12"/>
      <c r="I9" s="18" t="s">
        <v>7</v>
      </c>
      <c r="J9" s="12"/>
      <c r="K9" s="12"/>
      <c r="L9" s="12"/>
      <c r="N9" s="12"/>
      <c r="O9" s="12"/>
      <c r="P9" s="12"/>
    </row>
    <row r="10" spans="1:16">
      <c r="A10" s="1">
        <v>1</v>
      </c>
      <c r="B10" s="12" t="s">
        <v>263</v>
      </c>
      <c r="C10" s="12"/>
      <c r="D10" s="19"/>
      <c r="E10" s="12"/>
      <c r="F10" s="12"/>
      <c r="G10" s="12"/>
      <c r="H10" s="12"/>
      <c r="I10" s="20">
        <f>+I198</f>
        <v>4529343.1035397835</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174</v>
      </c>
      <c r="D12" s="18" t="s">
        <v>9</v>
      </c>
      <c r="E12" s="5"/>
      <c r="F12" s="21" t="s">
        <v>10</v>
      </c>
      <c r="G12" s="21"/>
      <c r="H12" s="12"/>
      <c r="I12" s="19"/>
      <c r="J12" s="12"/>
      <c r="K12" s="12"/>
      <c r="L12" s="12"/>
      <c r="N12" s="12"/>
      <c r="O12" s="12"/>
      <c r="P12" s="12"/>
    </row>
    <row r="13" spans="1:16">
      <c r="A13" s="1">
        <v>2</v>
      </c>
      <c r="B13" s="4" t="s">
        <v>11</v>
      </c>
      <c r="C13" s="5" t="s">
        <v>167</v>
      </c>
      <c r="D13" s="5">
        <f>I258</f>
        <v>37020</v>
      </c>
      <c r="E13" s="5"/>
      <c r="F13" s="5" t="s">
        <v>12</v>
      </c>
      <c r="G13" s="22">
        <f>I217</f>
        <v>1</v>
      </c>
      <c r="H13" s="5"/>
      <c r="I13" s="5">
        <f>+G13*D13</f>
        <v>37020</v>
      </c>
      <c r="J13" s="12"/>
      <c r="K13" s="12"/>
      <c r="L13" s="12"/>
      <c r="N13" s="12"/>
      <c r="O13" s="12"/>
      <c r="P13" s="12"/>
    </row>
    <row r="14" spans="1:16">
      <c r="A14" s="1">
        <v>3</v>
      </c>
      <c r="B14" s="4" t="s">
        <v>206</v>
      </c>
      <c r="C14" s="5" t="s">
        <v>168</v>
      </c>
      <c r="D14" s="5">
        <f>I265</f>
        <v>0</v>
      </c>
      <c r="E14" s="5"/>
      <c r="F14" s="5" t="str">
        <f>+F13</f>
        <v>TP</v>
      </c>
      <c r="G14" s="22">
        <f>+G13</f>
        <v>1</v>
      </c>
      <c r="H14" s="5"/>
      <c r="I14" s="5">
        <f>+G14*D14</f>
        <v>0</v>
      </c>
      <c r="J14" s="12"/>
      <c r="K14" s="12"/>
      <c r="N14" s="12"/>
      <c r="O14" s="12"/>
      <c r="P14" s="12"/>
    </row>
    <row r="15" spans="1:16">
      <c r="A15" s="1">
        <v>4</v>
      </c>
      <c r="B15" s="4" t="s">
        <v>13</v>
      </c>
      <c r="C15" s="5"/>
      <c r="D15" s="23">
        <v>0</v>
      </c>
      <c r="E15" s="5"/>
      <c r="F15" s="5" t="s">
        <v>12</v>
      </c>
      <c r="G15" s="22">
        <f>+G13</f>
        <v>1</v>
      </c>
      <c r="H15" s="5"/>
      <c r="I15" s="5">
        <f>+G15*D15</f>
        <v>0</v>
      </c>
      <c r="J15" s="12"/>
      <c r="K15" s="12"/>
      <c r="L15" s="24" t="s">
        <v>188</v>
      </c>
      <c r="N15" s="12"/>
      <c r="O15" s="12"/>
      <c r="P15" s="12"/>
    </row>
    <row r="16" spans="1:16" ht="16.5" thickBot="1">
      <c r="A16" s="1">
        <v>5</v>
      </c>
      <c r="B16" s="4" t="s">
        <v>14</v>
      </c>
      <c r="C16" s="5"/>
      <c r="D16" s="23">
        <v>0</v>
      </c>
      <c r="E16" s="5"/>
      <c r="F16" s="5" t="s">
        <v>12</v>
      </c>
      <c r="G16" s="22">
        <f>+G13</f>
        <v>1</v>
      </c>
      <c r="H16" s="5"/>
      <c r="I16" s="25">
        <f>+G16*D16</f>
        <v>0</v>
      </c>
      <c r="J16" s="12"/>
      <c r="K16" s="12"/>
      <c r="L16" s="24" t="s">
        <v>189</v>
      </c>
      <c r="N16" s="12"/>
      <c r="O16" s="12"/>
      <c r="P16" s="12"/>
    </row>
    <row r="17" spans="1:16">
      <c r="A17" s="1">
        <v>6</v>
      </c>
      <c r="B17" s="4" t="s">
        <v>15</v>
      </c>
      <c r="C17" s="12"/>
      <c r="D17" s="26" t="s">
        <v>2</v>
      </c>
      <c r="E17" s="5"/>
      <c r="F17" s="5"/>
      <c r="G17" s="22"/>
      <c r="H17" s="5"/>
      <c r="I17" s="5">
        <f>SUM(I13:I16)</f>
        <v>37020</v>
      </c>
      <c r="J17" s="12"/>
      <c r="K17" s="12"/>
      <c r="L17" s="12"/>
      <c r="N17" s="12"/>
      <c r="O17" s="12"/>
      <c r="P17" s="12"/>
    </row>
    <row r="18" spans="1:16">
      <c r="A18" s="1"/>
      <c r="B18" s="4"/>
      <c r="C18" s="12"/>
      <c r="D18" s="26"/>
      <c r="E18" s="5"/>
      <c r="F18" s="5"/>
      <c r="G18" s="22"/>
      <c r="H18" s="5"/>
      <c r="I18" s="5"/>
      <c r="J18" s="12"/>
      <c r="K18" s="12"/>
      <c r="L18" s="12"/>
      <c r="N18" s="12"/>
      <c r="O18" s="12"/>
      <c r="P18" s="12"/>
    </row>
    <row r="19" spans="1:16">
      <c r="A19" s="605" t="s">
        <v>692</v>
      </c>
      <c r="B19" s="606" t="s">
        <v>693</v>
      </c>
      <c r="C19" s="607"/>
      <c r="D19" s="427"/>
      <c r="E19" s="440"/>
      <c r="F19" s="440"/>
      <c r="G19" s="427"/>
      <c r="H19" s="427"/>
      <c r="I19" s="428">
        <v>0</v>
      </c>
      <c r="J19" s="12"/>
      <c r="K19" s="12"/>
      <c r="L19" s="12"/>
      <c r="N19" s="12"/>
      <c r="O19" s="12"/>
      <c r="P19" s="12"/>
    </row>
    <row r="20" spans="1:16" ht="16.5" thickBot="1">
      <c r="A20" s="605" t="s">
        <v>694</v>
      </c>
      <c r="B20" s="606" t="s">
        <v>695</v>
      </c>
      <c r="C20" s="607"/>
      <c r="D20" s="427"/>
      <c r="E20" s="440"/>
      <c r="F20" s="440"/>
      <c r="G20" s="427"/>
      <c r="H20" s="427"/>
      <c r="I20" s="429">
        <v>0</v>
      </c>
      <c r="J20" s="12"/>
      <c r="K20" s="12"/>
      <c r="L20" s="12"/>
      <c r="N20" s="12"/>
      <c r="O20" s="12"/>
      <c r="P20" s="12"/>
    </row>
    <row r="21" spans="1:16">
      <c r="A21" s="605" t="s">
        <v>696</v>
      </c>
      <c r="B21" s="606" t="s">
        <v>697</v>
      </c>
      <c r="C21" s="607"/>
      <c r="D21" s="427" t="s">
        <v>698</v>
      </c>
      <c r="E21" s="440"/>
      <c r="F21" s="440"/>
      <c r="G21" s="427"/>
      <c r="H21" s="427"/>
      <c r="I21" s="430">
        <f>I19-I20</f>
        <v>0</v>
      </c>
      <c r="J21" s="12"/>
      <c r="K21" s="12"/>
      <c r="L21" s="12"/>
      <c r="N21" s="12"/>
      <c r="O21" s="12"/>
      <c r="P21" s="12"/>
    </row>
    <row r="22" spans="1:16">
      <c r="A22" s="605"/>
      <c r="B22" s="606"/>
      <c r="C22" s="607"/>
      <c r="D22" s="427"/>
      <c r="E22" s="440"/>
      <c r="F22" s="440"/>
      <c r="G22" s="427"/>
      <c r="H22" s="427"/>
      <c r="I22" s="430"/>
      <c r="J22" s="12"/>
      <c r="K22" s="12"/>
      <c r="L22" s="12"/>
      <c r="N22" s="12"/>
      <c r="O22" s="12"/>
      <c r="P22" s="12"/>
    </row>
    <row r="23" spans="1:16">
      <c r="A23" s="605" t="s">
        <v>699</v>
      </c>
      <c r="B23" s="606" t="s">
        <v>700</v>
      </c>
      <c r="C23" s="607"/>
      <c r="D23" s="427"/>
      <c r="E23" s="440"/>
      <c r="F23" s="440"/>
      <c r="G23" s="427"/>
      <c r="H23" s="427"/>
      <c r="I23" s="428">
        <v>0</v>
      </c>
      <c r="J23" s="12"/>
      <c r="K23" s="12"/>
      <c r="L23" s="12"/>
      <c r="N23" s="12"/>
      <c r="O23" s="12"/>
      <c r="P23" s="12"/>
    </row>
    <row r="24" spans="1:16" ht="16.5" thickBot="1">
      <c r="A24" s="605" t="s">
        <v>701</v>
      </c>
      <c r="B24" s="606" t="s">
        <v>702</v>
      </c>
      <c r="C24" s="607"/>
      <c r="D24" s="427"/>
      <c r="E24" s="440"/>
      <c r="F24" s="440"/>
      <c r="G24" s="427"/>
      <c r="H24" s="427"/>
      <c r="I24" s="429">
        <v>0</v>
      </c>
      <c r="J24" s="12"/>
      <c r="K24" s="12"/>
      <c r="L24" s="12"/>
      <c r="N24" s="12"/>
      <c r="O24" s="12"/>
      <c r="P24" s="12"/>
    </row>
    <row r="25" spans="1:16">
      <c r="A25" s="605" t="s">
        <v>703</v>
      </c>
      <c r="B25" s="606" t="s">
        <v>704</v>
      </c>
      <c r="C25" s="607"/>
      <c r="D25" s="427" t="s">
        <v>705</v>
      </c>
      <c r="E25" s="440"/>
      <c r="F25" s="440"/>
      <c r="G25" s="427"/>
      <c r="H25" s="427"/>
      <c r="I25" s="430">
        <f>I24-I23</f>
        <v>0</v>
      </c>
      <c r="J25" s="12"/>
      <c r="K25" s="12"/>
      <c r="L25" s="12"/>
      <c r="N25" s="12"/>
      <c r="O25" s="12"/>
      <c r="P25" s="12"/>
    </row>
    <row r="26" spans="1:16" ht="16.5" thickBot="1">
      <c r="A26" s="605" t="s">
        <v>706</v>
      </c>
      <c r="B26" s="606" t="s">
        <v>707</v>
      </c>
      <c r="C26" s="607"/>
      <c r="D26" s="427"/>
      <c r="E26" s="440"/>
      <c r="F26" s="440"/>
      <c r="G26" s="427"/>
      <c r="H26" s="427"/>
      <c r="I26" s="429">
        <v>0</v>
      </c>
      <c r="J26" s="12"/>
      <c r="K26" s="12"/>
      <c r="L26" s="12"/>
      <c r="N26" s="12"/>
      <c r="O26" s="12"/>
      <c r="P26" s="12"/>
    </row>
    <row r="27" spans="1:16">
      <c r="A27" s="605" t="s">
        <v>708</v>
      </c>
      <c r="B27" s="606" t="s">
        <v>709</v>
      </c>
      <c r="C27" s="607"/>
      <c r="D27" s="427" t="s">
        <v>710</v>
      </c>
      <c r="E27" s="440"/>
      <c r="F27" s="440"/>
      <c r="G27" s="427"/>
      <c r="H27" s="427"/>
      <c r="I27" s="430">
        <f>I25*I26</f>
        <v>0</v>
      </c>
      <c r="J27" s="12"/>
      <c r="K27" s="12"/>
      <c r="L27" s="12"/>
      <c r="N27" s="12"/>
      <c r="O27" s="12"/>
      <c r="P27" s="12"/>
    </row>
    <row r="28" spans="1:16">
      <c r="A28" s="605"/>
      <c r="B28" s="606"/>
      <c r="C28" s="607"/>
      <c r="D28" s="427"/>
      <c r="E28" s="440"/>
      <c r="F28" s="440"/>
      <c r="G28" s="427"/>
      <c r="H28" s="427"/>
      <c r="I28" s="430"/>
      <c r="J28" s="12"/>
      <c r="K28" s="12"/>
      <c r="L28" s="12"/>
      <c r="N28" s="12"/>
      <c r="O28" s="12"/>
      <c r="P28" s="12"/>
    </row>
    <row r="29" spans="1:16">
      <c r="A29" s="605" t="s">
        <v>711</v>
      </c>
      <c r="B29" s="606" t="s">
        <v>712</v>
      </c>
      <c r="C29" s="607"/>
      <c r="E29" s="440"/>
      <c r="F29" s="440"/>
      <c r="G29" s="427"/>
      <c r="H29" s="427"/>
      <c r="I29" s="428">
        <v>0</v>
      </c>
      <c r="J29" s="12"/>
      <c r="K29" s="12"/>
      <c r="L29" s="12"/>
      <c r="N29" s="12"/>
      <c r="O29" s="12"/>
      <c r="P29" s="12"/>
    </row>
    <row r="30" spans="1:16">
      <c r="A30" s="1"/>
      <c r="B30" s="4"/>
      <c r="C30" s="12"/>
      <c r="I30" s="5"/>
      <c r="J30" s="12"/>
      <c r="K30" s="12"/>
      <c r="L30" s="12"/>
      <c r="N30" s="12"/>
      <c r="O30" s="12"/>
      <c r="P30" s="12"/>
    </row>
    <row r="31" spans="1:16" ht="16.5" thickBot="1">
      <c r="A31" s="1">
        <v>7</v>
      </c>
      <c r="B31" s="4" t="s">
        <v>16</v>
      </c>
      <c r="C31" s="608" t="s">
        <v>777</v>
      </c>
      <c r="D31" s="609"/>
      <c r="E31" s="5"/>
      <c r="F31" s="5"/>
      <c r="G31" s="5"/>
      <c r="H31" s="5"/>
      <c r="I31" s="431">
        <f>+I10-I17+I21+I27+I29</f>
        <v>4492323.1035397835</v>
      </c>
      <c r="J31" s="12"/>
      <c r="K31" s="12"/>
      <c r="L31" s="12"/>
      <c r="M31" s="263"/>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18</v>
      </c>
      <c r="D34" s="19"/>
      <c r="E34" s="12"/>
      <c r="F34" s="12"/>
      <c r="G34" s="11" t="s">
        <v>19</v>
      </c>
      <c r="H34" s="12"/>
      <c r="I34" s="23">
        <f>Divisor!F23</f>
        <v>19826</v>
      </c>
      <c r="J34" s="12"/>
      <c r="K34" s="12"/>
      <c r="M34" s="651" t="s">
        <v>866</v>
      </c>
      <c r="N34" s="651"/>
      <c r="O34" s="617"/>
      <c r="P34" s="12"/>
    </row>
    <row r="35" spans="1:16">
      <c r="A35" s="1">
        <v>9</v>
      </c>
      <c r="B35" s="4" t="s">
        <v>20</v>
      </c>
      <c r="C35" s="5"/>
      <c r="D35" s="5"/>
      <c r="E35" s="5"/>
      <c r="F35" s="5"/>
      <c r="G35" s="5" t="s">
        <v>21</v>
      </c>
      <c r="H35" s="5"/>
      <c r="I35" s="23">
        <v>0</v>
      </c>
      <c r="J35" s="12"/>
      <c r="K35" s="12"/>
      <c r="L35" s="12"/>
      <c r="M35" s="618" t="s">
        <v>867</v>
      </c>
      <c r="N35" s="619" t="s">
        <v>868</v>
      </c>
      <c r="O35" s="620" t="s">
        <v>869</v>
      </c>
      <c r="P35" s="12"/>
    </row>
    <row r="36" spans="1:16">
      <c r="A36" s="1">
        <v>10</v>
      </c>
      <c r="B36" s="4" t="s">
        <v>22</v>
      </c>
      <c r="C36" s="12"/>
      <c r="D36" s="12"/>
      <c r="E36" s="12"/>
      <c r="F36" s="12"/>
      <c r="G36" s="11" t="s">
        <v>23</v>
      </c>
      <c r="H36" s="12"/>
      <c r="I36" s="23">
        <v>0</v>
      </c>
      <c r="J36" s="12"/>
      <c r="K36" s="12"/>
      <c r="L36" s="12"/>
      <c r="M36" s="621" t="s">
        <v>870</v>
      </c>
      <c r="N36" s="626">
        <f>I31*Q82</f>
        <v>4492323.1035397835</v>
      </c>
      <c r="O36" s="622">
        <f>I41</f>
        <v>19826</v>
      </c>
      <c r="P36" s="12"/>
    </row>
    <row r="37" spans="1:16">
      <c r="A37" s="1">
        <v>11</v>
      </c>
      <c r="B37" s="27" t="s">
        <v>24</v>
      </c>
      <c r="C37" s="12"/>
      <c r="D37" s="12"/>
      <c r="E37" s="12"/>
      <c r="F37" s="12"/>
      <c r="G37" s="11" t="s">
        <v>25</v>
      </c>
      <c r="H37" s="12"/>
      <c r="I37" s="23">
        <v>0</v>
      </c>
      <c r="J37" s="12"/>
      <c r="K37" s="12"/>
      <c r="L37" s="12"/>
      <c r="M37" s="621" t="s">
        <v>871</v>
      </c>
      <c r="N37" s="626">
        <f>I31*Q83</f>
        <v>0</v>
      </c>
      <c r="O37" s="622">
        <v>0</v>
      </c>
      <c r="P37" s="12"/>
    </row>
    <row r="38" spans="1:16">
      <c r="A38" s="1">
        <v>12</v>
      </c>
      <c r="B38" s="27" t="s">
        <v>26</v>
      </c>
      <c r="C38" s="12"/>
      <c r="D38" s="12"/>
      <c r="E38" s="12"/>
      <c r="F38" s="12"/>
      <c r="G38" s="11"/>
      <c r="H38" s="12"/>
      <c r="I38" s="23">
        <v>0</v>
      </c>
      <c r="J38" s="12"/>
      <c r="K38" s="12"/>
      <c r="L38" s="12"/>
      <c r="M38" s="624" t="s">
        <v>872</v>
      </c>
      <c r="N38" s="623">
        <f>N36+N37</f>
        <v>4492323.1035397835</v>
      </c>
      <c r="O38" s="625">
        <f>O36+O37</f>
        <v>19826</v>
      </c>
      <c r="P38" s="12"/>
    </row>
    <row r="39" spans="1:16">
      <c r="A39" s="1">
        <v>13</v>
      </c>
      <c r="B39" s="27" t="s">
        <v>175</v>
      </c>
      <c r="C39" s="12"/>
      <c r="D39" s="12"/>
      <c r="E39" s="12"/>
      <c r="F39" s="12"/>
      <c r="G39" s="11"/>
      <c r="H39" s="12"/>
      <c r="I39" s="28">
        <v>0</v>
      </c>
      <c r="J39" s="12"/>
      <c r="K39" s="12"/>
      <c r="L39" s="12"/>
      <c r="O39" s="12"/>
      <c r="P39" s="12"/>
    </row>
    <row r="40" spans="1:16" ht="16.5" thickBot="1">
      <c r="A40" s="1">
        <v>14</v>
      </c>
      <c r="B40" s="2" t="s">
        <v>169</v>
      </c>
      <c r="C40" s="12"/>
      <c r="D40" s="12"/>
      <c r="E40" s="12"/>
      <c r="F40" s="12"/>
      <c r="G40" s="12"/>
      <c r="H40" s="12"/>
      <c r="I40" s="29">
        <v>0</v>
      </c>
      <c r="J40" s="12"/>
      <c r="K40" s="12"/>
      <c r="L40" s="12"/>
      <c r="O40" s="12"/>
      <c r="P40" s="12"/>
    </row>
    <row r="41" spans="1:16">
      <c r="A41" s="1">
        <v>15</v>
      </c>
      <c r="B41" s="4" t="s">
        <v>223</v>
      </c>
      <c r="C41" s="12"/>
      <c r="D41" s="12"/>
      <c r="E41" s="12"/>
      <c r="F41" s="12"/>
      <c r="G41" s="12"/>
      <c r="H41" s="12"/>
      <c r="I41" s="19">
        <f>SUM(I34:I40)</f>
        <v>19826</v>
      </c>
      <c r="J41" s="12"/>
      <c r="K41" s="12"/>
      <c r="L41" s="12"/>
      <c r="O41" s="12"/>
      <c r="P41" s="12"/>
    </row>
    <row r="42" spans="1:16">
      <c r="A42" s="1"/>
      <c r="B42" s="4"/>
      <c r="C42" s="12"/>
      <c r="D42" s="12"/>
      <c r="E42" s="12"/>
      <c r="F42" s="12"/>
      <c r="G42" s="12"/>
      <c r="H42" s="12"/>
      <c r="I42" s="19"/>
      <c r="J42" s="12"/>
      <c r="K42" s="12"/>
      <c r="L42" s="12"/>
      <c r="N42" s="12"/>
      <c r="O42" s="12"/>
      <c r="P42" s="12"/>
    </row>
    <row r="43" spans="1:16">
      <c r="A43" s="1">
        <v>16</v>
      </c>
      <c r="B43" s="4" t="s">
        <v>27</v>
      </c>
      <c r="C43" s="12" t="s">
        <v>222</v>
      </c>
      <c r="D43" s="30">
        <f>IF(I41&gt;0,I31/I41,0)</f>
        <v>226.58746613234055</v>
      </c>
      <c r="E43" s="12"/>
      <c r="F43" s="12"/>
      <c r="G43" s="12"/>
      <c r="H43" s="12"/>
      <c r="J43" s="12"/>
      <c r="K43" s="12"/>
      <c r="L43" s="12"/>
      <c r="M43" s="264"/>
      <c r="N43" s="12"/>
      <c r="O43" s="12"/>
      <c r="P43" s="12"/>
    </row>
    <row r="44" spans="1:16">
      <c r="A44" s="1">
        <v>17</v>
      </c>
      <c r="B44" s="4" t="s">
        <v>862</v>
      </c>
      <c r="C44" s="12"/>
      <c r="D44" s="30">
        <f>+D43/12</f>
        <v>18.882288844361714</v>
      </c>
      <c r="E44" s="12"/>
      <c r="F44" s="12"/>
      <c r="G44" s="12"/>
      <c r="H44" s="12"/>
      <c r="J44" s="12"/>
      <c r="K44" s="12"/>
      <c r="L44" s="12"/>
      <c r="N44" s="12"/>
      <c r="O44" s="12"/>
      <c r="P44" s="12"/>
    </row>
    <row r="45" spans="1:16">
      <c r="A45" s="1"/>
      <c r="B45" s="4"/>
      <c r="C45" s="12"/>
      <c r="D45" s="30"/>
      <c r="E45" s="12"/>
      <c r="F45" s="12"/>
      <c r="G45" s="12"/>
      <c r="H45" s="12"/>
      <c r="J45" s="12"/>
      <c r="K45" s="12"/>
      <c r="L45" s="12"/>
      <c r="N45" s="12"/>
      <c r="O45" s="12"/>
      <c r="P45" s="12"/>
    </row>
    <row r="46" spans="1:16">
      <c r="A46" s="1"/>
      <c r="B46" s="4"/>
      <c r="C46" s="12"/>
      <c r="D46" s="31" t="s">
        <v>28</v>
      </c>
      <c r="E46" s="12"/>
      <c r="F46" s="12"/>
      <c r="G46" s="12"/>
      <c r="H46" s="12"/>
      <c r="I46" s="32" t="s">
        <v>29</v>
      </c>
      <c r="J46" s="12"/>
      <c r="K46" s="12"/>
      <c r="L46" s="12"/>
      <c r="N46" s="12"/>
      <c r="O46" s="12"/>
      <c r="P46" s="12"/>
    </row>
    <row r="47" spans="1:16">
      <c r="A47" s="1">
        <v>18</v>
      </c>
      <c r="B47" s="4" t="s">
        <v>30</v>
      </c>
      <c r="C47" s="12" t="s">
        <v>224</v>
      </c>
      <c r="D47" s="30">
        <f>+D43/52</f>
        <v>4.3574512717757798</v>
      </c>
      <c r="E47" s="12"/>
      <c r="F47" s="12"/>
      <c r="G47" s="12"/>
      <c r="H47" s="12"/>
      <c r="I47" s="33">
        <f>+D43/52</f>
        <v>4.3574512717757798</v>
      </c>
      <c r="J47" s="12"/>
      <c r="K47" s="12"/>
      <c r="L47" s="12"/>
      <c r="N47" s="12"/>
      <c r="O47" s="12"/>
      <c r="P47" s="12"/>
    </row>
    <row r="48" spans="1:16">
      <c r="A48" s="1">
        <v>19</v>
      </c>
      <c r="B48" s="4" t="s">
        <v>31</v>
      </c>
      <c r="C48" s="12" t="s">
        <v>264</v>
      </c>
      <c r="D48" s="30">
        <f>+D43/260</f>
        <v>0.87149025435515592</v>
      </c>
      <c r="E48" s="12" t="s">
        <v>32</v>
      </c>
      <c r="G48" s="12"/>
      <c r="H48" s="12"/>
      <c r="I48" s="33">
        <f>+D43/365</f>
        <v>0.62078757844476862</v>
      </c>
      <c r="J48" s="12"/>
      <c r="K48" s="12"/>
      <c r="L48" s="12"/>
      <c r="N48" s="12"/>
      <c r="O48" s="12"/>
      <c r="P48" s="12"/>
    </row>
    <row r="49" spans="1:16">
      <c r="A49" s="1">
        <v>20</v>
      </c>
      <c r="B49" s="4" t="s">
        <v>33</v>
      </c>
      <c r="C49" s="12" t="s">
        <v>265</v>
      </c>
      <c r="D49" s="30">
        <f>+D43/4160*1000</f>
        <v>54.468140897197244</v>
      </c>
      <c r="E49" s="12" t="s">
        <v>34</v>
      </c>
      <c r="G49" s="12"/>
      <c r="H49" s="12"/>
      <c r="I49" s="33">
        <f>+D43/8760*1000</f>
        <v>25.866149101865361</v>
      </c>
      <c r="J49" s="12"/>
      <c r="K49" s="12" t="s">
        <v>2</v>
      </c>
      <c r="L49" s="12"/>
      <c r="N49" s="12"/>
      <c r="O49" s="12"/>
      <c r="P49" s="12"/>
    </row>
    <row r="50" spans="1:16">
      <c r="A50" s="1"/>
      <c r="B50" s="4"/>
      <c r="C50" s="12" t="s">
        <v>35</v>
      </c>
      <c r="D50" s="12"/>
      <c r="E50" s="12" t="s">
        <v>36</v>
      </c>
      <c r="G50" s="12"/>
      <c r="H50" s="12"/>
      <c r="J50" s="12"/>
      <c r="K50" s="12" t="s">
        <v>2</v>
      </c>
      <c r="L50" s="12"/>
      <c r="N50" s="12"/>
      <c r="O50" s="12"/>
      <c r="P50" s="12"/>
    </row>
    <row r="51" spans="1:16">
      <c r="A51" s="1"/>
      <c r="B51" s="4"/>
      <c r="C51" s="12"/>
      <c r="D51" s="12"/>
      <c r="E51" s="12"/>
      <c r="G51" s="12"/>
      <c r="H51" s="12"/>
      <c r="J51" s="12"/>
      <c r="K51" s="12" t="s">
        <v>2</v>
      </c>
      <c r="L51" s="12"/>
      <c r="N51" s="12"/>
      <c r="O51" s="12"/>
      <c r="P51" s="12"/>
    </row>
    <row r="52" spans="1:16">
      <c r="A52" s="1">
        <v>21</v>
      </c>
      <c r="B52" s="4" t="s">
        <v>225</v>
      </c>
      <c r="C52" s="12" t="s">
        <v>217</v>
      </c>
      <c r="D52" s="34">
        <v>0</v>
      </c>
      <c r="E52" s="35" t="s">
        <v>37</v>
      </c>
      <c r="F52" s="35"/>
      <c r="G52" s="35"/>
      <c r="H52" s="35"/>
      <c r="I52" s="35">
        <f>D52</f>
        <v>0</v>
      </c>
      <c r="J52" s="35" t="s">
        <v>37</v>
      </c>
      <c r="K52" s="12"/>
      <c r="L52" s="12"/>
      <c r="N52" s="12"/>
      <c r="O52" s="12"/>
      <c r="P52" s="12"/>
    </row>
    <row r="53" spans="1:16">
      <c r="A53" s="1">
        <v>22</v>
      </c>
      <c r="B53" s="4"/>
      <c r="C53" s="12"/>
      <c r="D53" s="34">
        <v>0</v>
      </c>
      <c r="E53" s="35" t="s">
        <v>38</v>
      </c>
      <c r="F53" s="35"/>
      <c r="G53" s="35"/>
      <c r="H53" s="35"/>
      <c r="I53" s="35">
        <f>D53</f>
        <v>0</v>
      </c>
      <c r="J53" s="35" t="s">
        <v>38</v>
      </c>
      <c r="K53" s="12"/>
      <c r="L53" s="12"/>
      <c r="N53" s="12"/>
      <c r="O53" s="12"/>
      <c r="P53" s="12"/>
    </row>
    <row r="54" spans="1:16">
      <c r="J54" s="11"/>
      <c r="K54" s="12"/>
      <c r="L54" s="12"/>
      <c r="N54" s="12"/>
      <c r="O54" s="12"/>
      <c r="P54" s="12"/>
    </row>
    <row r="55" spans="1:16">
      <c r="J55" s="11"/>
      <c r="K55" s="12"/>
      <c r="L55" s="12"/>
      <c r="N55" s="12"/>
      <c r="O55" s="12"/>
      <c r="P55" s="12"/>
    </row>
    <row r="56" spans="1:16">
      <c r="J56" s="11"/>
      <c r="K56" s="12"/>
      <c r="L56" s="12"/>
      <c r="N56" s="12"/>
      <c r="O56" s="12"/>
      <c r="P56" s="12"/>
    </row>
    <row r="57" spans="1:16">
      <c r="J57" s="11"/>
      <c r="K57" s="12"/>
      <c r="L57" s="12"/>
      <c r="N57" s="12"/>
      <c r="O57" s="12"/>
      <c r="P57" s="12"/>
    </row>
    <row r="58" spans="1:16">
      <c r="J58" s="11"/>
      <c r="K58" s="12"/>
      <c r="L58" s="12"/>
      <c r="N58" s="12"/>
      <c r="O58" s="12"/>
      <c r="P58" s="12"/>
    </row>
    <row r="59" spans="1:16">
      <c r="J59" s="11"/>
      <c r="K59" s="12"/>
      <c r="L59" s="12"/>
      <c r="N59" s="12"/>
      <c r="O59" s="12"/>
      <c r="P59" s="12"/>
    </row>
    <row r="60" spans="1:16">
      <c r="J60" s="11"/>
      <c r="K60" s="12"/>
      <c r="L60" s="12"/>
      <c r="N60" s="12"/>
      <c r="O60" s="12"/>
      <c r="P60" s="12"/>
    </row>
    <row r="61" spans="1:16">
      <c r="J61" s="11"/>
      <c r="K61" s="12"/>
      <c r="L61" s="12"/>
      <c r="N61" s="12"/>
      <c r="O61" s="12"/>
      <c r="P61" s="12"/>
    </row>
    <row r="62" spans="1:16">
      <c r="J62" s="11"/>
      <c r="K62" s="12"/>
      <c r="L62" s="12"/>
      <c r="N62" s="12"/>
      <c r="O62" s="12"/>
      <c r="P62" s="12"/>
    </row>
    <row r="63" spans="1:16">
      <c r="J63" s="11"/>
      <c r="K63" s="12"/>
      <c r="L63" s="12"/>
      <c r="N63" s="12"/>
      <c r="O63" s="12"/>
      <c r="P63" s="12"/>
    </row>
    <row r="64" spans="1:16">
      <c r="J64" s="11"/>
      <c r="K64" s="12"/>
      <c r="L64" s="12"/>
      <c r="N64" s="12"/>
      <c r="O64" s="12"/>
      <c r="P64" s="12"/>
    </row>
    <row r="65" spans="1:17">
      <c r="J65" s="11"/>
      <c r="K65" s="12"/>
      <c r="L65" s="12"/>
      <c r="N65" s="12"/>
      <c r="O65" s="12"/>
      <c r="P65" s="12"/>
    </row>
    <row r="66" spans="1:17">
      <c r="J66" s="11"/>
      <c r="K66" s="12"/>
      <c r="L66" s="12"/>
      <c r="N66" s="12"/>
      <c r="O66" s="12"/>
      <c r="P66" s="12"/>
    </row>
    <row r="67" spans="1:17">
      <c r="J67" s="11"/>
      <c r="K67" s="12"/>
      <c r="L67" s="12"/>
      <c r="N67" s="12"/>
      <c r="O67" s="12"/>
      <c r="P67" s="12"/>
    </row>
    <row r="68" spans="1:17">
      <c r="J68" s="11"/>
      <c r="K68" s="12"/>
      <c r="L68" s="12"/>
      <c r="N68" s="12"/>
      <c r="O68" s="12"/>
      <c r="P68" s="12"/>
    </row>
    <row r="69" spans="1:17">
      <c r="J69" s="11"/>
      <c r="K69" s="12"/>
      <c r="L69" s="12"/>
      <c r="N69" s="12"/>
      <c r="O69" s="12"/>
      <c r="P69" s="12"/>
    </row>
    <row r="70" spans="1:17">
      <c r="B70" s="2"/>
      <c r="C70" s="2"/>
      <c r="D70" s="10"/>
      <c r="E70" s="2"/>
      <c r="F70" s="2"/>
      <c r="G70" s="2"/>
      <c r="H70" s="11"/>
      <c r="I70" s="11"/>
      <c r="K70" s="13" t="s">
        <v>184</v>
      </c>
      <c r="L70" s="13"/>
      <c r="N70" s="12"/>
      <c r="O70" s="12"/>
      <c r="P70" s="12"/>
    </row>
    <row r="71" spans="1:17">
      <c r="B71" s="12"/>
      <c r="C71" s="12"/>
      <c r="D71" s="12"/>
      <c r="E71" s="12"/>
      <c r="F71" s="12"/>
      <c r="G71" s="12"/>
      <c r="H71" s="12"/>
      <c r="I71" s="12"/>
      <c r="J71" s="12"/>
      <c r="K71" s="12"/>
      <c r="L71" s="12"/>
      <c r="N71" s="12"/>
      <c r="O71" s="12"/>
      <c r="P71" s="12"/>
    </row>
    <row r="72" spans="1:17">
      <c r="B72" s="4" t="str">
        <f>B3</f>
        <v xml:space="preserve">Formula Rate - Non-Levelized </v>
      </c>
      <c r="C72" s="4"/>
      <c r="D72" s="36" t="str">
        <f>D3</f>
        <v xml:space="preserve">   Rate Formula Template</v>
      </c>
      <c r="E72" s="4"/>
      <c r="F72" s="4"/>
      <c r="G72" s="4"/>
      <c r="H72" s="4"/>
      <c r="J72" s="4"/>
      <c r="K72" s="13" t="str">
        <f>K3</f>
        <v>For the 12 months ended 12/31/15</v>
      </c>
      <c r="L72" s="12"/>
      <c r="N72" s="4"/>
      <c r="O72" s="4"/>
      <c r="P72" s="4"/>
    </row>
    <row r="73" spans="1:17">
      <c r="B73" s="4"/>
      <c r="C73" s="5" t="s">
        <v>2</v>
      </c>
      <c r="D73" s="5" t="str">
        <f>D4</f>
        <v>Utilizing EIA Form 412 Data</v>
      </c>
      <c r="E73" s="5"/>
      <c r="F73" s="5"/>
      <c r="G73" s="5"/>
      <c r="H73" s="5"/>
      <c r="I73" s="5"/>
      <c r="J73" s="5"/>
      <c r="K73" s="5"/>
      <c r="L73" s="12"/>
      <c r="N73" s="12"/>
      <c r="O73" s="5"/>
      <c r="P73" s="4"/>
    </row>
    <row r="74" spans="1:17">
      <c r="B74" s="4"/>
      <c r="C74" s="5" t="s">
        <v>2</v>
      </c>
      <c r="D74" s="5" t="s">
        <v>2</v>
      </c>
      <c r="E74" s="5"/>
      <c r="F74" s="5"/>
      <c r="G74" s="5" t="s">
        <v>2</v>
      </c>
      <c r="H74" s="5"/>
      <c r="I74" s="5"/>
      <c r="J74" s="5"/>
      <c r="K74" s="5"/>
      <c r="L74" s="4"/>
      <c r="N74" s="5"/>
      <c r="O74" s="5"/>
      <c r="P74" s="4"/>
    </row>
    <row r="75" spans="1:17">
      <c r="B75" s="4"/>
      <c r="C75" s="12"/>
      <c r="D75" s="5" t="str">
        <f>D6</f>
        <v>Rochester Public Utilities</v>
      </c>
      <c r="E75" s="5"/>
      <c r="F75" s="5"/>
      <c r="G75" s="5"/>
      <c r="H75" s="5"/>
      <c r="I75" s="5"/>
      <c r="J75" s="5"/>
      <c r="K75" s="5"/>
      <c r="L75" s="4"/>
      <c r="N75" s="5"/>
      <c r="O75" s="5"/>
      <c r="P75" s="4"/>
    </row>
    <row r="76" spans="1:17">
      <c r="B76" s="14" t="s">
        <v>39</v>
      </c>
      <c r="C76" s="14" t="s">
        <v>40</v>
      </c>
      <c r="D76" s="14" t="s">
        <v>41</v>
      </c>
      <c r="E76" s="5" t="s">
        <v>2</v>
      </c>
      <c r="F76" s="5"/>
      <c r="G76" s="37" t="s">
        <v>42</v>
      </c>
      <c r="H76" s="5"/>
      <c r="I76" s="38" t="s">
        <v>43</v>
      </c>
      <c r="J76" s="5"/>
      <c r="K76" s="14"/>
      <c r="L76" s="4"/>
      <c r="N76" s="14"/>
      <c r="O76" s="5"/>
      <c r="P76" s="4"/>
    </row>
    <row r="77" spans="1:17">
      <c r="A77" s="1" t="s">
        <v>4</v>
      </c>
      <c r="B77" s="4"/>
      <c r="C77" s="39" t="s">
        <v>44</v>
      </c>
      <c r="D77" s="5"/>
      <c r="E77" s="5"/>
      <c r="F77" s="5"/>
      <c r="G77" s="1"/>
      <c r="H77" s="5"/>
      <c r="I77" s="40" t="s">
        <v>45</v>
      </c>
      <c r="J77" s="5"/>
      <c r="K77" s="14"/>
      <c r="L77" s="4"/>
      <c r="N77" s="14"/>
      <c r="O77" s="14"/>
      <c r="P77" s="4"/>
    </row>
    <row r="78" spans="1:17" ht="16.5" thickBot="1">
      <c r="A78" s="18" t="s">
        <v>6</v>
      </c>
      <c r="B78" s="496" t="s">
        <v>863</v>
      </c>
      <c r="C78" s="41" t="s">
        <v>46</v>
      </c>
      <c r="D78" s="40" t="s">
        <v>47</v>
      </c>
      <c r="E78" s="42"/>
      <c r="F78" s="40" t="s">
        <v>48</v>
      </c>
      <c r="H78" s="42"/>
      <c r="I78" s="1" t="s">
        <v>49</v>
      </c>
      <c r="J78" s="5"/>
      <c r="K78" s="14"/>
      <c r="L78" s="4"/>
      <c r="N78" s="14"/>
      <c r="O78" s="14"/>
      <c r="P78" s="4"/>
    </row>
    <row r="79" spans="1:17">
      <c r="A79" s="1"/>
      <c r="B79" s="4" t="s">
        <v>296</v>
      </c>
      <c r="C79" s="5"/>
      <c r="D79" s="5"/>
      <c r="E79" s="5"/>
      <c r="F79" s="5"/>
      <c r="G79" s="5"/>
      <c r="H79" s="5"/>
      <c r="I79" s="5"/>
      <c r="J79" s="5"/>
      <c r="K79" s="5"/>
      <c r="L79" s="55"/>
      <c r="N79" s="5"/>
      <c r="O79" s="5"/>
      <c r="P79" s="4"/>
    </row>
    <row r="80" spans="1:17">
      <c r="A80" s="1">
        <v>1</v>
      </c>
      <c r="B80" s="4" t="s">
        <v>50</v>
      </c>
      <c r="C80" s="5" t="s">
        <v>266</v>
      </c>
      <c r="D80" s="44">
        <f>Plant!G24</f>
        <v>111364764</v>
      </c>
      <c r="E80" s="5"/>
      <c r="F80" s="5" t="s">
        <v>51</v>
      </c>
      <c r="G80" s="45" t="s">
        <v>2</v>
      </c>
      <c r="H80" s="5"/>
      <c r="I80" s="5" t="s">
        <v>2</v>
      </c>
      <c r="J80" s="5"/>
      <c r="K80" s="5"/>
      <c r="L80" s="55"/>
      <c r="M80" s="627"/>
      <c r="N80" s="627"/>
      <c r="O80" s="637" t="s">
        <v>873</v>
      </c>
      <c r="P80" s="638" t="s">
        <v>874</v>
      </c>
      <c r="Q80" s="616"/>
    </row>
    <row r="81" spans="1:17">
      <c r="A81" s="1">
        <v>2</v>
      </c>
      <c r="B81" s="4" t="s">
        <v>52</v>
      </c>
      <c r="C81" s="5" t="s">
        <v>267</v>
      </c>
      <c r="D81" s="44">
        <f>Plant!J24</f>
        <v>33119201.076923076</v>
      </c>
      <c r="E81" s="5"/>
      <c r="F81" s="5" t="s">
        <v>12</v>
      </c>
      <c r="G81" s="45">
        <f>I217</f>
        <v>1</v>
      </c>
      <c r="H81" s="5"/>
      <c r="I81" s="5">
        <f>+G81*D81</f>
        <v>33119201.076923076</v>
      </c>
      <c r="J81" s="5"/>
      <c r="K81" s="5"/>
      <c r="L81" s="55"/>
      <c r="M81" s="631" t="s">
        <v>875</v>
      </c>
      <c r="N81" s="632" t="s">
        <v>876</v>
      </c>
      <c r="O81" s="632" t="s">
        <v>876</v>
      </c>
      <c r="P81" s="632" t="s">
        <v>876</v>
      </c>
      <c r="Q81" s="633" t="s">
        <v>110</v>
      </c>
    </row>
    <row r="82" spans="1:17">
      <c r="A82" s="1">
        <v>3</v>
      </c>
      <c r="B82" s="4" t="s">
        <v>53</v>
      </c>
      <c r="C82" s="5" t="s">
        <v>268</v>
      </c>
      <c r="D82" s="44">
        <f>Plant!K24</f>
        <v>136466375.46153846</v>
      </c>
      <c r="E82" s="5"/>
      <c r="F82" s="5" t="s">
        <v>51</v>
      </c>
      <c r="G82" s="45" t="s">
        <v>2</v>
      </c>
      <c r="H82" s="5"/>
      <c r="I82" s="5" t="s">
        <v>2</v>
      </c>
      <c r="J82" s="5"/>
      <c r="K82" s="5"/>
      <c r="L82" s="55"/>
      <c r="M82" s="629" t="s">
        <v>870</v>
      </c>
      <c r="N82" s="610">
        <v>26719447</v>
      </c>
      <c r="O82" s="634">
        <v>0</v>
      </c>
      <c r="P82" s="634">
        <f>N82-O82</f>
        <v>26719447</v>
      </c>
      <c r="Q82" s="635">
        <f>P82/P84</f>
        <v>1</v>
      </c>
    </row>
    <row r="83" spans="1:17">
      <c r="A83" s="1">
        <v>4</v>
      </c>
      <c r="B83" s="4" t="s">
        <v>54</v>
      </c>
      <c r="C83" s="5" t="s">
        <v>297</v>
      </c>
      <c r="D83" s="44">
        <f>Plant!L24+Plant!M24</f>
        <v>46837066.384615384</v>
      </c>
      <c r="E83" s="5"/>
      <c r="F83" s="5" t="s">
        <v>55</v>
      </c>
      <c r="G83" s="45">
        <f>I233</f>
        <v>7.9245186610143167E-2</v>
      </c>
      <c r="H83" s="5"/>
      <c r="I83" s="5">
        <f>+G83*D83</f>
        <v>3711612.0659205099</v>
      </c>
      <c r="J83" s="5"/>
      <c r="K83" s="5"/>
      <c r="L83" s="55"/>
      <c r="M83" s="629" t="s">
        <v>871</v>
      </c>
      <c r="N83" s="610">
        <f>O83+P83</f>
        <v>6399754</v>
      </c>
      <c r="O83" s="610">
        <v>6399754</v>
      </c>
      <c r="P83" s="634">
        <v>0</v>
      </c>
      <c r="Q83" s="636">
        <f>P83/P84</f>
        <v>0</v>
      </c>
    </row>
    <row r="84" spans="1:17" ht="16.5" thickBot="1">
      <c r="A84" s="1">
        <v>5</v>
      </c>
      <c r="B84" s="4" t="s">
        <v>56</v>
      </c>
      <c r="C84" s="5"/>
      <c r="D84" s="46">
        <f>Plant!N24</f>
        <v>0</v>
      </c>
      <c r="E84" s="5"/>
      <c r="F84" s="5" t="s">
        <v>57</v>
      </c>
      <c r="G84" s="45">
        <f>K237</f>
        <v>7.9245186610143167E-2</v>
      </c>
      <c r="H84" s="5"/>
      <c r="I84" s="25">
        <f>+G84*D84</f>
        <v>0</v>
      </c>
      <c r="J84" s="5"/>
      <c r="K84" s="5"/>
      <c r="L84" s="55"/>
      <c r="M84" s="629" t="s">
        <v>877</v>
      </c>
      <c r="N84" s="630">
        <f>SUM(N82:N83)</f>
        <v>33119201</v>
      </c>
      <c r="O84" s="630">
        <f>SUM(O82:O83)</f>
        <v>6399754</v>
      </c>
      <c r="P84" s="630">
        <f>SUM(P82:P83)</f>
        <v>26719447</v>
      </c>
      <c r="Q84" s="636">
        <f>SUM(Q82:Q83)</f>
        <v>1</v>
      </c>
    </row>
    <row r="85" spans="1:17">
      <c r="A85" s="1">
        <v>6</v>
      </c>
      <c r="B85" s="2" t="s">
        <v>226</v>
      </c>
      <c r="C85" s="5"/>
      <c r="D85" s="5">
        <f>SUM(D80:D84)</f>
        <v>327787406.92307693</v>
      </c>
      <c r="E85" s="5"/>
      <c r="F85" s="5" t="s">
        <v>58</v>
      </c>
      <c r="G85" s="7">
        <f>IF(I85&gt;0,I85/D85,0)</f>
        <v>0.11236189177788276</v>
      </c>
      <c r="H85" s="5"/>
      <c r="I85" s="5">
        <f>SUM(I80:I84)</f>
        <v>36830813.142843589</v>
      </c>
      <c r="J85" s="5"/>
      <c r="K85" s="7"/>
      <c r="L85" s="55"/>
      <c r="N85" s="5"/>
      <c r="O85" s="5"/>
      <c r="P85" s="4"/>
    </row>
    <row r="86" spans="1:17">
      <c r="B86" s="4"/>
      <c r="C86" s="5"/>
      <c r="D86" s="5"/>
      <c r="E86" s="5"/>
      <c r="F86" s="5"/>
      <c r="G86" s="7"/>
      <c r="H86" s="5"/>
      <c r="I86" s="5"/>
      <c r="J86" s="5"/>
      <c r="K86" s="7"/>
      <c r="L86" s="55"/>
      <c r="N86" s="611"/>
      <c r="O86" s="611"/>
      <c r="P86" s="4"/>
    </row>
    <row r="87" spans="1:17">
      <c r="B87" s="4" t="s">
        <v>298</v>
      </c>
      <c r="C87" s="5"/>
      <c r="D87" s="5"/>
      <c r="E87" s="5"/>
      <c r="F87" s="5"/>
      <c r="G87" s="5"/>
      <c r="H87" s="5"/>
      <c r="I87" s="5"/>
      <c r="J87" s="5"/>
      <c r="K87" s="5"/>
      <c r="L87" s="55"/>
      <c r="N87" s="5"/>
      <c r="O87" s="5"/>
      <c r="P87" s="4"/>
    </row>
    <row r="88" spans="1:17">
      <c r="A88" s="1">
        <v>7</v>
      </c>
      <c r="B88" s="4" t="str">
        <f>+B80</f>
        <v xml:space="preserve">  Production</v>
      </c>
      <c r="D88" s="47">
        <f>Plant!G42</f>
        <v>86809751</v>
      </c>
      <c r="E88" s="5"/>
      <c r="F88" s="5" t="str">
        <f t="shared" ref="F88:G92" si="0">+F80</f>
        <v>NA</v>
      </c>
      <c r="G88" s="45" t="str">
        <f t="shared" si="0"/>
        <v xml:space="preserve"> </v>
      </c>
      <c r="H88" s="5"/>
      <c r="I88" s="5" t="s">
        <v>2</v>
      </c>
      <c r="J88" s="5"/>
      <c r="K88" s="5"/>
      <c r="L88" s="55"/>
      <c r="N88" s="5"/>
      <c r="O88" s="5"/>
      <c r="P88" s="4"/>
    </row>
    <row r="89" spans="1:17">
      <c r="A89" s="1">
        <v>8</v>
      </c>
      <c r="B89" s="4" t="str">
        <f>+B81</f>
        <v xml:space="preserve">  Transmission</v>
      </c>
      <c r="D89" s="47">
        <f>Plant!J42</f>
        <v>12042852.692307692</v>
      </c>
      <c r="E89" s="5"/>
      <c r="F89" s="5" t="str">
        <f t="shared" si="0"/>
        <v>TP</v>
      </c>
      <c r="G89" s="45">
        <f t="shared" si="0"/>
        <v>1</v>
      </c>
      <c r="H89" s="5"/>
      <c r="I89" s="5">
        <f>+G89*D89</f>
        <v>12042852.692307692</v>
      </c>
      <c r="J89" s="5"/>
      <c r="K89" s="5"/>
      <c r="L89" s="55"/>
      <c r="N89" s="5"/>
      <c r="O89" s="5"/>
      <c r="P89" s="4"/>
    </row>
    <row r="90" spans="1:17">
      <c r="A90" s="1">
        <v>9</v>
      </c>
      <c r="B90" s="4" t="str">
        <f>+B82</f>
        <v xml:space="preserve">  Distribution</v>
      </c>
      <c r="D90" s="47">
        <f>Plant!K42</f>
        <v>63053553.461538464</v>
      </c>
      <c r="E90" s="5"/>
      <c r="F90" s="5" t="str">
        <f t="shared" si="0"/>
        <v>NA</v>
      </c>
      <c r="G90" s="45" t="str">
        <f t="shared" si="0"/>
        <v xml:space="preserve"> </v>
      </c>
      <c r="H90" s="5"/>
      <c r="I90" s="5" t="s">
        <v>2</v>
      </c>
      <c r="J90" s="5"/>
      <c r="K90" s="5"/>
      <c r="L90" s="55"/>
      <c r="N90" s="5"/>
      <c r="O90" s="5"/>
      <c r="P90" s="4"/>
    </row>
    <row r="91" spans="1:17">
      <c r="A91" s="1">
        <v>10</v>
      </c>
      <c r="B91" s="4" t="str">
        <f>+B83</f>
        <v xml:space="preserve">  General &amp; Intangible</v>
      </c>
      <c r="D91" s="47">
        <f>Plant!L42+Plant!M42</f>
        <v>26464526.46153846</v>
      </c>
      <c r="E91" s="5"/>
      <c r="F91" s="5" t="str">
        <f t="shared" si="0"/>
        <v>W/S</v>
      </c>
      <c r="G91" s="45">
        <f t="shared" si="0"/>
        <v>7.9245186610143167E-2</v>
      </c>
      <c r="H91" s="5"/>
      <c r="I91" s="5">
        <f>+G91*D91</f>
        <v>2097186.337993687</v>
      </c>
      <c r="J91" s="5"/>
      <c r="K91" s="5"/>
      <c r="L91" s="55"/>
      <c r="N91" s="5"/>
      <c r="O91" s="14"/>
      <c r="P91" s="4"/>
    </row>
    <row r="92" spans="1:17" ht="16.5" thickBot="1">
      <c r="A92" s="1">
        <v>11</v>
      </c>
      <c r="B92" s="4" t="str">
        <f>+B84</f>
        <v xml:space="preserve">  Common</v>
      </c>
      <c r="C92" s="5"/>
      <c r="D92" s="46">
        <f>Plant!N42</f>
        <v>0</v>
      </c>
      <c r="E92" s="5"/>
      <c r="F92" s="5" t="str">
        <f t="shared" si="0"/>
        <v>CE</v>
      </c>
      <c r="G92" s="45">
        <f t="shared" si="0"/>
        <v>7.9245186610143167E-2</v>
      </c>
      <c r="H92" s="5"/>
      <c r="I92" s="25">
        <f>+G92*D92</f>
        <v>0</v>
      </c>
      <c r="J92" s="5"/>
      <c r="K92" s="5"/>
      <c r="L92" s="55"/>
      <c r="N92" s="5"/>
      <c r="O92" s="14"/>
      <c r="P92" s="4"/>
    </row>
    <row r="93" spans="1:17">
      <c r="A93" s="1">
        <v>12</v>
      </c>
      <c r="B93" s="4" t="s">
        <v>227</v>
      </c>
      <c r="C93" s="5"/>
      <c r="D93" s="5">
        <f>SUM(D88:D92)</f>
        <v>188370683.61538461</v>
      </c>
      <c r="E93" s="5"/>
      <c r="F93" s="5"/>
      <c r="G93" s="5"/>
      <c r="H93" s="5"/>
      <c r="I93" s="5">
        <f>SUM(I88:I92)</f>
        <v>14140039.030301379</v>
      </c>
      <c r="J93" s="5"/>
      <c r="K93" s="5"/>
      <c r="L93" s="55"/>
      <c r="N93" s="48"/>
      <c r="O93" s="5"/>
      <c r="P93" s="4"/>
    </row>
    <row r="94" spans="1:17">
      <c r="A94" s="1"/>
      <c r="C94" s="5" t="s">
        <v>2</v>
      </c>
      <c r="E94" s="5"/>
      <c r="F94" s="5"/>
      <c r="G94" s="7"/>
      <c r="H94" s="5"/>
      <c r="J94" s="5"/>
      <c r="K94" s="7"/>
      <c r="L94" s="55"/>
      <c r="N94" s="5"/>
      <c r="O94" s="5"/>
      <c r="P94" s="4"/>
    </row>
    <row r="95" spans="1:17">
      <c r="A95" s="1"/>
      <c r="B95" s="4" t="s">
        <v>59</v>
      </c>
      <c r="C95" s="5"/>
      <c r="D95" s="5"/>
      <c r="E95" s="5"/>
      <c r="F95" s="5"/>
      <c r="G95" s="5"/>
      <c r="H95" s="5"/>
      <c r="I95" s="5"/>
      <c r="J95" s="5"/>
      <c r="K95" s="5"/>
      <c r="L95" s="55"/>
      <c r="N95" s="5"/>
      <c r="O95" s="5"/>
      <c r="P95" s="4"/>
    </row>
    <row r="96" spans="1:17">
      <c r="A96" s="1">
        <v>13</v>
      </c>
      <c r="B96" s="4" t="str">
        <f>+B88</f>
        <v xml:space="preserve">  Production</v>
      </c>
      <c r="C96" s="5" t="s">
        <v>228</v>
      </c>
      <c r="D96" s="5">
        <f>D80-D88</f>
        <v>24555013</v>
      </c>
      <c r="E96" s="5"/>
      <c r="F96" s="5"/>
      <c r="G96" s="7"/>
      <c r="H96" s="5"/>
      <c r="I96" s="5" t="s">
        <v>2</v>
      </c>
      <c r="J96" s="5"/>
      <c r="K96" s="7"/>
      <c r="L96" s="55"/>
      <c r="N96" s="5"/>
      <c r="O96" s="5"/>
      <c r="P96" s="4"/>
    </row>
    <row r="97" spans="1:16">
      <c r="A97" s="1">
        <v>14</v>
      </c>
      <c r="B97" s="4" t="str">
        <f>+B89</f>
        <v xml:space="preserve">  Transmission</v>
      </c>
      <c r="C97" s="5" t="s">
        <v>229</v>
      </c>
      <c r="D97" s="5">
        <f>D81-D89</f>
        <v>21076348.384615384</v>
      </c>
      <c r="E97" s="5"/>
      <c r="F97" s="5"/>
      <c r="G97" s="45"/>
      <c r="H97" s="5"/>
      <c r="I97" s="5">
        <f>I81-I89</f>
        <v>21076348.384615384</v>
      </c>
      <c r="J97" s="5"/>
      <c r="K97" s="7"/>
      <c r="L97" s="55"/>
      <c r="N97" s="5"/>
      <c r="O97" s="5"/>
      <c r="P97" s="4"/>
    </row>
    <row r="98" spans="1:16">
      <c r="A98" s="1">
        <v>15</v>
      </c>
      <c r="B98" s="4" t="str">
        <f>+B90</f>
        <v xml:space="preserve">  Distribution</v>
      </c>
      <c r="C98" s="5" t="s">
        <v>230</v>
      </c>
      <c r="D98" s="5">
        <f>D82-D90</f>
        <v>73412822</v>
      </c>
      <c r="E98" s="5"/>
      <c r="F98" s="5"/>
      <c r="G98" s="7"/>
      <c r="H98" s="5"/>
      <c r="I98" s="5" t="s">
        <v>2</v>
      </c>
      <c r="J98" s="5"/>
      <c r="K98" s="7"/>
      <c r="L98" s="55"/>
      <c r="N98" s="5"/>
      <c r="O98" s="5"/>
      <c r="P98" s="4"/>
    </row>
    <row r="99" spans="1:16">
      <c r="A99" s="1">
        <v>16</v>
      </c>
      <c r="B99" s="4" t="str">
        <f>+B91</f>
        <v xml:space="preserve">  General &amp; Intangible</v>
      </c>
      <c r="C99" s="5" t="s">
        <v>231</v>
      </c>
      <c r="D99" s="5">
        <f>D83-D91</f>
        <v>20372539.923076924</v>
      </c>
      <c r="E99" s="5"/>
      <c r="F99" s="5"/>
      <c r="G99" s="7"/>
      <c r="H99" s="5"/>
      <c r="I99" s="5">
        <f>I83-I91</f>
        <v>1614425.7279268228</v>
      </c>
      <c r="J99" s="5"/>
      <c r="K99" s="7"/>
      <c r="L99" s="55"/>
      <c r="N99" s="5"/>
      <c r="O99" s="14"/>
      <c r="P99" s="4"/>
    </row>
    <row r="100" spans="1:16" ht="16.5" thickBot="1">
      <c r="A100" s="1">
        <v>17</v>
      </c>
      <c r="B100" s="4" t="str">
        <f>+B92</f>
        <v xml:space="preserve">  Common</v>
      </c>
      <c r="C100" s="5" t="s">
        <v>232</v>
      </c>
      <c r="D100" s="25">
        <f>D84-D92</f>
        <v>0</v>
      </c>
      <c r="E100" s="5"/>
      <c r="F100" s="5"/>
      <c r="G100" s="7"/>
      <c r="H100" s="5"/>
      <c r="I100" s="25">
        <f>I84-I92</f>
        <v>0</v>
      </c>
      <c r="J100" s="5"/>
      <c r="K100" s="7"/>
      <c r="L100" s="55"/>
      <c r="N100" s="5"/>
      <c r="O100" s="14"/>
      <c r="P100" s="4"/>
    </row>
    <row r="101" spans="1:16">
      <c r="A101" s="1">
        <v>18</v>
      </c>
      <c r="B101" s="4" t="s">
        <v>233</v>
      </c>
      <c r="C101" s="5"/>
      <c r="D101" s="5">
        <f>SUM(D96:D100)</f>
        <v>139416723.30769232</v>
      </c>
      <c r="E101" s="5"/>
      <c r="F101" s="5" t="s">
        <v>60</v>
      </c>
      <c r="G101" s="7">
        <f>IF(I101&gt;0,I101/D101,0)</f>
        <v>0.16275503809154754</v>
      </c>
      <c r="H101" s="5"/>
      <c r="I101" s="5">
        <f>SUM(I96:I100)</f>
        <v>22690774.112542208</v>
      </c>
      <c r="J101" s="5"/>
      <c r="K101" s="5"/>
      <c r="L101" s="55"/>
      <c r="N101" s="26"/>
      <c r="O101" s="5"/>
      <c r="P101" s="4"/>
    </row>
    <row r="102" spans="1:16">
      <c r="A102" s="1"/>
      <c r="C102" s="5"/>
      <c r="E102" s="5"/>
      <c r="H102" s="5"/>
      <c r="J102" s="5"/>
      <c r="K102" s="7"/>
      <c r="L102" s="55"/>
      <c r="N102" s="5"/>
      <c r="O102" s="5"/>
      <c r="P102" s="4"/>
    </row>
    <row r="103" spans="1:16">
      <c r="A103" s="1"/>
      <c r="B103" s="2" t="s">
        <v>234</v>
      </c>
      <c r="C103" s="5"/>
      <c r="D103" s="5"/>
      <c r="E103" s="5"/>
      <c r="F103" s="5"/>
      <c r="G103" s="5"/>
      <c r="H103" s="5"/>
      <c r="I103" s="5"/>
      <c r="J103" s="5"/>
      <c r="K103" s="5"/>
      <c r="L103" s="55"/>
      <c r="N103" s="5" t="s">
        <v>2</v>
      </c>
      <c r="O103" s="5"/>
      <c r="P103" s="4"/>
    </row>
    <row r="104" spans="1:16">
      <c r="A104" s="1">
        <v>19</v>
      </c>
      <c r="B104" s="4" t="s">
        <v>61</v>
      </c>
      <c r="C104" s="5"/>
      <c r="D104" s="47">
        <f>'Adj to Rate Base'!G11</f>
        <v>0</v>
      </c>
      <c r="E104" s="5"/>
      <c r="F104" s="5"/>
      <c r="G104" s="49" t="s">
        <v>176</v>
      </c>
      <c r="H104" s="5"/>
      <c r="I104" s="5">
        <v>0</v>
      </c>
      <c r="J104" s="5"/>
      <c r="K104" s="7"/>
      <c r="L104" s="55"/>
      <c r="N104" s="7"/>
      <c r="O104" s="14"/>
      <c r="P104" s="4"/>
    </row>
    <row r="105" spans="1:16">
      <c r="A105" s="1">
        <v>20</v>
      </c>
      <c r="B105" s="4" t="s">
        <v>63</v>
      </c>
      <c r="C105" s="5"/>
      <c r="D105" s="47">
        <f>'Adj to Rate Base'!G12</f>
        <v>0</v>
      </c>
      <c r="E105" s="5"/>
      <c r="F105" s="5" t="s">
        <v>62</v>
      </c>
      <c r="G105" s="45">
        <f>+G101</f>
        <v>0.16275503809154754</v>
      </c>
      <c r="H105" s="5"/>
      <c r="I105" s="5">
        <f>D105*G105</f>
        <v>0</v>
      </c>
      <c r="J105" s="5"/>
      <c r="K105" s="7"/>
      <c r="L105" s="55"/>
      <c r="N105" s="7"/>
      <c r="O105" s="14"/>
      <c r="P105" s="4"/>
    </row>
    <row r="106" spans="1:16">
      <c r="A106" s="1">
        <v>21</v>
      </c>
      <c r="B106" s="4" t="s">
        <v>64</v>
      </c>
      <c r="C106" s="5"/>
      <c r="D106" s="47">
        <f>'Adj to Rate Base'!G13</f>
        <v>0</v>
      </c>
      <c r="E106" s="5"/>
      <c r="F106" s="5" t="s">
        <v>62</v>
      </c>
      <c r="G106" s="45">
        <f>+G105</f>
        <v>0.16275503809154754</v>
      </c>
      <c r="H106" s="5"/>
      <c r="I106" s="5">
        <f>D106*G106</f>
        <v>0</v>
      </c>
      <c r="J106" s="5"/>
      <c r="K106" s="7"/>
      <c r="L106" s="55"/>
      <c r="N106" s="7"/>
      <c r="O106" s="14"/>
      <c r="P106" s="4"/>
    </row>
    <row r="107" spans="1:16">
      <c r="A107" s="1">
        <v>22</v>
      </c>
      <c r="B107" s="4" t="s">
        <v>65</v>
      </c>
      <c r="C107" s="5"/>
      <c r="D107" s="47">
        <f>'Adj to Rate Base'!G14</f>
        <v>0</v>
      </c>
      <c r="E107" s="5"/>
      <c r="F107" s="5" t="str">
        <f>+F106</f>
        <v>NP</v>
      </c>
      <c r="G107" s="45">
        <f>+G106</f>
        <v>0.16275503809154754</v>
      </c>
      <c r="H107" s="5"/>
      <c r="I107" s="5">
        <f>D107*G107</f>
        <v>0</v>
      </c>
      <c r="J107" s="5"/>
      <c r="K107" s="7"/>
      <c r="L107" s="55"/>
      <c r="N107" s="7"/>
      <c r="O107" s="14"/>
      <c r="P107" s="4"/>
    </row>
    <row r="108" spans="1:16" ht="16.5" thickBot="1">
      <c r="A108" s="1">
        <v>23</v>
      </c>
      <c r="B108" s="3" t="s">
        <v>66</v>
      </c>
      <c r="D108" s="46">
        <f>'Adj to Rate Base'!G15</f>
        <v>0</v>
      </c>
      <c r="E108" s="5"/>
      <c r="F108" s="5" t="s">
        <v>62</v>
      </c>
      <c r="G108" s="45">
        <f>+G106</f>
        <v>0.16275503809154754</v>
      </c>
      <c r="H108" s="5"/>
      <c r="I108" s="25">
        <f>D108*G108</f>
        <v>0</v>
      </c>
      <c r="J108" s="5"/>
      <c r="K108" s="5"/>
      <c r="L108" s="55"/>
      <c r="N108" s="48"/>
      <c r="O108" s="5"/>
      <c r="P108" s="4"/>
    </row>
    <row r="109" spans="1:16">
      <c r="A109" s="1">
        <v>24</v>
      </c>
      <c r="B109" s="4" t="s">
        <v>67</v>
      </c>
      <c r="C109" s="5"/>
      <c r="D109" s="5">
        <f>SUM(D104:D108)</f>
        <v>0</v>
      </c>
      <c r="E109" s="5"/>
      <c r="F109" s="5"/>
      <c r="G109" s="5"/>
      <c r="H109" s="5"/>
      <c r="I109" s="5">
        <f>SUM(I104:I108)</f>
        <v>0</v>
      </c>
      <c r="J109" s="5"/>
      <c r="K109" s="7"/>
      <c r="L109" s="55"/>
      <c r="N109" s="5"/>
      <c r="O109" s="5"/>
      <c r="P109" s="4"/>
    </row>
    <row r="110" spans="1:16">
      <c r="A110" s="1"/>
      <c r="B110" s="4"/>
      <c r="C110" s="5"/>
      <c r="D110" s="5"/>
      <c r="E110" s="5"/>
      <c r="F110" s="5"/>
      <c r="G110" s="5"/>
      <c r="H110" s="5"/>
      <c r="I110" s="5"/>
      <c r="J110" s="5"/>
      <c r="K110" s="7"/>
      <c r="L110" s="55"/>
      <c r="N110" s="5"/>
      <c r="O110" s="5"/>
      <c r="P110" s="4"/>
    </row>
    <row r="111" spans="1:16">
      <c r="A111" s="1">
        <v>25</v>
      </c>
      <c r="B111" s="2" t="s">
        <v>68</v>
      </c>
      <c r="C111" s="5" t="s">
        <v>269</v>
      </c>
      <c r="D111" s="47">
        <f>'Land Held for Future Use'!E22</f>
        <v>0</v>
      </c>
      <c r="E111" s="5"/>
      <c r="F111" s="5" t="str">
        <f>+F89</f>
        <v>TP</v>
      </c>
      <c r="G111" s="45">
        <f>+G89</f>
        <v>1</v>
      </c>
      <c r="H111" s="5"/>
      <c r="I111" s="5">
        <f>+G111*D111</f>
        <v>0</v>
      </c>
      <c r="J111" s="5"/>
      <c r="K111" s="5"/>
      <c r="L111" s="55"/>
      <c r="N111" s="5"/>
      <c r="O111" s="5"/>
      <c r="P111" s="4"/>
    </row>
    <row r="112" spans="1:16">
      <c r="A112" s="1"/>
      <c r="B112" s="4"/>
      <c r="C112" s="5"/>
      <c r="D112" s="5"/>
      <c r="E112" s="5"/>
      <c r="F112" s="5"/>
      <c r="G112" s="5"/>
      <c r="H112" s="5"/>
      <c r="I112" s="5"/>
      <c r="J112" s="5"/>
      <c r="K112" s="5"/>
      <c r="L112" s="55"/>
      <c r="N112" s="5"/>
      <c r="O112" s="5"/>
      <c r="P112" s="4"/>
    </row>
    <row r="113" spans="1:16">
      <c r="A113" s="1"/>
      <c r="B113" s="4" t="s">
        <v>69</v>
      </c>
      <c r="C113" s="5" t="s">
        <v>71</v>
      </c>
      <c r="D113" s="5"/>
      <c r="E113" s="5"/>
      <c r="F113" s="5"/>
      <c r="G113" s="5"/>
      <c r="H113" s="5"/>
      <c r="I113" s="5"/>
      <c r="J113" s="5"/>
      <c r="K113" s="5"/>
      <c r="L113" s="55"/>
      <c r="N113" s="5"/>
      <c r="O113" s="5"/>
      <c r="P113" s="4"/>
    </row>
    <row r="114" spans="1:16">
      <c r="A114" s="1">
        <v>26</v>
      </c>
      <c r="B114" s="4" t="s">
        <v>70</v>
      </c>
      <c r="D114" s="5">
        <f>D155/8</f>
        <v>1551299.125</v>
      </c>
      <c r="E114" s="5"/>
      <c r="F114" s="5"/>
      <c r="G114" s="7"/>
      <c r="H114" s="5"/>
      <c r="I114" s="5">
        <f>I155/8</f>
        <v>214169.60932829682</v>
      </c>
      <c r="J114" s="12"/>
      <c r="K114" s="7"/>
      <c r="L114" s="55"/>
      <c r="N114" s="50"/>
      <c r="O114" s="36"/>
      <c r="P114" s="4"/>
    </row>
    <row r="115" spans="1:16">
      <c r="A115" s="1">
        <v>27</v>
      </c>
      <c r="B115" s="4" t="s">
        <v>72</v>
      </c>
      <c r="C115" s="3" t="s">
        <v>235</v>
      </c>
      <c r="D115" s="47">
        <f>'Materials and Prepayments'!E22</f>
        <v>256538.46153846153</v>
      </c>
      <c r="E115" s="5"/>
      <c r="F115" s="5" t="s">
        <v>73</v>
      </c>
      <c r="G115" s="45">
        <f>I226</f>
        <v>0.95373642492051436</v>
      </c>
      <c r="H115" s="5"/>
      <c r="I115" s="5">
        <f>G115*D115</f>
        <v>244670.07516230119</v>
      </c>
      <c r="J115" s="5" t="s">
        <v>2</v>
      </c>
      <c r="K115" s="7"/>
      <c r="L115" s="55"/>
      <c r="N115" s="50"/>
      <c r="O115" s="14"/>
      <c r="P115" s="4"/>
    </row>
    <row r="116" spans="1:16" ht="16.5" thickBot="1">
      <c r="A116" s="1">
        <v>28</v>
      </c>
      <c r="B116" s="4" t="s">
        <v>74</v>
      </c>
      <c r="C116" s="3" t="s">
        <v>270</v>
      </c>
      <c r="D116" s="46">
        <f>'Materials and Prepayments'!F22</f>
        <v>375000</v>
      </c>
      <c r="E116" s="5"/>
      <c r="F116" s="5" t="s">
        <v>75</v>
      </c>
      <c r="G116" s="45">
        <f>+G85</f>
        <v>0.11236189177788276</v>
      </c>
      <c r="H116" s="5"/>
      <c r="I116" s="25">
        <f>+G116*D116</f>
        <v>42135.709416706035</v>
      </c>
      <c r="J116" s="5"/>
      <c r="K116" s="7"/>
      <c r="L116" s="55"/>
      <c r="N116" s="50"/>
      <c r="O116" s="14"/>
      <c r="P116" s="4"/>
    </row>
    <row r="117" spans="1:16">
      <c r="A117" s="1">
        <v>29</v>
      </c>
      <c r="B117" s="4" t="s">
        <v>236</v>
      </c>
      <c r="C117" s="12"/>
      <c r="D117" s="5">
        <f>D114+D115+D116</f>
        <v>2182837.5865384615</v>
      </c>
      <c r="E117" s="12"/>
      <c r="F117" s="12"/>
      <c r="G117" s="12"/>
      <c r="H117" s="12"/>
      <c r="I117" s="5">
        <f>I114+I115+I116</f>
        <v>500975.3939073041</v>
      </c>
      <c r="J117" s="12"/>
      <c r="K117" s="12"/>
      <c r="L117" s="55"/>
      <c r="N117" s="48"/>
      <c r="O117" s="5"/>
      <c r="P117" s="4"/>
    </row>
    <row r="118" spans="1:16" ht="16.5" thickBot="1">
      <c r="C118" s="5"/>
      <c r="D118" s="51"/>
      <c r="E118" s="5"/>
      <c r="F118" s="5"/>
      <c r="G118" s="5"/>
      <c r="H118" s="5"/>
      <c r="I118" s="51"/>
      <c r="J118" s="5"/>
      <c r="K118" s="5"/>
      <c r="L118" s="55"/>
      <c r="N118" s="5"/>
      <c r="O118" s="5"/>
      <c r="P118" s="4"/>
    </row>
    <row r="119" spans="1:16" ht="16.5" thickBot="1">
      <c r="A119" s="1">
        <v>30</v>
      </c>
      <c r="B119" s="4" t="s">
        <v>76</v>
      </c>
      <c r="C119" s="5"/>
      <c r="D119" s="52">
        <f>+D117+D111+D109+D101</f>
        <v>141599560.89423078</v>
      </c>
      <c r="E119" s="5"/>
      <c r="F119" s="5"/>
      <c r="G119" s="7"/>
      <c r="H119" s="5"/>
      <c r="I119" s="52">
        <f>+I117+I111+I109+I101</f>
        <v>23191749.506449513</v>
      </c>
      <c r="J119" s="5"/>
      <c r="K119" s="7"/>
      <c r="L119" s="4"/>
      <c r="N119" s="5"/>
      <c r="O119" s="5"/>
      <c r="P119" s="4"/>
    </row>
    <row r="120" spans="1:16" ht="16.5" thickTop="1">
      <c r="A120" s="1"/>
      <c r="B120" s="4"/>
      <c r="C120" s="5"/>
      <c r="D120" s="5"/>
      <c r="E120" s="5"/>
      <c r="F120" s="5"/>
      <c r="G120" s="5"/>
      <c r="H120" s="5"/>
      <c r="I120" s="5"/>
      <c r="J120" s="5"/>
      <c r="K120" s="5"/>
      <c r="L120" s="12"/>
      <c r="N120" s="5"/>
      <c r="O120" s="5"/>
      <c r="P120" s="4"/>
    </row>
    <row r="121" spans="1:16">
      <c r="A121" s="1"/>
      <c r="B121" s="4"/>
      <c r="C121" s="5"/>
      <c r="D121" s="5"/>
      <c r="E121" s="5"/>
      <c r="F121" s="5"/>
      <c r="G121" s="5"/>
      <c r="H121" s="5"/>
      <c r="I121" s="5"/>
      <c r="J121" s="5"/>
      <c r="K121" s="5"/>
      <c r="L121" s="12"/>
      <c r="N121" s="5"/>
      <c r="O121" s="5"/>
      <c r="P121" s="4"/>
    </row>
    <row r="122" spans="1:16">
      <c r="A122" s="1"/>
      <c r="B122" s="4"/>
      <c r="C122" s="5"/>
      <c r="D122" s="5"/>
      <c r="E122" s="5"/>
      <c r="F122" s="5"/>
      <c r="G122" s="5"/>
      <c r="H122" s="5"/>
      <c r="I122" s="5"/>
      <c r="J122" s="5"/>
      <c r="K122" s="5"/>
      <c r="L122" s="12"/>
      <c r="N122" s="5"/>
      <c r="O122" s="5"/>
      <c r="P122" s="4"/>
    </row>
    <row r="123" spans="1:16">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5"/>
      <c r="L134" s="12"/>
      <c r="N134" s="5"/>
      <c r="O134" s="5"/>
      <c r="P134" s="4"/>
    </row>
    <row r="135" spans="1:16">
      <c r="A135" s="1"/>
      <c r="B135" s="4"/>
      <c r="C135" s="5"/>
      <c r="D135" s="5"/>
      <c r="E135" s="5"/>
      <c r="F135" s="5"/>
      <c r="G135" s="5"/>
      <c r="H135" s="5"/>
      <c r="I135" s="5"/>
      <c r="J135" s="5"/>
      <c r="K135" s="5"/>
      <c r="L135" s="12"/>
      <c r="N135" s="5"/>
      <c r="O135" s="5"/>
      <c r="P135" s="4"/>
    </row>
    <row r="136" spans="1:16">
      <c r="B136" s="2"/>
      <c r="C136" s="2"/>
      <c r="D136" s="10"/>
      <c r="E136" s="2"/>
      <c r="F136" s="2"/>
      <c r="G136" s="2"/>
      <c r="H136" s="11"/>
      <c r="I136" s="12"/>
      <c r="K136" s="13" t="s">
        <v>185</v>
      </c>
      <c r="L136" s="12"/>
      <c r="N136" s="12"/>
      <c r="O136" s="12"/>
      <c r="P136" s="12"/>
    </row>
    <row r="137" spans="1:16">
      <c r="A137" s="1"/>
      <c r="B137" s="4"/>
      <c r="C137" s="5"/>
      <c r="D137" s="5"/>
      <c r="E137" s="5"/>
      <c r="F137" s="5"/>
      <c r="G137" s="5"/>
      <c r="H137" s="5"/>
      <c r="I137" s="5"/>
      <c r="J137" s="5"/>
      <c r="K137" s="5"/>
      <c r="L137" s="12"/>
      <c r="N137" s="5"/>
      <c r="O137" s="5"/>
      <c r="P137" s="4"/>
    </row>
    <row r="138" spans="1:16">
      <c r="A138" s="1"/>
      <c r="B138" s="4" t="str">
        <f>B3</f>
        <v xml:space="preserve">Formula Rate - Non-Levelized </v>
      </c>
      <c r="C138" s="5"/>
      <c r="D138" s="5" t="str">
        <f>D3</f>
        <v xml:space="preserve">   Rate Formula Template</v>
      </c>
      <c r="E138" s="5"/>
      <c r="F138" s="5"/>
      <c r="G138" s="5"/>
      <c r="H138" s="5"/>
      <c r="J138" s="5"/>
      <c r="K138" s="53" t="str">
        <f>K3</f>
        <v>For the 12 months ended 12/31/15</v>
      </c>
      <c r="L138" s="4"/>
      <c r="N138" s="5"/>
      <c r="O138" s="5"/>
      <c r="P138" s="4"/>
    </row>
    <row r="139" spans="1:16">
      <c r="A139" s="1"/>
      <c r="B139" s="4"/>
      <c r="C139" s="5"/>
      <c r="D139" s="5" t="str">
        <f>D4</f>
        <v>Utilizing EIA Form 412 Data</v>
      </c>
      <c r="E139" s="5"/>
      <c r="F139" s="5"/>
      <c r="G139" s="5"/>
      <c r="H139" s="5"/>
      <c r="I139" s="5"/>
      <c r="J139" s="5"/>
      <c r="K139" s="5"/>
      <c r="L139" s="4"/>
      <c r="N139" s="5"/>
      <c r="O139" s="5"/>
      <c r="P139" s="4"/>
    </row>
    <row r="140" spans="1:16">
      <c r="A140" s="1"/>
      <c r="C140" s="5"/>
      <c r="D140" s="5"/>
      <c r="E140" s="5"/>
      <c r="F140" s="5"/>
      <c r="G140" s="5"/>
      <c r="H140" s="5"/>
      <c r="I140" s="5"/>
      <c r="J140" s="5"/>
      <c r="K140" s="5"/>
      <c r="L140" s="4"/>
      <c r="N140" s="5"/>
      <c r="O140" s="5"/>
      <c r="P140" s="4"/>
    </row>
    <row r="141" spans="1:16">
      <c r="A141" s="1"/>
      <c r="D141" s="3" t="str">
        <f>D6</f>
        <v>Rochester Public Utilities</v>
      </c>
      <c r="J141" s="5"/>
      <c r="K141" s="5"/>
      <c r="L141" s="4"/>
      <c r="N141" s="5"/>
      <c r="O141" s="5"/>
      <c r="P141" s="4"/>
    </row>
    <row r="142" spans="1:16">
      <c r="A142" s="1"/>
      <c r="B142" s="14" t="s">
        <v>39</v>
      </c>
      <c r="C142" s="14" t="s">
        <v>40</v>
      </c>
      <c r="D142" s="14" t="s">
        <v>41</v>
      </c>
      <c r="E142" s="5" t="s">
        <v>2</v>
      </c>
      <c r="F142" s="5"/>
      <c r="G142" s="37" t="s">
        <v>42</v>
      </c>
      <c r="H142" s="5"/>
      <c r="I142" s="38" t="s">
        <v>43</v>
      </c>
      <c r="J142" s="5"/>
      <c r="K142" s="5"/>
      <c r="L142" s="4"/>
      <c r="N142" s="12"/>
      <c r="O142" s="5"/>
      <c r="P142" s="4"/>
    </row>
    <row r="143" spans="1:16">
      <c r="A143" s="1" t="s">
        <v>4</v>
      </c>
      <c r="B143" s="4"/>
      <c r="C143" s="39" t="s">
        <v>44</v>
      </c>
      <c r="D143" s="5"/>
      <c r="E143" s="5"/>
      <c r="F143" s="5"/>
      <c r="G143" s="1"/>
      <c r="H143" s="5"/>
      <c r="I143" s="40" t="s">
        <v>45</v>
      </c>
      <c r="J143" s="5"/>
      <c r="K143" s="40"/>
      <c r="L143" s="4"/>
      <c r="N143" s="1"/>
      <c r="O143" s="5"/>
      <c r="P143" s="4"/>
    </row>
    <row r="144" spans="1:16" ht="16.5" thickBot="1">
      <c r="A144" s="18" t="s">
        <v>6</v>
      </c>
      <c r="B144" s="4"/>
      <c r="C144" s="41" t="s">
        <v>46</v>
      </c>
      <c r="D144" s="40" t="s">
        <v>47</v>
      </c>
      <c r="E144" s="42"/>
      <c r="F144" s="40" t="s">
        <v>48</v>
      </c>
      <c r="H144" s="42"/>
      <c r="I144" s="1" t="s">
        <v>49</v>
      </c>
      <c r="J144" s="5"/>
      <c r="K144" s="40"/>
      <c r="L144" s="8" t="s">
        <v>2</v>
      </c>
      <c r="M144" s="56"/>
      <c r="N144" s="40"/>
      <c r="O144" s="5"/>
      <c r="P144" s="4"/>
    </row>
    <row r="145" spans="1:16">
      <c r="A145" s="1"/>
      <c r="B145" s="4" t="s">
        <v>299</v>
      </c>
      <c r="C145" s="5"/>
      <c r="D145" s="5"/>
      <c r="E145" s="5"/>
      <c r="F145" s="5"/>
      <c r="G145" s="5"/>
      <c r="H145" s="5"/>
      <c r="I145" s="5"/>
      <c r="J145" s="5"/>
      <c r="K145" s="5"/>
      <c r="L145" s="55"/>
      <c r="M145" s="56"/>
      <c r="N145" s="5"/>
      <c r="O145" s="5"/>
      <c r="P145" s="4"/>
    </row>
    <row r="146" spans="1:16">
      <c r="A146" s="1">
        <v>1</v>
      </c>
      <c r="B146" s="4" t="s">
        <v>77</v>
      </c>
      <c r="C146" s="3" t="s">
        <v>271</v>
      </c>
      <c r="D146" s="47">
        <f>'Op &amp; Maint Sched 7'!F21</f>
        <v>7910543</v>
      </c>
      <c r="E146" s="5"/>
      <c r="F146" s="5" t="s">
        <v>73</v>
      </c>
      <c r="G146" s="45">
        <f>I226</f>
        <v>0.95373642492051436</v>
      </c>
      <c r="H146" s="5"/>
      <c r="I146" s="5">
        <f t="shared" ref="I146:I154" si="1">+G146*D146</f>
        <v>7544573</v>
      </c>
      <c r="J146" s="12"/>
      <c r="L146" s="8"/>
      <c r="M146" s="55"/>
      <c r="N146" s="5"/>
      <c r="O146" s="14"/>
      <c r="P146" s="5" t="s">
        <v>2</v>
      </c>
    </row>
    <row r="147" spans="1:16">
      <c r="A147" s="54" t="s">
        <v>204</v>
      </c>
      <c r="B147" s="55" t="s">
        <v>237</v>
      </c>
      <c r="C147" s="56"/>
      <c r="D147" s="47">
        <f>'Transmission O&amp;M'!C11+'Transmission O&amp;M'!C15</f>
        <v>28057</v>
      </c>
      <c r="E147" s="5"/>
      <c r="F147" s="146"/>
      <c r="G147" s="45">
        <v>1</v>
      </c>
      <c r="H147" s="5"/>
      <c r="I147" s="5">
        <f>+G147*D147</f>
        <v>28057</v>
      </c>
      <c r="J147" s="12"/>
      <c r="K147" s="5"/>
      <c r="L147" s="55"/>
      <c r="M147" s="56"/>
      <c r="N147" s="5"/>
      <c r="O147" s="14"/>
      <c r="P147" s="5"/>
    </row>
    <row r="148" spans="1:16">
      <c r="A148" s="1">
        <v>2</v>
      </c>
      <c r="B148" s="4" t="s">
        <v>78</v>
      </c>
      <c r="C148" s="3" t="s">
        <v>2</v>
      </c>
      <c r="D148" s="47">
        <f>'Transmission O&amp;M'!C19</f>
        <v>7046353</v>
      </c>
      <c r="E148" s="5"/>
      <c r="F148" s="5" t="s">
        <v>73</v>
      </c>
      <c r="G148" s="45">
        <f>+G146</f>
        <v>0.95373642492051436</v>
      </c>
      <c r="H148" s="5"/>
      <c r="I148" s="5">
        <f t="shared" si="1"/>
        <v>6720363.5189479413</v>
      </c>
      <c r="J148" s="12"/>
      <c r="L148" s="8"/>
      <c r="M148" s="55"/>
      <c r="O148" s="5"/>
      <c r="P148" s="5"/>
    </row>
    <row r="149" spans="1:16">
      <c r="A149" s="1">
        <v>3</v>
      </c>
      <c r="B149" s="4" t="s">
        <v>79</v>
      </c>
      <c r="C149" s="3" t="s">
        <v>272</v>
      </c>
      <c r="D149" s="47">
        <f>'Op &amp; Maint Sched 7'!F29</f>
        <v>11665962</v>
      </c>
      <c r="E149" s="5"/>
      <c r="F149" s="5" t="s">
        <v>55</v>
      </c>
      <c r="G149" s="45">
        <f>I233</f>
        <v>7.9245186610143167E-2</v>
      </c>
      <c r="H149" s="5"/>
      <c r="I149" s="5">
        <f t="shared" si="1"/>
        <v>924471.33567683899</v>
      </c>
      <c r="J149" s="5"/>
      <c r="L149" s="8"/>
      <c r="M149" s="55"/>
      <c r="N149" s="5"/>
      <c r="O149" s="14"/>
      <c r="P149" s="4"/>
    </row>
    <row r="150" spans="1:16">
      <c r="A150" s="1">
        <v>4</v>
      </c>
      <c r="B150" s="4" t="s">
        <v>80</v>
      </c>
      <c r="C150" s="5"/>
      <c r="D150" s="47">
        <f>'FERC Fees'!C13</f>
        <v>0</v>
      </c>
      <c r="E150" s="5"/>
      <c r="F150" s="5" t="str">
        <f>+F149</f>
        <v>W/S</v>
      </c>
      <c r="G150" s="45">
        <f>I233</f>
        <v>7.9245186610143167E-2</v>
      </c>
      <c r="H150" s="5"/>
      <c r="I150" s="5">
        <f t="shared" si="1"/>
        <v>0</v>
      </c>
      <c r="J150" s="5"/>
      <c r="K150" s="5"/>
      <c r="L150" s="55"/>
      <c r="M150" s="56"/>
      <c r="N150" s="5"/>
      <c r="O150" s="14"/>
      <c r="P150" s="4"/>
    </row>
    <row r="151" spans="1:16">
      <c r="A151" s="1">
        <v>5</v>
      </c>
      <c r="B151" s="4" t="s">
        <v>238</v>
      </c>
      <c r="C151" s="5"/>
      <c r="D151" s="47">
        <f>'EPRI Reg Comm Non Safety'!B7+'EPRI Reg Comm Non Safety'!B15+'EPRI Reg Comm Non Safety'!B21</f>
        <v>91702</v>
      </c>
      <c r="E151" s="5"/>
      <c r="F151" s="5" t="str">
        <f>+F150</f>
        <v>W/S</v>
      </c>
      <c r="G151" s="45">
        <f>I233</f>
        <v>7.9245186610143167E-2</v>
      </c>
      <c r="H151" s="5"/>
      <c r="I151" s="5">
        <f t="shared" si="1"/>
        <v>7266.9421025233487</v>
      </c>
      <c r="J151" s="5"/>
      <c r="K151" s="5"/>
      <c r="L151" s="55"/>
      <c r="M151" s="56"/>
      <c r="N151" s="5"/>
      <c r="O151" s="14"/>
      <c r="P151" s="4"/>
    </row>
    <row r="152" spans="1:16">
      <c r="A152" s="1" t="s">
        <v>177</v>
      </c>
      <c r="B152" s="4" t="s">
        <v>239</v>
      </c>
      <c r="C152" s="5"/>
      <c r="D152" s="47">
        <f>'EPRI Reg Comm Non Safety'!B15</f>
        <v>0</v>
      </c>
      <c r="E152" s="5"/>
      <c r="F152" s="5" t="str">
        <f>+F146</f>
        <v>TE</v>
      </c>
      <c r="G152" s="45">
        <f>+G146</f>
        <v>0.95373642492051436</v>
      </c>
      <c r="H152" s="5"/>
      <c r="I152" s="5">
        <f t="shared" si="1"/>
        <v>0</v>
      </c>
      <c r="J152" s="5"/>
      <c r="K152" s="5"/>
      <c r="L152" s="55"/>
      <c r="M152" s="56"/>
      <c r="N152" s="5"/>
      <c r="O152" s="14"/>
      <c r="P152" s="4"/>
    </row>
    <row r="153" spans="1:16">
      <c r="A153" s="1">
        <v>6</v>
      </c>
      <c r="B153" s="4" t="s">
        <v>56</v>
      </c>
      <c r="C153" s="5"/>
      <c r="D153" s="47">
        <v>0</v>
      </c>
      <c r="E153" s="5"/>
      <c r="F153" s="5" t="s">
        <v>57</v>
      </c>
      <c r="G153" s="45">
        <f>K237</f>
        <v>7.9245186610143167E-2</v>
      </c>
      <c r="H153" s="5"/>
      <c r="I153" s="5">
        <f t="shared" si="1"/>
        <v>0</v>
      </c>
      <c r="J153" s="5"/>
      <c r="K153" s="5"/>
      <c r="L153" s="55"/>
      <c r="M153" s="56"/>
      <c r="N153" s="5"/>
      <c r="O153" s="14"/>
      <c r="P153" s="4"/>
    </row>
    <row r="154" spans="1:16" ht="16.5" thickBot="1">
      <c r="A154" s="1">
        <v>7</v>
      </c>
      <c r="B154" s="4" t="s">
        <v>81</v>
      </c>
      <c r="C154" s="5"/>
      <c r="D154" s="46">
        <v>0</v>
      </c>
      <c r="E154" s="5"/>
      <c r="F154" s="5" t="s">
        <v>51</v>
      </c>
      <c r="G154" s="45">
        <v>1</v>
      </c>
      <c r="H154" s="5"/>
      <c r="I154" s="25">
        <f t="shared" si="1"/>
        <v>0</v>
      </c>
      <c r="J154" s="5"/>
      <c r="K154" s="5"/>
      <c r="L154" s="55"/>
      <c r="M154" s="56"/>
      <c r="N154" s="5"/>
      <c r="O154" s="36"/>
      <c r="P154" s="4"/>
    </row>
    <row r="155" spans="1:16">
      <c r="A155" s="54">
        <v>8</v>
      </c>
      <c r="B155" s="55" t="s">
        <v>273</v>
      </c>
      <c r="C155" s="8"/>
      <c r="D155" s="8">
        <f>+D146-D148+D149-D150-D151+D152+D153+D154-D147</f>
        <v>12410393</v>
      </c>
      <c r="E155" s="8"/>
      <c r="F155" s="8"/>
      <c r="G155" s="8"/>
      <c r="H155" s="8"/>
      <c r="I155" s="8">
        <f>+I146-I148+I149-I150-I151+I152+I153+I154-I147</f>
        <v>1713356.8746263746</v>
      </c>
      <c r="J155" s="8"/>
      <c r="K155" s="8"/>
      <c r="L155" s="8"/>
      <c r="M155" s="56"/>
      <c r="N155" s="145"/>
      <c r="O155" s="57"/>
      <c r="P155" s="4"/>
    </row>
    <row r="156" spans="1:16">
      <c r="A156" s="1"/>
      <c r="C156" s="5"/>
      <c r="E156" s="5"/>
      <c r="F156" s="5"/>
      <c r="G156" s="5"/>
      <c r="H156" s="5"/>
      <c r="J156" s="5"/>
      <c r="K156" s="5"/>
      <c r="L156" s="8"/>
      <c r="M156" s="56"/>
      <c r="N156" s="5"/>
      <c r="O156" s="5"/>
      <c r="P156" s="4"/>
    </row>
    <row r="157" spans="1:16">
      <c r="A157" s="1"/>
      <c r="B157" s="4" t="s">
        <v>300</v>
      </c>
      <c r="C157" s="5"/>
      <c r="D157" s="5"/>
      <c r="E157" s="5"/>
      <c r="F157" s="5"/>
      <c r="G157" s="5"/>
      <c r="H157" s="5"/>
      <c r="I157" s="5"/>
      <c r="J157" s="5"/>
      <c r="K157" s="5"/>
      <c r="L157" s="8"/>
      <c r="M157" s="56"/>
      <c r="N157" s="5"/>
      <c r="O157" s="5"/>
      <c r="P157" s="4"/>
    </row>
    <row r="158" spans="1:16">
      <c r="A158" s="1">
        <v>9</v>
      </c>
      <c r="B158" s="4" t="str">
        <f>+B146</f>
        <v xml:space="preserve">  Transmission </v>
      </c>
      <c r="C158" s="3" t="s">
        <v>2</v>
      </c>
      <c r="D158" s="47">
        <f>+'Plant Sched 4'!K17</f>
        <v>984253</v>
      </c>
      <c r="E158" s="5"/>
      <c r="F158" s="5" t="s">
        <v>12</v>
      </c>
      <c r="G158" s="45">
        <f>+G111</f>
        <v>1</v>
      </c>
      <c r="H158" s="5"/>
      <c r="I158" s="5">
        <f>+G158*D158</f>
        <v>984253</v>
      </c>
      <c r="J158" s="5"/>
      <c r="K158" s="7"/>
      <c r="L158" s="55"/>
      <c r="M158" s="56"/>
      <c r="N158" s="5"/>
      <c r="O158" s="14"/>
      <c r="P158" s="5" t="s">
        <v>2</v>
      </c>
    </row>
    <row r="159" spans="1:16">
      <c r="A159" s="1">
        <v>10</v>
      </c>
      <c r="B159" s="4" t="s">
        <v>301</v>
      </c>
      <c r="C159" s="3" t="s">
        <v>2</v>
      </c>
      <c r="D159" s="47">
        <f>+'Plant Sched 4'!K19+'Plant Sched 4'!K9</f>
        <v>2459937</v>
      </c>
      <c r="E159" s="5"/>
      <c r="F159" s="5" t="s">
        <v>55</v>
      </c>
      <c r="G159" s="45">
        <f>+G149</f>
        <v>7.9245186610143167E-2</v>
      </c>
      <c r="H159" s="5"/>
      <c r="I159" s="5">
        <f>+G159*D159</f>
        <v>194938.16661419574</v>
      </c>
      <c r="J159" s="5"/>
      <c r="K159" s="7"/>
      <c r="L159" s="55"/>
      <c r="M159" s="56"/>
      <c r="N159" s="5"/>
      <c r="O159" s="14"/>
      <c r="P159" s="5" t="s">
        <v>2</v>
      </c>
    </row>
    <row r="160" spans="1:16" ht="16.5" thickBot="1">
      <c r="A160" s="1">
        <v>11</v>
      </c>
      <c r="B160" s="4" t="str">
        <f>+B153</f>
        <v xml:space="preserve">  Common</v>
      </c>
      <c r="C160" s="5"/>
      <c r="D160" s="46">
        <v>0</v>
      </c>
      <c r="E160" s="5"/>
      <c r="F160" s="5" t="s">
        <v>57</v>
      </c>
      <c r="G160" s="45">
        <f>+G153</f>
        <v>7.9245186610143167E-2</v>
      </c>
      <c r="H160" s="5"/>
      <c r="I160" s="25">
        <f>+G160*D160</f>
        <v>0</v>
      </c>
      <c r="J160" s="5"/>
      <c r="K160" s="7"/>
      <c r="L160" s="55"/>
      <c r="M160" s="56"/>
      <c r="N160" s="5"/>
      <c r="O160" s="14"/>
      <c r="P160" s="5" t="s">
        <v>2</v>
      </c>
    </row>
    <row r="161" spans="1:16">
      <c r="A161" s="1">
        <v>12</v>
      </c>
      <c r="B161" s="4" t="s">
        <v>240</v>
      </c>
      <c r="C161" s="5"/>
      <c r="D161" s="5">
        <f>SUM(D158:D160)</f>
        <v>3444190</v>
      </c>
      <c r="E161" s="5"/>
      <c r="F161" s="5"/>
      <c r="G161" s="5"/>
      <c r="H161" s="5"/>
      <c r="I161" s="5">
        <f>SUM(I158:I160)</f>
        <v>1179191.1666141958</v>
      </c>
      <c r="J161" s="5"/>
      <c r="K161" s="5"/>
      <c r="L161" s="55"/>
      <c r="M161" s="56"/>
      <c r="N161" s="48"/>
      <c r="O161" s="5"/>
      <c r="P161" s="4"/>
    </row>
    <row r="162" spans="1:16">
      <c r="A162" s="1"/>
      <c r="B162" s="4"/>
      <c r="C162" s="5"/>
      <c r="D162" s="5"/>
      <c r="E162" s="5"/>
      <c r="F162" s="5"/>
      <c r="G162" s="5"/>
      <c r="H162" s="5"/>
      <c r="I162" s="5"/>
      <c r="J162" s="5"/>
      <c r="K162" s="5"/>
      <c r="L162" s="55"/>
      <c r="M162" s="56"/>
      <c r="N162" s="5"/>
      <c r="O162" s="5"/>
      <c r="P162" s="4"/>
    </row>
    <row r="163" spans="1:16">
      <c r="A163" s="1" t="s">
        <v>2</v>
      </c>
      <c r="B163" s="4" t="s">
        <v>241</v>
      </c>
      <c r="D163" s="5"/>
      <c r="E163" s="5"/>
      <c r="F163" s="5"/>
      <c r="G163" s="5"/>
      <c r="H163" s="5"/>
      <c r="I163" s="5"/>
      <c r="J163" s="5"/>
      <c r="K163" s="5"/>
      <c r="L163" s="55"/>
      <c r="M163" s="56"/>
      <c r="N163" s="5"/>
      <c r="O163" s="5"/>
      <c r="P163" s="4"/>
    </row>
    <row r="164" spans="1:16">
      <c r="A164" s="1"/>
      <c r="B164" s="4" t="s">
        <v>82</v>
      </c>
      <c r="E164" s="5"/>
      <c r="F164" s="5"/>
      <c r="H164" s="5"/>
      <c r="J164" s="5"/>
      <c r="K164" s="7"/>
      <c r="L164" s="55"/>
      <c r="M164" s="56"/>
      <c r="N164" s="50"/>
      <c r="O164" s="14"/>
      <c r="P164" s="4"/>
    </row>
    <row r="165" spans="1:16">
      <c r="A165" s="1">
        <v>13</v>
      </c>
      <c r="B165" s="4" t="s">
        <v>83</v>
      </c>
      <c r="C165" s="5"/>
      <c r="D165" s="47">
        <f>'Taxes other than inc tax'!E6</f>
        <v>929370</v>
      </c>
      <c r="E165" s="5"/>
      <c r="F165" s="5" t="s">
        <v>55</v>
      </c>
      <c r="G165" s="22">
        <f>+G159</f>
        <v>7.9245186610143167E-2</v>
      </c>
      <c r="H165" s="5"/>
      <c r="I165" s="5">
        <f>+G165*D165</f>
        <v>73648.099079868756</v>
      </c>
      <c r="J165" s="5"/>
      <c r="K165" s="7"/>
      <c r="L165" s="55"/>
      <c r="M165" s="56"/>
      <c r="N165" s="50"/>
      <c r="O165" s="14"/>
      <c r="P165" s="4"/>
    </row>
    <row r="166" spans="1:16">
      <c r="A166" s="1">
        <v>14</v>
      </c>
      <c r="B166" s="4" t="s">
        <v>84</v>
      </c>
      <c r="C166" s="5"/>
      <c r="D166" s="47">
        <f>'Taxes other than inc tax'!E7</f>
        <v>0</v>
      </c>
      <c r="E166" s="5"/>
      <c r="F166" s="5" t="str">
        <f>+F165</f>
        <v>W/S</v>
      </c>
      <c r="G166" s="22">
        <f>+G165</f>
        <v>7.9245186610143167E-2</v>
      </c>
      <c r="H166" s="5"/>
      <c r="I166" s="5">
        <f>+G166*D166</f>
        <v>0</v>
      </c>
      <c r="J166" s="5"/>
      <c r="K166" s="7"/>
      <c r="L166" s="55"/>
      <c r="M166" s="56"/>
      <c r="N166" s="50"/>
      <c r="O166" s="14"/>
      <c r="P166" s="4"/>
    </row>
    <row r="167" spans="1:16">
      <c r="A167" s="1">
        <v>15</v>
      </c>
      <c r="B167" s="4" t="s">
        <v>85</v>
      </c>
      <c r="C167" s="5"/>
      <c r="E167" s="5"/>
      <c r="F167" s="5"/>
      <c r="H167" s="5"/>
      <c r="J167" s="5"/>
      <c r="K167" s="7"/>
      <c r="L167" s="55"/>
      <c r="M167" s="56"/>
      <c r="N167" s="50"/>
      <c r="O167" s="14"/>
      <c r="P167" s="4"/>
    </row>
    <row r="168" spans="1:16">
      <c r="A168" s="1">
        <v>16</v>
      </c>
      <c r="B168" s="4" t="s">
        <v>86</v>
      </c>
      <c r="C168" s="5"/>
      <c r="D168" s="47">
        <f>'Taxes other than inc tax'!E8</f>
        <v>0</v>
      </c>
      <c r="E168" s="5"/>
      <c r="F168" s="5" t="s">
        <v>75</v>
      </c>
      <c r="G168" s="22">
        <f>+G85</f>
        <v>0.11236189177788276</v>
      </c>
      <c r="H168" s="5"/>
      <c r="I168" s="5">
        <f>+G168*D168</f>
        <v>0</v>
      </c>
      <c r="J168" s="5"/>
      <c r="K168" s="7"/>
      <c r="L168" s="55"/>
      <c r="M168" s="56"/>
      <c r="N168" s="50"/>
      <c r="O168" s="14"/>
      <c r="P168" s="4"/>
    </row>
    <row r="169" spans="1:16">
      <c r="A169" s="1">
        <v>17</v>
      </c>
      <c r="B169" s="4" t="s">
        <v>87</v>
      </c>
      <c r="C169" s="5"/>
      <c r="D169" s="47">
        <f>'Taxes other than inc tax'!E9</f>
        <v>0</v>
      </c>
      <c r="E169" s="5"/>
      <c r="F169" s="5" t="s">
        <v>51</v>
      </c>
      <c r="G169" s="58" t="s">
        <v>176</v>
      </c>
      <c r="H169" s="5"/>
      <c r="I169" s="5">
        <v>0</v>
      </c>
      <c r="J169" s="5"/>
      <c r="K169" s="7"/>
      <c r="L169" s="55"/>
      <c r="M169" s="56"/>
      <c r="N169" s="50"/>
      <c r="O169" s="14"/>
      <c r="P169" s="4"/>
    </row>
    <row r="170" spans="1:16">
      <c r="A170" s="1">
        <v>18</v>
      </c>
      <c r="B170" s="4" t="s">
        <v>88</v>
      </c>
      <c r="C170" s="5"/>
      <c r="D170" s="47">
        <v>0</v>
      </c>
      <c r="E170" s="5"/>
      <c r="F170" s="5" t="str">
        <f>+F168</f>
        <v>GP</v>
      </c>
      <c r="G170" s="22">
        <f>+G168</f>
        <v>0.11236189177788276</v>
      </c>
      <c r="H170" s="5"/>
      <c r="I170" s="5">
        <f>+G170*D170</f>
        <v>0</v>
      </c>
      <c r="J170" s="5"/>
      <c r="K170" s="7"/>
      <c r="L170" s="55"/>
      <c r="M170" s="56"/>
      <c r="N170" s="50"/>
      <c r="O170" s="14"/>
      <c r="P170" s="4"/>
    </row>
    <row r="171" spans="1:16" ht="16.5" thickBot="1">
      <c r="A171" s="1">
        <v>19</v>
      </c>
      <c r="B171" s="4" t="s">
        <v>89</v>
      </c>
      <c r="C171" s="5"/>
      <c r="D171" s="46">
        <f>'Taxes Sched 5'!C8</f>
        <v>8773263</v>
      </c>
      <c r="E171" s="5"/>
      <c r="F171" s="5" t="s">
        <v>75</v>
      </c>
      <c r="G171" s="22">
        <f>+G170</f>
        <v>0.11236189177788276</v>
      </c>
      <c r="H171" s="5"/>
      <c r="I171" s="25">
        <f>+G171*D171</f>
        <v>985780.42774490302</v>
      </c>
      <c r="J171" s="5"/>
      <c r="L171" s="8"/>
      <c r="M171" s="55"/>
      <c r="N171" s="50"/>
      <c r="O171" s="14"/>
      <c r="P171" s="4"/>
    </row>
    <row r="172" spans="1:16">
      <c r="A172" s="1">
        <v>20</v>
      </c>
      <c r="B172" s="4" t="s">
        <v>90</v>
      </c>
      <c r="C172" s="5"/>
      <c r="D172" s="5">
        <f>SUM(D165:D171)</f>
        <v>9702633</v>
      </c>
      <c r="E172" s="5"/>
      <c r="F172" s="5"/>
      <c r="G172" s="22"/>
      <c r="H172" s="5"/>
      <c r="I172" s="5">
        <f>SUM(I165:I171)</f>
        <v>1059428.5268247719</v>
      </c>
      <c r="J172" s="5"/>
      <c r="K172" s="5"/>
      <c r="L172" s="8"/>
      <c r="M172" s="56"/>
      <c r="N172" s="48"/>
      <c r="O172" s="5"/>
      <c r="P172" s="4"/>
    </row>
    <row r="173" spans="1:16">
      <c r="A173" s="1" t="s">
        <v>91</v>
      </c>
      <c r="B173" s="4"/>
      <c r="C173" s="5"/>
      <c r="D173" s="5"/>
      <c r="E173" s="5"/>
      <c r="F173" s="5"/>
      <c r="G173" s="22"/>
      <c r="H173" s="5"/>
      <c r="I173" s="5"/>
      <c r="J173" s="5"/>
      <c r="K173" s="5"/>
      <c r="L173" s="8"/>
      <c r="M173" s="56"/>
      <c r="N173" s="5"/>
      <c r="O173" s="5"/>
      <c r="P173" s="4"/>
    </row>
    <row r="174" spans="1:16">
      <c r="A174" s="1" t="s">
        <v>2</v>
      </c>
      <c r="B174" s="4" t="s">
        <v>92</v>
      </c>
      <c r="C174" s="59" t="s">
        <v>218</v>
      </c>
      <c r="D174" s="5"/>
      <c r="E174" s="5"/>
      <c r="F174" s="5" t="s">
        <v>51</v>
      </c>
      <c r="G174" s="60"/>
      <c r="H174" s="5"/>
      <c r="I174" s="5"/>
      <c r="J174" s="5"/>
      <c r="L174" s="8"/>
      <c r="M174" s="56"/>
      <c r="N174" s="5"/>
      <c r="O174" s="36"/>
      <c r="P174" s="5" t="s">
        <v>2</v>
      </c>
    </row>
    <row r="175" spans="1:16">
      <c r="A175" s="1">
        <v>21</v>
      </c>
      <c r="B175" s="61" t="s">
        <v>93</v>
      </c>
      <c r="C175" s="5"/>
      <c r="D175" s="62">
        <f>IF(D290&gt;0,1-(((1-D291)*(1-D290))/(1-D291*D290*D292)),0)</f>
        <v>0</v>
      </c>
      <c r="E175" s="5"/>
      <c r="G175" s="60"/>
      <c r="H175" s="5"/>
      <c r="J175" s="5"/>
      <c r="L175" s="5"/>
      <c r="N175" s="5"/>
      <c r="O175" s="36"/>
      <c r="P175" s="5"/>
    </row>
    <row r="176" spans="1:16">
      <c r="A176" s="1">
        <v>22</v>
      </c>
      <c r="B176" s="3" t="s">
        <v>94</v>
      </c>
      <c r="C176" s="5"/>
      <c r="D176" s="62">
        <f>IF(I247&gt;0,(D175/(1-D175))*(1-I245/I247),0)</f>
        <v>0</v>
      </c>
      <c r="E176" s="5"/>
      <c r="G176" s="60"/>
      <c r="H176" s="5"/>
      <c r="J176" s="5"/>
      <c r="L176" s="5"/>
      <c r="N176" s="5"/>
      <c r="O176" s="14"/>
      <c r="P176" s="5"/>
    </row>
    <row r="177" spans="1:16">
      <c r="A177" s="1"/>
      <c r="B177" s="4" t="s">
        <v>302</v>
      </c>
      <c r="C177" s="5"/>
      <c r="D177" s="5"/>
      <c r="E177" s="5"/>
      <c r="G177" s="60"/>
      <c r="H177" s="5"/>
      <c r="J177" s="5"/>
      <c r="L177" s="5"/>
      <c r="N177" s="5"/>
      <c r="O177" s="14"/>
      <c r="P177" s="5"/>
    </row>
    <row r="178" spans="1:16">
      <c r="A178" s="1"/>
      <c r="B178" s="4" t="s">
        <v>95</v>
      </c>
      <c r="C178" s="5"/>
      <c r="D178" s="5"/>
      <c r="E178" s="5"/>
      <c r="G178" s="60"/>
      <c r="H178" s="5"/>
      <c r="J178" s="5"/>
      <c r="L178" s="5"/>
      <c r="N178" s="5"/>
      <c r="O178" s="14"/>
      <c r="P178" s="5"/>
    </row>
    <row r="179" spans="1:16">
      <c r="A179" s="1">
        <v>23</v>
      </c>
      <c r="B179" s="61" t="s">
        <v>96</v>
      </c>
      <c r="C179" s="5"/>
      <c r="D179" s="63">
        <f>IF(D175&gt;0,1/(1-D175),0)</f>
        <v>0</v>
      </c>
      <c r="E179" s="5"/>
      <c r="G179" s="60"/>
      <c r="H179" s="5"/>
      <c r="J179" s="5"/>
      <c r="L179" s="4"/>
      <c r="N179" s="5"/>
      <c r="O179" s="14"/>
      <c r="P179" s="5"/>
    </row>
    <row r="180" spans="1:16">
      <c r="A180" s="1">
        <v>24</v>
      </c>
      <c r="B180" s="55" t="s">
        <v>305</v>
      </c>
      <c r="C180" s="5"/>
      <c r="D180" s="47">
        <v>0</v>
      </c>
      <c r="E180" s="5"/>
      <c r="G180" s="60"/>
      <c r="H180" s="5"/>
      <c r="J180" s="5"/>
      <c r="L180" s="4"/>
      <c r="N180" s="5"/>
      <c r="O180" s="14"/>
      <c r="P180" s="5"/>
    </row>
    <row r="181" spans="1:16">
      <c r="A181" s="1"/>
      <c r="B181" s="4"/>
      <c r="C181" s="5"/>
      <c r="D181" s="5"/>
      <c r="E181" s="5"/>
      <c r="G181" s="60"/>
      <c r="H181" s="5"/>
      <c r="J181" s="5"/>
      <c r="L181" s="4"/>
      <c r="N181" s="5"/>
      <c r="O181" s="14"/>
      <c r="P181" s="5"/>
    </row>
    <row r="182" spans="1:16">
      <c r="A182" s="1">
        <v>25</v>
      </c>
      <c r="B182" s="61" t="s">
        <v>97</v>
      </c>
      <c r="C182" s="59"/>
      <c r="D182" s="5">
        <f>D176*D186</f>
        <v>0</v>
      </c>
      <c r="E182" s="5"/>
      <c r="F182" s="5" t="s">
        <v>51</v>
      </c>
      <c r="G182" s="22"/>
      <c r="H182" s="5"/>
      <c r="I182" s="5">
        <f>D176*I186</f>
        <v>0</v>
      </c>
      <c r="J182" s="5"/>
      <c r="L182" s="4"/>
      <c r="N182" s="5"/>
      <c r="O182" s="14"/>
      <c r="P182" s="5"/>
    </row>
    <row r="183" spans="1:16" ht="16.5" thickBot="1">
      <c r="A183" s="1">
        <v>26</v>
      </c>
      <c r="B183" s="3" t="s">
        <v>98</v>
      </c>
      <c r="C183" s="59"/>
      <c r="D183" s="25">
        <f>D179*D180</f>
        <v>0</v>
      </c>
      <c r="E183" s="5"/>
      <c r="F183" s="3" t="s">
        <v>62</v>
      </c>
      <c r="G183" s="22">
        <f>G101</f>
        <v>0.16275503809154754</v>
      </c>
      <c r="H183" s="5"/>
      <c r="I183" s="25">
        <f>G183*D183</f>
        <v>0</v>
      </c>
      <c r="J183" s="5"/>
      <c r="L183" s="5" t="s">
        <v>2</v>
      </c>
      <c r="N183" s="5"/>
      <c r="O183" s="14"/>
      <c r="P183" s="5"/>
    </row>
    <row r="184" spans="1:16">
      <c r="A184" s="1">
        <v>27</v>
      </c>
      <c r="B184" s="64" t="s">
        <v>99</v>
      </c>
      <c r="C184" s="3" t="s">
        <v>100</v>
      </c>
      <c r="D184" s="9">
        <f>+D182+D183</f>
        <v>0</v>
      </c>
      <c r="E184" s="5"/>
      <c r="F184" s="5" t="s">
        <v>2</v>
      </c>
      <c r="G184" s="22" t="s">
        <v>2</v>
      </c>
      <c r="H184" s="5"/>
      <c r="I184" s="9">
        <f>+I182+I183</f>
        <v>0</v>
      </c>
      <c r="J184" s="5"/>
      <c r="L184" s="5"/>
      <c r="N184" s="5"/>
      <c r="O184" s="14"/>
      <c r="P184" s="5"/>
    </row>
    <row r="185" spans="1:16">
      <c r="A185" s="1" t="s">
        <v>2</v>
      </c>
      <c r="C185" s="65"/>
      <c r="D185" s="5"/>
      <c r="E185" s="5"/>
      <c r="F185" s="5"/>
      <c r="G185" s="22"/>
      <c r="H185" s="5"/>
      <c r="I185" s="5"/>
      <c r="J185" s="5"/>
      <c r="K185" s="5"/>
      <c r="L185" s="5"/>
      <c r="N185" s="5"/>
      <c r="O185" s="5"/>
      <c r="P185" s="4"/>
    </row>
    <row r="186" spans="1:16">
      <c r="A186" s="1">
        <v>28</v>
      </c>
      <c r="B186" s="4" t="s">
        <v>101</v>
      </c>
      <c r="C186" s="7"/>
      <c r="D186" s="5">
        <f>+$I247*D119</f>
        <v>11751014.157934237</v>
      </c>
      <c r="E186" s="5"/>
      <c r="F186" s="5" t="s">
        <v>51</v>
      </c>
      <c r="G186" s="60"/>
      <c r="H186" s="5"/>
      <c r="I186" s="5">
        <f>+$I247*I119</f>
        <v>1924628.6858270632</v>
      </c>
      <c r="J186" s="5"/>
      <c r="L186" s="4"/>
      <c r="N186" s="5"/>
      <c r="O186" s="14"/>
      <c r="P186" s="5" t="s">
        <v>2</v>
      </c>
    </row>
    <row r="187" spans="1:16">
      <c r="A187" s="1"/>
      <c r="B187" s="64" t="s">
        <v>102</v>
      </c>
      <c r="D187" s="5"/>
      <c r="E187" s="5"/>
      <c r="F187" s="5"/>
      <c r="G187" s="60"/>
      <c r="H187" s="5"/>
      <c r="I187" s="5"/>
      <c r="J187" s="5"/>
      <c r="K187" s="7"/>
      <c r="L187" s="12"/>
      <c r="N187" s="5"/>
      <c r="O187" s="14"/>
      <c r="P187" s="5"/>
    </row>
    <row r="188" spans="1:16">
      <c r="A188" s="1"/>
      <c r="B188" s="4"/>
      <c r="D188" s="6"/>
      <c r="E188" s="5"/>
      <c r="F188" s="5"/>
      <c r="G188" s="60"/>
      <c r="H188" s="5"/>
      <c r="I188" s="6"/>
      <c r="J188" s="5"/>
      <c r="K188" s="7"/>
      <c r="L188" s="12"/>
      <c r="N188" s="5"/>
      <c r="O188" s="14"/>
      <c r="P188" s="5"/>
    </row>
    <row r="189" spans="1:16">
      <c r="A189" s="1">
        <v>29</v>
      </c>
      <c r="B189" s="4" t="s">
        <v>242</v>
      </c>
      <c r="C189" s="5"/>
      <c r="D189" s="6">
        <f>+D186+D184+D172+D161+D155</f>
        <v>37308230.157934234</v>
      </c>
      <c r="E189" s="5"/>
      <c r="F189" s="5"/>
      <c r="G189" s="5"/>
      <c r="H189" s="5"/>
      <c r="I189" s="6">
        <f>+I186+I184+I172+I161+I155</f>
        <v>5876605.253892405</v>
      </c>
      <c r="J189" s="12"/>
      <c r="K189" s="12"/>
      <c r="L189" s="12"/>
      <c r="N189" s="12"/>
      <c r="O189" s="36"/>
      <c r="P189" s="4"/>
    </row>
    <row r="190" spans="1:16">
      <c r="A190" s="1"/>
      <c r="B190" s="4"/>
      <c r="C190" s="5"/>
      <c r="D190" s="6"/>
      <c r="E190" s="5"/>
      <c r="F190" s="5"/>
      <c r="G190" s="5"/>
      <c r="H190" s="5"/>
      <c r="I190" s="6"/>
      <c r="J190" s="12"/>
      <c r="K190" s="12"/>
      <c r="L190" s="12"/>
      <c r="N190" s="12"/>
      <c r="O190" s="36"/>
      <c r="P190" s="4"/>
    </row>
    <row r="191" spans="1:16">
      <c r="A191" s="1">
        <v>30</v>
      </c>
      <c r="B191" s="3" t="s">
        <v>279</v>
      </c>
      <c r="J191" s="12"/>
      <c r="K191" s="12"/>
      <c r="L191" s="12"/>
      <c r="N191" s="12"/>
      <c r="O191" s="36"/>
      <c r="P191" s="4"/>
    </row>
    <row r="192" spans="1:16">
      <c r="A192" s="1"/>
      <c r="B192" s="3" t="s">
        <v>213</v>
      </c>
      <c r="J192" s="12"/>
      <c r="K192" s="12"/>
      <c r="L192" s="12"/>
      <c r="N192" s="12"/>
      <c r="O192" s="36"/>
      <c r="P192" s="4"/>
    </row>
    <row r="193" spans="1:16">
      <c r="A193" s="1"/>
      <c r="B193" s="3" t="s">
        <v>214</v>
      </c>
      <c r="D193" s="47">
        <f>'2015 Att GG_RPU'!L93</f>
        <v>1347262.1503526215</v>
      </c>
      <c r="E193" s="4"/>
      <c r="F193" s="4"/>
      <c r="G193" s="4"/>
      <c r="H193" s="4"/>
      <c r="I193" s="603">
        <f>D193</f>
        <v>1347262.1503526215</v>
      </c>
      <c r="J193" s="12"/>
      <c r="K193" s="12"/>
      <c r="L193" s="12"/>
      <c r="N193" s="12"/>
      <c r="O193" s="36"/>
      <c r="P193" s="4"/>
    </row>
    <row r="194" spans="1:16">
      <c r="A194" s="1"/>
      <c r="B194" s="4"/>
      <c r="C194" s="5"/>
      <c r="D194" s="6"/>
      <c r="E194" s="5"/>
      <c r="F194" s="5"/>
      <c r="G194" s="5"/>
      <c r="H194" s="5"/>
      <c r="I194" s="6"/>
      <c r="J194" s="12"/>
      <c r="K194" s="12"/>
      <c r="L194" s="12"/>
      <c r="N194" s="12"/>
      <c r="O194" s="36"/>
      <c r="P194" s="4"/>
    </row>
    <row r="195" spans="1:16">
      <c r="A195" s="1" t="s">
        <v>283</v>
      </c>
      <c r="B195" s="56" t="s">
        <v>306</v>
      </c>
      <c r="C195" s="56"/>
      <c r="D195" s="56"/>
      <c r="J195" s="5"/>
      <c r="K195" s="5"/>
      <c r="L195" s="12"/>
      <c r="N195" s="5"/>
      <c r="O195" s="14"/>
      <c r="P195" s="5" t="s">
        <v>2</v>
      </c>
    </row>
    <row r="196" spans="1:16">
      <c r="A196" s="1"/>
      <c r="B196" s="3" t="s">
        <v>213</v>
      </c>
      <c r="J196" s="5"/>
      <c r="K196" s="5"/>
      <c r="L196" s="12"/>
      <c r="N196" s="5"/>
      <c r="O196" s="14"/>
      <c r="P196" s="5"/>
    </row>
    <row r="197" spans="1:16" ht="16.5" thickBot="1">
      <c r="A197" s="1"/>
      <c r="B197" s="3" t="s">
        <v>284</v>
      </c>
      <c r="D197" s="137">
        <v>0</v>
      </c>
      <c r="E197" s="4"/>
      <c r="F197" s="4"/>
      <c r="G197" s="4"/>
      <c r="H197" s="4"/>
      <c r="I197" s="137">
        <v>0</v>
      </c>
      <c r="J197" s="5"/>
      <c r="K197" s="5"/>
      <c r="L197" s="12"/>
      <c r="N197" s="5"/>
      <c r="O197" s="14"/>
      <c r="P197" s="5"/>
    </row>
    <row r="198" spans="1:16" ht="16.5" thickBot="1">
      <c r="A198" s="54">
        <v>31</v>
      </c>
      <c r="B198" s="56" t="s">
        <v>212</v>
      </c>
      <c r="C198" s="56"/>
      <c r="D198" s="144">
        <f>+D189-D193-D197</f>
        <v>35960968.007581614</v>
      </c>
      <c r="E198" s="56"/>
      <c r="F198" s="56"/>
      <c r="G198" s="56"/>
      <c r="H198" s="56"/>
      <c r="I198" s="144">
        <f>+I189-I193-I197</f>
        <v>4529343.1035397835</v>
      </c>
      <c r="J198" s="8"/>
      <c r="K198" s="8"/>
      <c r="L198" s="136"/>
      <c r="M198" s="56"/>
      <c r="N198" s="8"/>
      <c r="O198" s="14"/>
      <c r="P198" s="5"/>
    </row>
    <row r="199" spans="1:16" ht="16.5" thickTop="1">
      <c r="A199" s="1"/>
      <c r="B199" s="3" t="s">
        <v>285</v>
      </c>
      <c r="J199" s="5"/>
      <c r="K199" s="5"/>
      <c r="L199" s="12"/>
      <c r="N199" s="5"/>
      <c r="O199" s="14"/>
      <c r="P199" s="5"/>
    </row>
    <row r="200" spans="1:16" s="67" customFormat="1">
      <c r="A200" s="66"/>
      <c r="J200" s="68"/>
      <c r="K200" s="68"/>
      <c r="L200" s="69"/>
      <c r="N200" s="68"/>
      <c r="O200" s="70"/>
      <c r="P200" s="68"/>
    </row>
    <row r="201" spans="1:16" s="67" customFormat="1">
      <c r="A201" s="66"/>
      <c r="J201" s="68"/>
      <c r="K201" s="68"/>
      <c r="L201" s="69"/>
      <c r="N201" s="68"/>
      <c r="O201" s="70"/>
      <c r="P201" s="68"/>
    </row>
    <row r="202" spans="1:16" s="67" customFormat="1">
      <c r="A202" s="66"/>
      <c r="J202" s="68"/>
      <c r="K202" s="68"/>
      <c r="L202" s="69"/>
      <c r="N202" s="68"/>
      <c r="O202" s="70"/>
      <c r="P202" s="68"/>
    </row>
    <row r="203" spans="1:16">
      <c r="B203" s="2"/>
      <c r="C203" s="2"/>
      <c r="D203" s="10"/>
      <c r="E203" s="2"/>
      <c r="F203" s="2"/>
      <c r="G203" s="2"/>
      <c r="H203" s="11"/>
      <c r="I203" s="11"/>
      <c r="J203" s="12"/>
      <c r="K203" s="13" t="s">
        <v>186</v>
      </c>
      <c r="L203" s="4"/>
      <c r="N203" s="12"/>
      <c r="O203" s="12"/>
      <c r="P203" s="12"/>
    </row>
    <row r="204" spans="1:16">
      <c r="A204" s="1"/>
      <c r="J204" s="5"/>
      <c r="K204" s="5"/>
      <c r="L204" s="4"/>
      <c r="N204" s="5"/>
      <c r="O204" s="14"/>
      <c r="P204" s="5"/>
    </row>
    <row r="205" spans="1:16">
      <c r="A205" s="1"/>
      <c r="B205" s="4" t="str">
        <f>B3</f>
        <v xml:space="preserve">Formula Rate - Non-Levelized </v>
      </c>
      <c r="D205" s="3" t="str">
        <f>D3</f>
        <v xml:space="preserve">   Rate Formula Template</v>
      </c>
      <c r="J205" s="5"/>
      <c r="K205" s="71" t="str">
        <f>K3</f>
        <v>For the 12 months ended 12/31/15</v>
      </c>
      <c r="L205" s="4"/>
      <c r="N205" s="5"/>
      <c r="O205" s="5"/>
      <c r="P205" s="4"/>
    </row>
    <row r="206" spans="1:16">
      <c r="A206" s="1"/>
      <c r="B206" s="4"/>
      <c r="D206" s="3" t="str">
        <f>D4</f>
        <v>Utilizing EIA Form 412 Data</v>
      </c>
      <c r="J206" s="5"/>
      <c r="K206" s="5"/>
      <c r="L206" s="4"/>
      <c r="N206" s="5"/>
      <c r="O206" s="5"/>
      <c r="P206" s="4"/>
    </row>
    <row r="207" spans="1:16" ht="9" customHeight="1">
      <c r="A207" s="1"/>
      <c r="J207" s="5"/>
      <c r="K207" s="5"/>
      <c r="L207" s="4"/>
      <c r="N207" s="5"/>
      <c r="O207" s="5"/>
      <c r="P207" s="4"/>
    </row>
    <row r="208" spans="1:16">
      <c r="A208" s="1"/>
      <c r="D208" s="3" t="str">
        <f>D6</f>
        <v>Rochester Public Utilities</v>
      </c>
      <c r="J208" s="5"/>
      <c r="K208" s="5"/>
      <c r="L208" s="4"/>
      <c r="N208" s="5"/>
      <c r="O208" s="5"/>
      <c r="P208" s="4"/>
    </row>
    <row r="209" spans="1:17">
      <c r="A209" s="1" t="s">
        <v>4</v>
      </c>
      <c r="C209" s="4"/>
      <c r="D209" s="4"/>
      <c r="E209" s="4"/>
      <c r="F209" s="4"/>
      <c r="G209" s="4"/>
      <c r="H209" s="4"/>
      <c r="I209" s="4"/>
      <c r="J209" s="4"/>
      <c r="K209" s="4"/>
      <c r="L209" s="72"/>
      <c r="N209" s="4"/>
      <c r="O209" s="4"/>
      <c r="P209" s="4"/>
    </row>
    <row r="210" spans="1:17" ht="16.5" thickBot="1">
      <c r="A210" s="18" t="s">
        <v>6</v>
      </c>
      <c r="C210" s="43" t="s">
        <v>103</v>
      </c>
      <c r="E210" s="12"/>
      <c r="F210" s="12"/>
      <c r="G210" s="12"/>
      <c r="H210" s="12"/>
      <c r="I210" s="12"/>
      <c r="J210" s="5"/>
      <c r="K210" s="5"/>
      <c r="L210" s="72"/>
      <c r="N210" s="12"/>
      <c r="O210" s="5"/>
      <c r="P210" s="4"/>
    </row>
    <row r="211" spans="1:17">
      <c r="A211" s="1"/>
      <c r="B211" s="2" t="s">
        <v>106</v>
      </c>
      <c r="C211" s="12"/>
      <c r="D211" s="12"/>
      <c r="E211" s="12"/>
      <c r="F211" s="12"/>
      <c r="G211" s="12"/>
      <c r="H211" s="12"/>
      <c r="I211" s="12"/>
      <c r="J211" s="5"/>
      <c r="K211" s="5"/>
      <c r="L211" s="4"/>
      <c r="N211" s="12"/>
      <c r="O211" s="5"/>
      <c r="P211" s="4"/>
    </row>
    <row r="212" spans="1:17">
      <c r="A212" s="1">
        <v>1</v>
      </c>
      <c r="B212" s="11" t="s">
        <v>243</v>
      </c>
      <c r="C212" s="12"/>
      <c r="D212" s="5"/>
      <c r="E212" s="5"/>
      <c r="F212" s="5"/>
      <c r="G212" s="5"/>
      <c r="H212" s="5"/>
      <c r="I212" s="5">
        <f>D81</f>
        <v>33119201.076923076</v>
      </c>
      <c r="J212" s="5"/>
      <c r="K212" s="5"/>
      <c r="L212" s="4"/>
      <c r="N212" s="12"/>
      <c r="O212" s="5"/>
      <c r="P212" s="4"/>
    </row>
    <row r="213" spans="1:17">
      <c r="A213" s="1">
        <v>2</v>
      </c>
      <c r="B213" s="11" t="s">
        <v>244</v>
      </c>
      <c r="I213" s="47">
        <v>0</v>
      </c>
      <c r="J213" s="5"/>
      <c r="K213" s="5"/>
      <c r="L213" s="4"/>
      <c r="N213" s="12"/>
      <c r="O213" s="5"/>
      <c r="P213" s="4"/>
    </row>
    <row r="214" spans="1:17" ht="16.5" thickBot="1">
      <c r="A214" s="1">
        <v>3</v>
      </c>
      <c r="B214" s="73" t="s">
        <v>245</v>
      </c>
      <c r="C214" s="74"/>
      <c r="D214" s="6"/>
      <c r="E214" s="5"/>
      <c r="F214" s="5"/>
      <c r="G214" s="50"/>
      <c r="H214" s="5"/>
      <c r="I214" s="46">
        <v>0</v>
      </c>
      <c r="J214" s="5"/>
      <c r="K214" s="5"/>
      <c r="L214" s="4"/>
      <c r="N214" s="12"/>
      <c r="O214" s="5"/>
      <c r="P214" s="4"/>
    </row>
    <row r="215" spans="1:17">
      <c r="A215" s="1">
        <v>4</v>
      </c>
      <c r="B215" s="11" t="s">
        <v>178</v>
      </c>
      <c r="C215" s="12"/>
      <c r="D215" s="5"/>
      <c r="E215" s="5"/>
      <c r="F215" s="5"/>
      <c r="G215" s="50"/>
      <c r="H215" s="5"/>
      <c r="I215" s="5">
        <f>I212-I213-I214</f>
        <v>33119201.076923076</v>
      </c>
      <c r="J215" s="5"/>
      <c r="K215" s="5"/>
      <c r="L215" s="4"/>
      <c r="N215" s="12"/>
      <c r="O215" s="5"/>
      <c r="P215" s="4"/>
    </row>
    <row r="216" spans="1:17">
      <c r="A216" s="1"/>
      <c r="C216" s="12"/>
      <c r="D216" s="5"/>
      <c r="E216" s="5"/>
      <c r="F216" s="5"/>
      <c r="G216" s="50"/>
      <c r="H216" s="5"/>
      <c r="J216" s="5"/>
      <c r="K216" s="5"/>
    </row>
    <row r="217" spans="1:17">
      <c r="A217" s="1">
        <v>5</v>
      </c>
      <c r="B217" s="11" t="s">
        <v>246</v>
      </c>
      <c r="C217" s="17"/>
      <c r="D217" s="75"/>
      <c r="E217" s="75"/>
      <c r="F217" s="75"/>
      <c r="G217" s="38"/>
      <c r="H217" s="5" t="s">
        <v>107</v>
      </c>
      <c r="I217" s="49">
        <f>IF(I212&gt;0,I215/I212,0)</f>
        <v>1</v>
      </c>
      <c r="J217" s="5"/>
      <c r="K217" s="5"/>
    </row>
    <row r="218" spans="1:17">
      <c r="J218" s="5"/>
      <c r="K218" s="5"/>
      <c r="M218" s="143" t="s">
        <v>278</v>
      </c>
    </row>
    <row r="219" spans="1:17">
      <c r="B219" s="4" t="s">
        <v>104</v>
      </c>
      <c r="J219" s="5"/>
      <c r="K219" s="5"/>
    </row>
    <row r="220" spans="1:17">
      <c r="A220" s="1">
        <v>6</v>
      </c>
      <c r="B220" s="3" t="s">
        <v>247</v>
      </c>
      <c r="D220" s="12"/>
      <c r="E220" s="12"/>
      <c r="F220" s="12"/>
      <c r="G220" s="14"/>
      <c r="H220" s="12"/>
      <c r="I220" s="5">
        <f>D146</f>
        <v>7910543</v>
      </c>
      <c r="J220" s="5"/>
      <c r="K220" s="5"/>
      <c r="L220" s="652" t="s">
        <v>193</v>
      </c>
      <c r="M220" s="653"/>
      <c r="N220" s="653"/>
      <c r="O220" s="653"/>
      <c r="P220" s="653"/>
      <c r="Q220" s="654"/>
    </row>
    <row r="221" spans="1:17" ht="16.5" thickBot="1">
      <c r="A221" s="1">
        <v>7</v>
      </c>
      <c r="B221" s="73" t="s">
        <v>248</v>
      </c>
      <c r="C221" s="74"/>
      <c r="D221" s="6"/>
      <c r="E221" s="6"/>
      <c r="F221" s="5"/>
      <c r="G221" s="5"/>
      <c r="H221" s="5"/>
      <c r="I221" s="46">
        <f>'Transmission O&amp;M'!C8+'Transmission O&amp;M'!C9+'Transmission O&amp;M'!C10</f>
        <v>365970</v>
      </c>
      <c r="J221" s="5"/>
      <c r="K221" s="5"/>
      <c r="L221" s="140">
        <f>+I221</f>
        <v>365970</v>
      </c>
      <c r="M221" s="79" t="s">
        <v>200</v>
      </c>
      <c r="N221" s="122"/>
      <c r="O221" s="6"/>
      <c r="P221" s="77"/>
      <c r="Q221" s="78"/>
    </row>
    <row r="222" spans="1:17">
      <c r="A222" s="1">
        <v>8</v>
      </c>
      <c r="B222" s="11" t="s">
        <v>274</v>
      </c>
      <c r="C222" s="17"/>
      <c r="D222" s="75"/>
      <c r="E222" s="75"/>
      <c r="F222" s="75"/>
      <c r="G222" s="38"/>
      <c r="H222" s="75"/>
      <c r="I222" s="5">
        <f>+I220-I221</f>
        <v>7544573</v>
      </c>
      <c r="J222" s="5"/>
      <c r="K222" s="5"/>
      <c r="L222" s="139">
        <v>0</v>
      </c>
      <c r="M222" s="85" t="s">
        <v>202</v>
      </c>
      <c r="N222" s="76"/>
      <c r="O222" s="76"/>
      <c r="P222" s="76"/>
      <c r="Q222" s="78"/>
    </row>
    <row r="223" spans="1:17">
      <c r="A223" s="1"/>
      <c r="B223" s="11"/>
      <c r="C223" s="12"/>
      <c r="D223" s="5"/>
      <c r="E223" s="5"/>
      <c r="F223" s="5"/>
      <c r="G223" s="5"/>
      <c r="J223" s="5"/>
      <c r="K223" s="5"/>
      <c r="L223" s="140">
        <f>L221-L222</f>
        <v>365970</v>
      </c>
      <c r="M223" s="85" t="s">
        <v>203</v>
      </c>
      <c r="N223" s="76"/>
      <c r="O223" s="76"/>
      <c r="P223" s="76"/>
      <c r="Q223" s="78"/>
    </row>
    <row r="224" spans="1:17">
      <c r="A224" s="1">
        <v>9</v>
      </c>
      <c r="B224" s="11" t="s">
        <v>249</v>
      </c>
      <c r="C224" s="12"/>
      <c r="D224" s="5"/>
      <c r="E224" s="5"/>
      <c r="F224" s="5"/>
      <c r="G224" s="5"/>
      <c r="H224" s="5"/>
      <c r="I224" s="45">
        <f>IF(I220&gt;0,I222/I220,0)</f>
        <v>0.95373642492051436</v>
      </c>
      <c r="J224" s="5"/>
      <c r="K224" s="5"/>
      <c r="L224" s="123"/>
      <c r="M224" s="81" t="s">
        <v>194</v>
      </c>
      <c r="N224" s="124"/>
      <c r="O224" s="124"/>
      <c r="P224" s="124"/>
      <c r="Q224" s="125"/>
    </row>
    <row r="225" spans="1:17">
      <c r="A225" s="1">
        <v>10</v>
      </c>
      <c r="B225" s="11" t="s">
        <v>250</v>
      </c>
      <c r="C225" s="12"/>
      <c r="D225" s="5"/>
      <c r="E225" s="5"/>
      <c r="F225" s="5"/>
      <c r="G225" s="5"/>
      <c r="H225" s="12" t="s">
        <v>12</v>
      </c>
      <c r="I225" s="80">
        <f>I217</f>
        <v>1</v>
      </c>
      <c r="J225" s="5"/>
      <c r="K225" s="5"/>
      <c r="L225" s="138">
        <v>0</v>
      </c>
      <c r="M225" s="82" t="s">
        <v>195</v>
      </c>
      <c r="N225" s="6"/>
      <c r="O225" s="77"/>
      <c r="P225" s="76"/>
      <c r="Q225" s="78"/>
    </row>
    <row r="226" spans="1:17">
      <c r="A226" s="1">
        <v>11</v>
      </c>
      <c r="B226" s="11" t="s">
        <v>251</v>
      </c>
      <c r="C226" s="12"/>
      <c r="D226" s="12"/>
      <c r="E226" s="12"/>
      <c r="F226" s="12"/>
      <c r="G226" s="12"/>
      <c r="H226" s="12" t="s">
        <v>105</v>
      </c>
      <c r="I226" s="83">
        <f>+I225*I224</f>
        <v>0.95373642492051436</v>
      </c>
      <c r="J226" s="5"/>
      <c r="K226" s="5"/>
      <c r="L226" s="138">
        <v>0</v>
      </c>
      <c r="M226" s="82" t="s">
        <v>196</v>
      </c>
      <c r="N226" s="6"/>
      <c r="O226" s="77"/>
      <c r="P226" s="76"/>
      <c r="Q226" s="78"/>
    </row>
    <row r="227" spans="1:17">
      <c r="A227" s="1"/>
      <c r="C227" s="12"/>
      <c r="D227" s="5"/>
      <c r="E227" s="5"/>
      <c r="F227" s="5"/>
      <c r="G227" s="50"/>
      <c r="H227" s="5"/>
      <c r="L227" s="139">
        <v>0</v>
      </c>
      <c r="M227" s="82" t="s">
        <v>197</v>
      </c>
      <c r="N227" s="6"/>
      <c r="O227" s="77"/>
      <c r="P227" s="76"/>
      <c r="Q227" s="78"/>
    </row>
    <row r="228" spans="1:17" ht="16.5" thickBot="1">
      <c r="A228" s="1" t="s">
        <v>2</v>
      </c>
      <c r="B228" s="4" t="s">
        <v>108</v>
      </c>
      <c r="C228" s="5"/>
      <c r="D228" s="84" t="s">
        <v>109</v>
      </c>
      <c r="E228" s="84" t="s">
        <v>12</v>
      </c>
      <c r="F228" s="5"/>
      <c r="G228" s="84" t="s">
        <v>110</v>
      </c>
      <c r="H228" s="5"/>
      <c r="I228" s="5"/>
      <c r="L228" s="141">
        <f>SUM(L225:L227)</f>
        <v>0</v>
      </c>
      <c r="M228" s="85" t="s">
        <v>198</v>
      </c>
      <c r="N228" s="76"/>
      <c r="O228" s="76"/>
      <c r="P228" s="76"/>
      <c r="Q228" s="78"/>
    </row>
    <row r="229" spans="1:17">
      <c r="A229" s="1">
        <v>12</v>
      </c>
      <c r="B229" s="4" t="s">
        <v>50</v>
      </c>
      <c r="C229" s="5"/>
      <c r="D229" s="47">
        <f>'Wages &amp; Salaries'!B7</f>
        <v>1999845</v>
      </c>
      <c r="E229" s="86">
        <v>0</v>
      </c>
      <c r="F229" s="86"/>
      <c r="G229" s="5">
        <f>D229*E229</f>
        <v>0</v>
      </c>
      <c r="H229" s="5"/>
      <c r="I229" s="5"/>
      <c r="J229" s="5"/>
      <c r="K229" s="5"/>
      <c r="L229" s="142">
        <f>L223-L228</f>
        <v>365970</v>
      </c>
      <c r="M229" s="87" t="s">
        <v>199</v>
      </c>
      <c r="N229" s="88"/>
      <c r="O229" s="88"/>
      <c r="P229" s="88"/>
      <c r="Q229" s="89"/>
    </row>
    <row r="230" spans="1:17">
      <c r="A230" s="1">
        <v>13</v>
      </c>
      <c r="B230" s="4" t="s">
        <v>52</v>
      </c>
      <c r="C230" s="5"/>
      <c r="D230" s="47">
        <f>'Wages &amp; Salaries'!B8</f>
        <v>586236</v>
      </c>
      <c r="E230" s="86">
        <v>1</v>
      </c>
      <c r="F230" s="86"/>
      <c r="G230" s="5">
        <f>D230*E230</f>
        <v>586236</v>
      </c>
      <c r="H230" s="5"/>
      <c r="I230" s="5"/>
      <c r="J230" s="5"/>
      <c r="K230" s="5"/>
      <c r="L230" s="337"/>
      <c r="M230" s="85"/>
      <c r="N230" s="6"/>
      <c r="O230" s="77"/>
      <c r="P230" s="76"/>
      <c r="Q230" s="76"/>
    </row>
    <row r="231" spans="1:17">
      <c r="A231" s="1">
        <v>14</v>
      </c>
      <c r="B231" s="4" t="s">
        <v>53</v>
      </c>
      <c r="C231" s="5"/>
      <c r="D231" s="47">
        <f>'Wages &amp; Salaries'!B9</f>
        <v>3319738</v>
      </c>
      <c r="E231" s="86">
        <v>0</v>
      </c>
      <c r="F231" s="86"/>
      <c r="G231" s="5">
        <f>D231*E231</f>
        <v>0</v>
      </c>
      <c r="H231" s="5"/>
      <c r="I231" s="90" t="s">
        <v>111</v>
      </c>
      <c r="J231" s="5"/>
      <c r="K231" s="5"/>
      <c r="L231" s="55" t="s">
        <v>485</v>
      </c>
      <c r="N231" s="5"/>
      <c r="O231" s="5"/>
      <c r="P231" s="4"/>
    </row>
    <row r="232" spans="1:17" ht="16.5" thickBot="1">
      <c r="A232" s="1">
        <v>15</v>
      </c>
      <c r="B232" s="4" t="s">
        <v>112</v>
      </c>
      <c r="C232" s="5"/>
      <c r="D232" s="46">
        <f>'Wages &amp; Salaries'!B10</f>
        <v>1491930</v>
      </c>
      <c r="E232" s="86">
        <v>0</v>
      </c>
      <c r="F232" s="86"/>
      <c r="G232" s="25">
        <f>D232*E232</f>
        <v>0</v>
      </c>
      <c r="H232" s="5"/>
      <c r="I232" s="18" t="s">
        <v>113</v>
      </c>
      <c r="J232" s="5"/>
      <c r="K232" s="5"/>
      <c r="L232" s="55"/>
      <c r="N232" s="5"/>
      <c r="O232" s="5"/>
      <c r="P232" s="4"/>
    </row>
    <row r="233" spans="1:17">
      <c r="A233" s="1">
        <v>16</v>
      </c>
      <c r="B233" s="4" t="s">
        <v>253</v>
      </c>
      <c r="C233" s="5"/>
      <c r="D233" s="5">
        <f>SUM(D229:D232)</f>
        <v>7397749</v>
      </c>
      <c r="E233" s="5"/>
      <c r="F233" s="5"/>
      <c r="G233" s="5">
        <f>SUM(G229:G232)</f>
        <v>586236</v>
      </c>
      <c r="H233" s="14" t="s">
        <v>114</v>
      </c>
      <c r="I233" s="45">
        <f>IF(G233&gt;0,G230/D233,0)</f>
        <v>7.9245186610143167E-2</v>
      </c>
      <c r="J233" s="5" t="s">
        <v>114</v>
      </c>
      <c r="K233" s="5" t="s">
        <v>55</v>
      </c>
      <c r="L233" s="55"/>
      <c r="N233" s="5"/>
      <c r="O233" s="5"/>
      <c r="P233" s="4"/>
    </row>
    <row r="234" spans="1:17">
      <c r="A234" s="1" t="s">
        <v>2</v>
      </c>
      <c r="B234" s="4" t="s">
        <v>2</v>
      </c>
      <c r="C234" s="5" t="s">
        <v>2</v>
      </c>
      <c r="E234" s="5"/>
      <c r="F234" s="5"/>
      <c r="L234" s="55"/>
      <c r="N234" s="5"/>
      <c r="O234" s="5"/>
      <c r="P234" s="4"/>
    </row>
    <row r="235" spans="1:17">
      <c r="A235" s="1"/>
      <c r="B235" s="4" t="s">
        <v>252</v>
      </c>
      <c r="C235" s="5"/>
      <c r="D235" s="39" t="s">
        <v>109</v>
      </c>
      <c r="E235" s="5"/>
      <c r="F235" s="5"/>
      <c r="G235" s="50" t="s">
        <v>115</v>
      </c>
      <c r="H235" s="60" t="s">
        <v>2</v>
      </c>
      <c r="I235" s="7" t="s">
        <v>116</v>
      </c>
      <c r="J235" s="5"/>
      <c r="K235" s="5"/>
      <c r="L235" s="55"/>
      <c r="N235" s="5"/>
      <c r="O235" s="5"/>
      <c r="P235" s="4"/>
    </row>
    <row r="236" spans="1:17">
      <c r="A236" s="1">
        <v>17</v>
      </c>
      <c r="B236" s="4" t="s">
        <v>117</v>
      </c>
      <c r="C236" s="5"/>
      <c r="D236" s="47">
        <f>D85</f>
        <v>327787406.92307693</v>
      </c>
      <c r="E236" s="5"/>
      <c r="G236" s="1" t="s">
        <v>118</v>
      </c>
      <c r="H236" s="91"/>
      <c r="I236" s="1" t="s">
        <v>119</v>
      </c>
      <c r="J236" s="5"/>
      <c r="K236" s="14" t="s">
        <v>57</v>
      </c>
      <c r="L236" s="56"/>
      <c r="N236" s="5"/>
      <c r="O236" s="5"/>
      <c r="P236" s="4"/>
    </row>
    <row r="237" spans="1:17">
      <c r="A237" s="1">
        <v>18</v>
      </c>
      <c r="B237" s="4" t="s">
        <v>120</v>
      </c>
      <c r="C237" s="5"/>
      <c r="D237" s="47">
        <v>0</v>
      </c>
      <c r="E237" s="5"/>
      <c r="G237" s="22">
        <f>IF(D239&gt;0,D236/D239,0)</f>
        <v>1</v>
      </c>
      <c r="H237" s="50" t="s">
        <v>121</v>
      </c>
      <c r="I237" s="22">
        <f>I233</f>
        <v>7.9245186610143167E-2</v>
      </c>
      <c r="J237" s="60" t="s">
        <v>114</v>
      </c>
      <c r="K237" s="22">
        <f>I237*G237</f>
        <v>7.9245186610143167E-2</v>
      </c>
      <c r="L237" s="55"/>
      <c r="N237" s="5"/>
      <c r="O237" s="5"/>
      <c r="P237" s="4"/>
    </row>
    <row r="238" spans="1:17" ht="16.5" thickBot="1">
      <c r="A238" s="1">
        <v>19</v>
      </c>
      <c r="B238" s="92" t="s">
        <v>122</v>
      </c>
      <c r="C238" s="25"/>
      <c r="D238" s="46">
        <v>0</v>
      </c>
      <c r="E238" s="5"/>
      <c r="F238" s="5"/>
      <c r="G238" s="5" t="s">
        <v>2</v>
      </c>
      <c r="H238" s="5"/>
      <c r="I238" s="5"/>
      <c r="L238" s="56"/>
      <c r="N238" s="5"/>
      <c r="O238" s="5"/>
      <c r="P238" s="4"/>
    </row>
    <row r="239" spans="1:17">
      <c r="A239" s="1">
        <v>20</v>
      </c>
      <c r="B239" s="4" t="s">
        <v>170</v>
      </c>
      <c r="C239" s="5"/>
      <c r="D239" s="5">
        <f>D236+D237+D238</f>
        <v>327787406.92307693</v>
      </c>
      <c r="E239" s="5"/>
      <c r="F239" s="5"/>
      <c r="G239" s="5"/>
      <c r="H239" s="5"/>
      <c r="I239" s="5"/>
      <c r="J239" s="5"/>
      <c r="K239" s="5"/>
      <c r="L239" s="55"/>
      <c r="N239" s="5"/>
      <c r="O239" s="5"/>
      <c r="P239" s="4"/>
    </row>
    <row r="240" spans="1:17">
      <c r="A240" s="1"/>
      <c r="B240" s="4" t="s">
        <v>2</v>
      </c>
      <c r="C240" s="5"/>
      <c r="E240" s="5"/>
      <c r="F240" s="5"/>
      <c r="G240" s="5"/>
      <c r="H240" s="5"/>
      <c r="I240" s="5" t="s">
        <v>2</v>
      </c>
      <c r="J240" s="5"/>
      <c r="K240" s="5"/>
      <c r="L240" s="55"/>
      <c r="N240" s="5"/>
      <c r="O240" s="5"/>
      <c r="P240" s="4"/>
    </row>
    <row r="241" spans="1:16" ht="16.5" thickBot="1">
      <c r="A241" s="1"/>
      <c r="B241" s="2" t="s">
        <v>123</v>
      </c>
      <c r="C241" s="5"/>
      <c r="D241" s="84" t="s">
        <v>109</v>
      </c>
      <c r="E241" s="5"/>
      <c r="F241" s="5"/>
      <c r="G241" s="5"/>
      <c r="H241" s="5"/>
      <c r="J241" s="5" t="s">
        <v>2</v>
      </c>
      <c r="K241" s="5"/>
      <c r="L241" s="55"/>
      <c r="N241" s="5"/>
      <c r="O241" s="5"/>
      <c r="P241" s="4"/>
    </row>
    <row r="242" spans="1:16">
      <c r="A242" s="1">
        <v>21</v>
      </c>
      <c r="B242" s="5" t="s">
        <v>124</v>
      </c>
      <c r="C242" s="11" t="s">
        <v>275</v>
      </c>
      <c r="D242" s="93">
        <f>'Income Sched 3'!C24+'Income Sched 3'!C25</f>
        <v>4697305</v>
      </c>
      <c r="E242" s="5"/>
      <c r="F242" s="5"/>
      <c r="G242" s="5"/>
      <c r="H242" s="5"/>
      <c r="I242" s="5"/>
      <c r="J242" s="5"/>
      <c r="K242" s="5"/>
      <c r="L242" s="56"/>
      <c r="N242" s="5"/>
      <c r="O242" s="5"/>
      <c r="P242" s="4"/>
    </row>
    <row r="243" spans="1:16">
      <c r="A243" s="1"/>
      <c r="B243" s="4"/>
      <c r="D243" s="5"/>
      <c r="E243" s="5"/>
      <c r="F243" s="5"/>
      <c r="G243" s="50" t="s">
        <v>125</v>
      </c>
      <c r="H243" s="5"/>
      <c r="I243" s="5"/>
      <c r="J243" s="5"/>
      <c r="K243" s="5"/>
      <c r="L243" s="55"/>
      <c r="N243" s="5"/>
      <c r="O243" s="5"/>
      <c r="P243" s="4"/>
    </row>
    <row r="244" spans="1:16" ht="16.5" thickBot="1">
      <c r="A244" s="1"/>
      <c r="B244" s="2"/>
      <c r="C244" s="495"/>
      <c r="D244" s="18" t="s">
        <v>109</v>
      </c>
      <c r="E244" s="18" t="s">
        <v>126</v>
      </c>
      <c r="F244" s="5"/>
      <c r="G244" s="18" t="s">
        <v>127</v>
      </c>
      <c r="H244" s="5"/>
      <c r="I244" s="18" t="s">
        <v>128</v>
      </c>
      <c r="J244" s="5"/>
      <c r="K244" s="5"/>
      <c r="L244" s="55"/>
      <c r="N244" s="5"/>
      <c r="O244" s="5"/>
      <c r="P244" s="4"/>
    </row>
    <row r="245" spans="1:16">
      <c r="A245" s="1">
        <v>22</v>
      </c>
      <c r="B245" s="2" t="s">
        <v>129</v>
      </c>
      <c r="C245" s="495" t="s">
        <v>864</v>
      </c>
      <c r="D245" s="47">
        <f>'Capital Structure'!H24+'Capital Structure'!I24-'Capital Structure'!J24</f>
        <v>117624879.61538461</v>
      </c>
      <c r="E245" s="94">
        <f>IF($D$247&gt;0,D245/$D$247,0)</f>
        <v>0.48664127044748179</v>
      </c>
      <c r="F245" s="95"/>
      <c r="G245" s="96">
        <f>IF(D245&gt;0,D242/D245,0)</f>
        <v>3.9934621105326272E-2</v>
      </c>
      <c r="I245" s="95">
        <f>G245*E245</f>
        <v>1.9433834749534796E-2</v>
      </c>
      <c r="J245" s="98" t="s">
        <v>130</v>
      </c>
      <c r="K245" s="5"/>
      <c r="L245" s="56"/>
      <c r="N245" s="5"/>
      <c r="O245" s="5"/>
      <c r="P245" s="4"/>
    </row>
    <row r="246" spans="1:16" ht="16.5" thickBot="1">
      <c r="A246" s="1">
        <v>23</v>
      </c>
      <c r="B246" s="2" t="s">
        <v>131</v>
      </c>
      <c r="C246" s="495" t="s">
        <v>865</v>
      </c>
      <c r="D246" s="46">
        <f>'Capital Structure'!K24</f>
        <v>124082691.76923077</v>
      </c>
      <c r="E246" s="120">
        <f>IF($D$247&gt;0,D246/$D$247,0)</f>
        <v>0.51335872955251827</v>
      </c>
      <c r="F246" s="95"/>
      <c r="G246" s="95">
        <f>I249</f>
        <v>0.12379999999999999</v>
      </c>
      <c r="I246" s="97">
        <f>G246*E246</f>
        <v>6.3553810718601764E-2</v>
      </c>
      <c r="L246" s="56"/>
      <c r="N246" s="5"/>
      <c r="O246" s="5"/>
      <c r="P246" s="4"/>
    </row>
    <row r="247" spans="1:16">
      <c r="A247" s="1">
        <v>24</v>
      </c>
      <c r="B247" s="2" t="s">
        <v>171</v>
      </c>
      <c r="C247" s="11"/>
      <c r="D247" s="5">
        <f>SUM(D245:D246)</f>
        <v>241707571.38461536</v>
      </c>
      <c r="E247" s="281">
        <f>SUM(E245+E246)</f>
        <v>1</v>
      </c>
      <c r="F247" s="95"/>
      <c r="G247" s="95"/>
      <c r="I247" s="95">
        <f>SUM(I245:I246)</f>
        <v>8.2987645468136556E-2</v>
      </c>
      <c r="J247" s="98" t="s">
        <v>132</v>
      </c>
      <c r="L247" s="55"/>
      <c r="N247" s="5"/>
      <c r="O247" s="5"/>
      <c r="P247" s="4"/>
    </row>
    <row r="248" spans="1:16">
      <c r="A248" s="1" t="s">
        <v>2</v>
      </c>
      <c r="B248" s="4"/>
      <c r="D248" s="5"/>
      <c r="E248" s="5" t="s">
        <v>2</v>
      </c>
      <c r="F248" s="5"/>
      <c r="G248" s="5"/>
      <c r="H248" s="5"/>
      <c r="I248" s="95"/>
      <c r="L248" s="55"/>
      <c r="N248" s="5"/>
      <c r="O248" s="5"/>
      <c r="P248" s="4"/>
    </row>
    <row r="249" spans="1:16">
      <c r="A249" s="1">
        <v>25</v>
      </c>
      <c r="E249" s="5"/>
      <c r="F249" s="5"/>
      <c r="G249" s="5"/>
      <c r="H249" s="53" t="s">
        <v>215</v>
      </c>
      <c r="I249" s="99">
        <v>0.12379999999999999</v>
      </c>
      <c r="L249" s="55"/>
      <c r="N249" s="5"/>
      <c r="O249" s="5"/>
      <c r="P249" s="4"/>
    </row>
    <row r="250" spans="1:16">
      <c r="A250" s="1">
        <v>26</v>
      </c>
      <c r="H250" s="71" t="s">
        <v>216</v>
      </c>
      <c r="I250" s="86">
        <f>IF(G245&gt;0,I247/G245,0)</f>
        <v>2.0780877136472466</v>
      </c>
      <c r="L250" s="55"/>
      <c r="N250" s="5"/>
      <c r="O250" s="5"/>
      <c r="P250" s="4"/>
    </row>
    <row r="251" spans="1:16">
      <c r="A251" s="1"/>
      <c r="B251" s="2" t="s">
        <v>133</v>
      </c>
      <c r="C251" s="11"/>
      <c r="D251" s="11"/>
      <c r="E251" s="11"/>
      <c r="F251" s="11"/>
      <c r="G251" s="11"/>
      <c r="H251" s="11"/>
      <c r="I251" s="11"/>
      <c r="K251" s="5"/>
      <c r="L251" s="55"/>
      <c r="N251" s="5"/>
      <c r="O251" s="5"/>
      <c r="P251" s="4"/>
    </row>
    <row r="252" spans="1:16" ht="16.5" thickBot="1">
      <c r="A252" s="1"/>
      <c r="B252" s="2"/>
      <c r="C252" s="2"/>
      <c r="D252" s="2"/>
      <c r="E252" s="2"/>
      <c r="F252" s="2"/>
      <c r="G252" s="2"/>
      <c r="H252" s="2"/>
      <c r="I252" s="18" t="s">
        <v>134</v>
      </c>
      <c r="J252" s="11"/>
      <c r="K252" s="11"/>
      <c r="L252" s="55"/>
      <c r="N252" s="5"/>
      <c r="O252" s="5"/>
      <c r="P252" s="4"/>
    </row>
    <row r="253" spans="1:16">
      <c r="A253" s="1"/>
      <c r="B253" s="2" t="s">
        <v>135</v>
      </c>
      <c r="C253" s="11"/>
      <c r="D253" s="11"/>
      <c r="E253" s="11"/>
      <c r="F253" s="11"/>
      <c r="G253" s="100" t="s">
        <v>2</v>
      </c>
      <c r="H253" s="67"/>
      <c r="I253" s="101"/>
      <c r="J253" s="2"/>
      <c r="K253" s="2"/>
      <c r="L253" s="55"/>
      <c r="N253" s="5"/>
      <c r="O253" s="5"/>
      <c r="P253" s="4"/>
    </row>
    <row r="254" spans="1:16">
      <c r="A254" s="1">
        <v>27</v>
      </c>
      <c r="B254" s="3" t="s">
        <v>136</v>
      </c>
      <c r="C254" s="11"/>
      <c r="D254" s="11"/>
      <c r="E254" s="11" t="s">
        <v>137</v>
      </c>
      <c r="F254" s="11"/>
      <c r="H254" s="67"/>
      <c r="I254" s="47">
        <v>0</v>
      </c>
      <c r="J254" s="2"/>
      <c r="K254" s="2"/>
      <c r="L254" s="55"/>
      <c r="N254" s="50"/>
      <c r="O254" s="5"/>
      <c r="P254" s="4"/>
    </row>
    <row r="255" spans="1:16" ht="16.5" thickBot="1">
      <c r="A255" s="1">
        <v>28</v>
      </c>
      <c r="B255" s="51" t="s">
        <v>172</v>
      </c>
      <c r="C255" s="74"/>
      <c r="D255" s="76"/>
      <c r="E255" s="107"/>
      <c r="F255" s="107"/>
      <c r="G255" s="107"/>
      <c r="H255" s="11"/>
      <c r="I255" s="46">
        <v>0</v>
      </c>
      <c r="J255" s="2"/>
      <c r="K255" s="2"/>
      <c r="L255" s="55"/>
      <c r="N255" s="2"/>
      <c r="O255" s="5"/>
      <c r="P255" s="4"/>
    </row>
    <row r="256" spans="1:16">
      <c r="A256" s="1">
        <v>29</v>
      </c>
      <c r="B256" s="3" t="s">
        <v>138</v>
      </c>
      <c r="C256" s="12"/>
      <c r="D256" s="76"/>
      <c r="E256" s="107"/>
      <c r="F256" s="107"/>
      <c r="G256" s="107"/>
      <c r="H256" s="11"/>
      <c r="I256" s="47">
        <f>+I254-I255</f>
        <v>0</v>
      </c>
      <c r="J256" s="2"/>
      <c r="K256" s="2"/>
      <c r="L256" s="55"/>
      <c r="N256" s="2"/>
      <c r="O256" s="5"/>
      <c r="P256" s="4"/>
    </row>
    <row r="257" spans="1:17">
      <c r="A257" s="1"/>
      <c r="B257" s="3" t="s">
        <v>2</v>
      </c>
      <c r="C257" s="12"/>
      <c r="D257" s="76"/>
      <c r="E257" s="107"/>
      <c r="F257" s="107"/>
      <c r="G257" s="121"/>
      <c r="H257" s="11"/>
      <c r="I257" s="102" t="s">
        <v>2</v>
      </c>
      <c r="J257" s="2"/>
      <c r="K257" s="2"/>
      <c r="L257" s="55"/>
      <c r="N257" s="2"/>
      <c r="O257" s="5"/>
      <c r="P257" s="4"/>
    </row>
    <row r="258" spans="1:17">
      <c r="A258" s="1">
        <v>30</v>
      </c>
      <c r="B258" s="2" t="s">
        <v>254</v>
      </c>
      <c r="C258" s="12"/>
      <c r="D258" s="76"/>
      <c r="E258" s="107"/>
      <c r="F258" s="107"/>
      <c r="G258" s="121"/>
      <c r="H258" s="11"/>
      <c r="I258" s="103">
        <f>'Account 454'!B14</f>
        <v>37020</v>
      </c>
      <c r="J258" s="2"/>
      <c r="K258" s="2"/>
      <c r="L258" s="56"/>
      <c r="N258" s="2"/>
      <c r="O258" s="5"/>
      <c r="P258" s="4"/>
    </row>
    <row r="259" spans="1:17">
      <c r="A259" s="1"/>
      <c r="C259" s="11"/>
      <c r="D259" s="107"/>
      <c r="E259" s="107"/>
      <c r="F259" s="107"/>
      <c r="G259" s="107"/>
      <c r="H259" s="11"/>
      <c r="I259" s="102"/>
      <c r="J259" s="2"/>
      <c r="K259" s="2"/>
      <c r="L259" s="56"/>
      <c r="N259" s="2"/>
      <c r="O259" s="5"/>
      <c r="P259" s="4"/>
    </row>
    <row r="260" spans="1:17">
      <c r="B260" s="2" t="s">
        <v>207</v>
      </c>
      <c r="C260" s="11"/>
      <c r="D260" s="107"/>
      <c r="E260" s="107"/>
      <c r="F260" s="107"/>
      <c r="G260" s="107"/>
      <c r="H260" s="11"/>
      <c r="J260" s="2"/>
      <c r="K260" s="2"/>
      <c r="L260" s="56"/>
      <c r="N260" s="2"/>
      <c r="O260" s="5"/>
      <c r="P260" s="4"/>
    </row>
    <row r="261" spans="1:17">
      <c r="A261" s="1">
        <v>31</v>
      </c>
      <c r="B261" s="2" t="s">
        <v>139</v>
      </c>
      <c r="C261" s="5"/>
      <c r="D261" s="6"/>
      <c r="E261" s="6"/>
      <c r="F261" s="6"/>
      <c r="G261" s="6"/>
      <c r="H261" s="5"/>
      <c r="I261" s="105">
        <f>'Account 456.1'!C20</f>
        <v>1347262</v>
      </c>
      <c r="J261" s="2"/>
      <c r="K261" s="2"/>
      <c r="L261" s="338"/>
      <c r="N261" s="2"/>
      <c r="O261" s="5"/>
      <c r="P261" s="4"/>
    </row>
    <row r="262" spans="1:17">
      <c r="A262" s="1">
        <v>32</v>
      </c>
      <c r="B262" s="106" t="s">
        <v>173</v>
      </c>
      <c r="C262" s="107"/>
      <c r="D262" s="107"/>
      <c r="E262" s="107"/>
      <c r="F262" s="107"/>
      <c r="G262" s="107"/>
      <c r="H262" s="11"/>
      <c r="I262" s="105">
        <f>'Account 456.1'!C21</f>
        <v>0</v>
      </c>
      <c r="J262" s="2"/>
      <c r="K262" s="2"/>
      <c r="L262" s="339"/>
      <c r="N262" s="2"/>
      <c r="O262" s="5"/>
      <c r="P262" s="4"/>
    </row>
    <row r="263" spans="1:17">
      <c r="A263" s="1" t="s">
        <v>209</v>
      </c>
      <c r="B263" s="149" t="s">
        <v>307</v>
      </c>
      <c r="C263" s="150"/>
      <c r="D263" s="107"/>
      <c r="E263" s="107"/>
      <c r="F263" s="107"/>
      <c r="G263" s="107"/>
      <c r="H263" s="11"/>
      <c r="I263" s="105">
        <f>'Account 456.1'!C22</f>
        <v>1347262</v>
      </c>
      <c r="J263" s="2"/>
      <c r="K263" s="2"/>
      <c r="L263" s="50"/>
      <c r="N263" s="2"/>
      <c r="O263" s="5"/>
      <c r="P263" s="4"/>
    </row>
    <row r="264" spans="1:17" ht="16.5" thickBot="1">
      <c r="A264" s="1" t="s">
        <v>286</v>
      </c>
      <c r="B264" s="151" t="s">
        <v>308</v>
      </c>
      <c r="C264" s="152"/>
      <c r="D264" s="107"/>
      <c r="E264" s="107"/>
      <c r="F264" s="107"/>
      <c r="G264" s="107"/>
      <c r="H264" s="11"/>
      <c r="I264" s="135">
        <f>'Account 456.1'!C23</f>
        <v>0</v>
      </c>
      <c r="J264" s="2"/>
      <c r="K264" s="2"/>
      <c r="L264" s="50"/>
      <c r="N264" s="2"/>
      <c r="O264" s="5"/>
      <c r="P264" s="4"/>
    </row>
    <row r="265" spans="1:17" s="67" customFormat="1">
      <c r="A265" s="1">
        <v>33</v>
      </c>
      <c r="B265" s="3" t="s">
        <v>287</v>
      </c>
      <c r="C265" s="1"/>
      <c r="D265" s="6"/>
      <c r="E265" s="6"/>
      <c r="F265" s="6"/>
      <c r="G265" s="6"/>
      <c r="H265" s="11"/>
      <c r="I265" s="109">
        <f>+I261-I262-I263-I264</f>
        <v>0</v>
      </c>
      <c r="J265" s="2"/>
      <c r="K265" s="2"/>
      <c r="L265" s="104" t="s">
        <v>191</v>
      </c>
      <c r="M265" s="3"/>
      <c r="N265" s="2"/>
      <c r="O265" s="12"/>
      <c r="P265" s="4"/>
      <c r="Q265" s="3"/>
    </row>
    <row r="266" spans="1:17">
      <c r="A266" s="1"/>
      <c r="B266" s="111"/>
      <c r="C266" s="1"/>
      <c r="D266" s="6"/>
      <c r="E266" s="6"/>
      <c r="F266" s="6"/>
      <c r="G266" s="6"/>
      <c r="H266" s="11"/>
      <c r="I266" s="109"/>
      <c r="J266" s="2"/>
      <c r="K266" s="2"/>
      <c r="L266" s="104" t="s">
        <v>192</v>
      </c>
      <c r="M266" s="67"/>
      <c r="N266" s="108"/>
      <c r="O266" s="69"/>
      <c r="P266" s="110"/>
      <c r="Q266" s="67"/>
    </row>
    <row r="267" spans="1:17">
      <c r="A267" s="1"/>
      <c r="B267" s="111"/>
      <c r="C267" s="1"/>
      <c r="D267" s="6"/>
      <c r="E267" s="6"/>
      <c r="F267" s="6"/>
      <c r="G267" s="6"/>
      <c r="H267" s="11"/>
      <c r="I267" s="109"/>
      <c r="J267" s="2"/>
      <c r="K267" s="2"/>
      <c r="L267" s="104"/>
      <c r="N267" s="2"/>
      <c r="O267" s="12"/>
      <c r="P267" s="4"/>
    </row>
    <row r="268" spans="1:17">
      <c r="A268" s="1"/>
      <c r="B268" s="111"/>
      <c r="C268" s="1"/>
      <c r="D268" s="6"/>
      <c r="E268" s="6"/>
      <c r="F268" s="6"/>
      <c r="G268" s="6"/>
      <c r="H268" s="11"/>
      <c r="I268" s="109"/>
      <c r="J268" s="2"/>
      <c r="K268" s="2"/>
      <c r="L268" s="104"/>
      <c r="N268" s="2"/>
      <c r="O268" s="12"/>
      <c r="P268" s="4"/>
    </row>
    <row r="269" spans="1:17">
      <c r="A269" s="1"/>
      <c r="B269" s="111"/>
      <c r="C269" s="1"/>
      <c r="D269" s="6"/>
      <c r="E269" s="6"/>
      <c r="F269" s="6"/>
      <c r="G269" s="6"/>
      <c r="H269" s="11"/>
      <c r="I269" s="109"/>
      <c r="J269" s="2"/>
      <c r="K269" s="2"/>
      <c r="L269" s="104"/>
      <c r="N269" s="2"/>
      <c r="O269" s="12"/>
      <c r="P269" s="4"/>
    </row>
    <row r="270" spans="1:17">
      <c r="B270" s="2"/>
      <c r="C270" s="2"/>
      <c r="E270" s="2"/>
      <c r="F270" s="2"/>
      <c r="G270" s="2"/>
      <c r="H270" s="11"/>
      <c r="I270" s="11"/>
      <c r="K270" s="13" t="s">
        <v>187</v>
      </c>
      <c r="L270" s="12"/>
      <c r="N270" s="12"/>
      <c r="O270" s="12"/>
      <c r="P270" s="12"/>
    </row>
    <row r="271" spans="1:17">
      <c r="A271" s="1"/>
      <c r="B271" s="111" t="str">
        <f>B3</f>
        <v xml:space="preserve">Formula Rate - Non-Levelized </v>
      </c>
      <c r="C271" s="656" t="str">
        <f>D3</f>
        <v xml:space="preserve">   Rate Formula Template</v>
      </c>
      <c r="D271" s="656"/>
      <c r="E271" s="5"/>
      <c r="F271" s="5"/>
      <c r="G271" s="5"/>
      <c r="H271" s="112"/>
      <c r="J271" s="12"/>
      <c r="K271" s="113" t="str">
        <f>K3</f>
        <v>For the 12 months ended 12/31/15</v>
      </c>
      <c r="L271" s="12"/>
      <c r="N271" s="12"/>
      <c r="O271" s="12"/>
      <c r="P271" s="12"/>
    </row>
    <row r="272" spans="1:17">
      <c r="A272" s="1"/>
      <c r="B272" s="111"/>
      <c r="C272" s="1"/>
      <c r="D272" s="5" t="str">
        <f>D4</f>
        <v>Utilizing EIA Form 412 Data</v>
      </c>
      <c r="E272" s="5"/>
      <c r="F272" s="5"/>
      <c r="G272" s="5"/>
      <c r="H272" s="11"/>
      <c r="I272" s="114"/>
      <c r="J272" s="101"/>
      <c r="K272" s="115"/>
      <c r="L272" s="12"/>
      <c r="N272" s="12"/>
      <c r="O272" s="12"/>
      <c r="P272" s="12"/>
    </row>
    <row r="273" spans="1:16">
      <c r="A273" s="1"/>
      <c r="B273" s="111"/>
      <c r="C273" s="1"/>
      <c r="D273" s="5" t="str">
        <f>D6</f>
        <v>Rochester Public Utilities</v>
      </c>
      <c r="E273" s="5"/>
      <c r="F273" s="5"/>
      <c r="G273" s="5"/>
      <c r="H273" s="11"/>
      <c r="I273" s="114"/>
      <c r="J273" s="101"/>
      <c r="K273" s="115"/>
      <c r="L273" s="12"/>
      <c r="N273" s="12"/>
      <c r="O273" s="12"/>
      <c r="P273" s="12"/>
    </row>
    <row r="274" spans="1:16">
      <c r="A274" s="1"/>
      <c r="B274" s="2" t="s">
        <v>140</v>
      </c>
      <c r="C274" s="1"/>
      <c r="D274" s="5"/>
      <c r="E274" s="5"/>
      <c r="F274" s="5"/>
      <c r="G274" s="5"/>
      <c r="H274" s="11"/>
      <c r="I274" s="5"/>
      <c r="J274" s="101"/>
      <c r="K274" s="115"/>
      <c r="L274" s="12"/>
      <c r="N274" s="1"/>
      <c r="O274" s="12"/>
      <c r="P274" s="4"/>
    </row>
    <row r="275" spans="1:16">
      <c r="A275" s="1"/>
      <c r="B275" s="119" t="s">
        <v>221</v>
      </c>
      <c r="C275" s="1"/>
      <c r="D275" s="5"/>
      <c r="E275" s="5"/>
      <c r="F275" s="5"/>
      <c r="G275" s="5"/>
      <c r="H275" s="11"/>
      <c r="I275" s="5"/>
      <c r="J275" s="11"/>
      <c r="K275" s="5"/>
      <c r="L275" s="12"/>
      <c r="N275" s="1"/>
      <c r="O275" s="12"/>
      <c r="P275" s="4"/>
    </row>
    <row r="276" spans="1:16">
      <c r="B276" s="119" t="s">
        <v>220</v>
      </c>
      <c r="C276" s="1"/>
      <c r="D276" s="5"/>
      <c r="E276" s="5"/>
      <c r="F276" s="5"/>
      <c r="G276" s="5"/>
      <c r="H276" s="11"/>
      <c r="I276" s="5"/>
      <c r="J276" s="11"/>
      <c r="K276" s="5"/>
      <c r="L276" s="12"/>
      <c r="N276" s="1"/>
      <c r="O276" s="12"/>
      <c r="P276" s="12"/>
    </row>
    <row r="277" spans="1:16">
      <c r="A277" s="1" t="s">
        <v>141</v>
      </c>
      <c r="B277" s="2" t="s">
        <v>219</v>
      </c>
      <c r="C277" s="11"/>
      <c r="D277" s="5"/>
      <c r="E277" s="5"/>
      <c r="F277" s="5"/>
      <c r="G277" s="26"/>
      <c r="H277" s="11"/>
      <c r="I277" s="5"/>
      <c r="J277" s="11"/>
      <c r="K277" s="5"/>
      <c r="L277" s="12"/>
      <c r="N277" s="1"/>
      <c r="O277" s="12"/>
      <c r="P277" s="12"/>
    </row>
    <row r="278" spans="1:16" ht="16.5" thickBot="1">
      <c r="A278" s="18" t="s">
        <v>142</v>
      </c>
      <c r="C278" s="11"/>
      <c r="D278" s="5"/>
      <c r="E278" s="5"/>
      <c r="F278" s="5"/>
      <c r="G278" s="5"/>
      <c r="H278" s="11"/>
      <c r="I278" s="5"/>
      <c r="J278" s="11"/>
      <c r="K278" s="5"/>
      <c r="L278" s="12"/>
      <c r="N278" s="1"/>
      <c r="O278" s="12"/>
      <c r="P278" s="12"/>
    </row>
    <row r="279" spans="1:16" ht="32.25" customHeight="1">
      <c r="A279" s="126" t="s">
        <v>143</v>
      </c>
      <c r="B279" s="655" t="s">
        <v>280</v>
      </c>
      <c r="C279" s="655"/>
      <c r="D279" s="655"/>
      <c r="E279" s="655"/>
      <c r="F279" s="655"/>
      <c r="G279" s="655"/>
      <c r="H279" s="655"/>
      <c r="I279" s="655"/>
      <c r="J279" s="655"/>
      <c r="K279" s="655"/>
      <c r="L279" s="12"/>
      <c r="N279" s="1"/>
      <c r="O279" s="12"/>
      <c r="P279" s="12"/>
    </row>
    <row r="280" spans="1:16" ht="63" customHeight="1">
      <c r="A280" s="126" t="s">
        <v>144</v>
      </c>
      <c r="B280" s="655" t="s">
        <v>281</v>
      </c>
      <c r="C280" s="655"/>
      <c r="D280" s="655"/>
      <c r="E280" s="655"/>
      <c r="F280" s="655"/>
      <c r="G280" s="655"/>
      <c r="H280" s="655"/>
      <c r="I280" s="655"/>
      <c r="J280" s="655"/>
      <c r="K280" s="655"/>
      <c r="L280" s="12"/>
      <c r="N280" s="1"/>
      <c r="O280" s="12"/>
      <c r="P280" s="12"/>
    </row>
    <row r="281" spans="1:16">
      <c r="A281" s="126" t="s">
        <v>145</v>
      </c>
      <c r="B281" s="655" t="s">
        <v>282</v>
      </c>
      <c r="C281" s="655"/>
      <c r="D281" s="655"/>
      <c r="E281" s="655"/>
      <c r="F281" s="655"/>
      <c r="G281" s="655"/>
      <c r="H281" s="655"/>
      <c r="I281" s="655"/>
      <c r="J281" s="655"/>
      <c r="K281" s="655"/>
      <c r="L281" s="12"/>
      <c r="N281" s="1"/>
      <c r="O281" s="12"/>
      <c r="P281" s="12"/>
    </row>
    <row r="282" spans="1:16">
      <c r="A282" s="126" t="s">
        <v>146</v>
      </c>
      <c r="B282" s="655" t="s">
        <v>282</v>
      </c>
      <c r="C282" s="655"/>
      <c r="D282" s="655"/>
      <c r="E282" s="655"/>
      <c r="F282" s="655"/>
      <c r="G282" s="655"/>
      <c r="H282" s="655"/>
      <c r="I282" s="655"/>
      <c r="J282" s="655"/>
      <c r="K282" s="655"/>
      <c r="L282" s="12"/>
      <c r="N282" s="1"/>
      <c r="O282" s="12"/>
      <c r="P282" s="12"/>
    </row>
    <row r="283" spans="1:16">
      <c r="A283" s="126" t="s">
        <v>147</v>
      </c>
      <c r="B283" s="655" t="s">
        <v>295</v>
      </c>
      <c r="C283" s="655"/>
      <c r="D283" s="655"/>
      <c r="E283" s="655"/>
      <c r="F283" s="655"/>
      <c r="G283" s="655"/>
      <c r="H283" s="655"/>
      <c r="I283" s="655"/>
      <c r="J283" s="655"/>
      <c r="K283" s="655"/>
      <c r="L283" s="12"/>
      <c r="N283" s="1"/>
      <c r="O283" s="12"/>
      <c r="P283" s="12"/>
    </row>
    <row r="284" spans="1:16" ht="48" customHeight="1">
      <c r="A284" s="126" t="s">
        <v>148</v>
      </c>
      <c r="B284" s="657" t="s">
        <v>256</v>
      </c>
      <c r="C284" s="657"/>
      <c r="D284" s="657"/>
      <c r="E284" s="657"/>
      <c r="F284" s="657"/>
      <c r="G284" s="657"/>
      <c r="H284" s="657"/>
      <c r="I284" s="657"/>
      <c r="J284" s="657"/>
      <c r="K284" s="657"/>
      <c r="L284" s="12"/>
      <c r="N284" s="1"/>
      <c r="O284" s="12"/>
      <c r="P284" s="12"/>
    </row>
    <row r="285" spans="1:16">
      <c r="A285" s="126" t="s">
        <v>149</v>
      </c>
      <c r="B285" s="657" t="s">
        <v>179</v>
      </c>
      <c r="C285" s="657"/>
      <c r="D285" s="657"/>
      <c r="E285" s="657"/>
      <c r="F285" s="657"/>
      <c r="G285" s="657"/>
      <c r="H285" s="657"/>
      <c r="I285" s="657"/>
      <c r="J285" s="657"/>
      <c r="K285" s="657"/>
      <c r="L285" s="12"/>
      <c r="N285" s="1"/>
      <c r="O285" s="12"/>
      <c r="P285" s="12"/>
    </row>
    <row r="286" spans="1:16" ht="32.25" customHeight="1">
      <c r="A286" s="126" t="s">
        <v>150</v>
      </c>
      <c r="B286" s="657" t="s">
        <v>257</v>
      </c>
      <c r="C286" s="657"/>
      <c r="D286" s="657"/>
      <c r="E286" s="657"/>
      <c r="F286" s="657"/>
      <c r="G286" s="657"/>
      <c r="H286" s="657"/>
      <c r="I286" s="657"/>
      <c r="J286" s="657"/>
      <c r="K286" s="657"/>
      <c r="L286" s="12"/>
      <c r="N286" s="1"/>
      <c r="O286" s="12"/>
      <c r="P286" s="12"/>
    </row>
    <row r="287" spans="1:16" ht="32.25" customHeight="1">
      <c r="A287" s="126" t="s">
        <v>151</v>
      </c>
      <c r="B287" s="655" t="s">
        <v>258</v>
      </c>
      <c r="C287" s="655"/>
      <c r="D287" s="655"/>
      <c r="E287" s="655"/>
      <c r="F287" s="655"/>
      <c r="G287" s="655"/>
      <c r="H287" s="655"/>
      <c r="I287" s="655"/>
      <c r="J287" s="655"/>
      <c r="K287" s="655"/>
      <c r="L287" s="12"/>
      <c r="N287" s="1"/>
      <c r="O287" s="12"/>
      <c r="P287" s="12"/>
    </row>
    <row r="288" spans="1:16" ht="32.25" customHeight="1">
      <c r="A288" s="126" t="s">
        <v>152</v>
      </c>
      <c r="B288" s="657" t="s">
        <v>259</v>
      </c>
      <c r="C288" s="657"/>
      <c r="D288" s="657"/>
      <c r="E288" s="657"/>
      <c r="F288" s="657"/>
      <c r="G288" s="657"/>
      <c r="H288" s="657"/>
      <c r="I288" s="657"/>
      <c r="J288" s="657"/>
      <c r="K288" s="657"/>
      <c r="L288" s="12"/>
      <c r="N288" s="1"/>
      <c r="O288" s="36"/>
      <c r="P288" s="12"/>
    </row>
    <row r="289" spans="1:16" ht="69" customHeight="1">
      <c r="A289" s="126" t="s">
        <v>153</v>
      </c>
      <c r="B289" s="657" t="s">
        <v>260</v>
      </c>
      <c r="C289" s="657"/>
      <c r="D289" s="657"/>
      <c r="E289" s="657"/>
      <c r="F289" s="657"/>
      <c r="G289" s="657"/>
      <c r="H289" s="657"/>
      <c r="I289" s="657"/>
      <c r="J289" s="657"/>
      <c r="K289" s="657"/>
      <c r="L289" s="12"/>
      <c r="N289" s="1"/>
      <c r="O289" s="12"/>
      <c r="P289" s="12"/>
    </row>
    <row r="290" spans="1:16">
      <c r="A290" s="126" t="s">
        <v>2</v>
      </c>
      <c r="B290" s="134" t="s">
        <v>255</v>
      </c>
      <c r="C290" s="129" t="s">
        <v>154</v>
      </c>
      <c r="D290" s="130">
        <v>0</v>
      </c>
      <c r="E290" s="129"/>
      <c r="F290" s="128"/>
      <c r="G290" s="128"/>
      <c r="H290" s="127"/>
      <c r="I290" s="128"/>
      <c r="J290" s="127"/>
      <c r="K290" s="128"/>
      <c r="L290" s="12"/>
      <c r="N290" s="1"/>
      <c r="O290" s="12"/>
      <c r="P290" s="12"/>
    </row>
    <row r="291" spans="1:16">
      <c r="A291" s="126"/>
      <c r="B291" s="129"/>
      <c r="C291" s="129" t="s">
        <v>155</v>
      </c>
      <c r="D291" s="130">
        <v>0</v>
      </c>
      <c r="E291" s="657" t="s">
        <v>156</v>
      </c>
      <c r="F291" s="657"/>
      <c r="G291" s="657"/>
      <c r="H291" s="657"/>
      <c r="I291" s="657"/>
      <c r="J291" s="657"/>
      <c r="K291" s="657"/>
      <c r="N291" s="1"/>
      <c r="O291" s="12"/>
      <c r="P291" s="12"/>
    </row>
    <row r="292" spans="1:16">
      <c r="A292" s="126"/>
      <c r="B292" s="129"/>
      <c r="C292" s="129" t="s">
        <v>157</v>
      </c>
      <c r="D292" s="130">
        <v>0</v>
      </c>
      <c r="E292" s="657" t="s">
        <v>158</v>
      </c>
      <c r="F292" s="657"/>
      <c r="G292" s="657"/>
      <c r="H292" s="657"/>
      <c r="I292" s="657"/>
      <c r="J292" s="657"/>
      <c r="K292" s="657"/>
      <c r="L292" s="12"/>
      <c r="N292" s="1"/>
      <c r="O292" s="12"/>
      <c r="P292" s="12"/>
    </row>
    <row r="293" spans="1:16">
      <c r="A293" s="126" t="s">
        <v>159</v>
      </c>
      <c r="B293" s="657" t="s">
        <v>208</v>
      </c>
      <c r="C293" s="657"/>
      <c r="D293" s="657"/>
      <c r="E293" s="657"/>
      <c r="F293" s="657"/>
      <c r="G293" s="657"/>
      <c r="H293" s="657"/>
      <c r="I293" s="657"/>
      <c r="J293" s="657"/>
      <c r="K293" s="657"/>
      <c r="L293" s="12"/>
      <c r="N293" s="1"/>
      <c r="O293" s="12"/>
      <c r="P293" s="12"/>
    </row>
    <row r="294" spans="1:16" ht="32.25" customHeight="1">
      <c r="A294" s="126" t="s">
        <v>160</v>
      </c>
      <c r="B294" s="657" t="s">
        <v>290</v>
      </c>
      <c r="C294" s="657"/>
      <c r="D294" s="657"/>
      <c r="E294" s="657"/>
      <c r="F294" s="657"/>
      <c r="G294" s="657"/>
      <c r="H294" s="657"/>
      <c r="I294" s="657"/>
      <c r="J294" s="657"/>
      <c r="K294" s="657"/>
      <c r="L294" s="116" t="s">
        <v>190</v>
      </c>
      <c r="N294" s="1"/>
      <c r="O294" s="12"/>
      <c r="P294" s="12"/>
    </row>
    <row r="295" spans="1:16" ht="48" customHeight="1">
      <c r="A295" s="126" t="s">
        <v>161</v>
      </c>
      <c r="B295" s="657" t="s">
        <v>277</v>
      </c>
      <c r="C295" s="657"/>
      <c r="D295" s="657"/>
      <c r="E295" s="657"/>
      <c r="F295" s="657"/>
      <c r="G295" s="657"/>
      <c r="H295" s="657"/>
      <c r="I295" s="657"/>
      <c r="J295" s="657"/>
      <c r="K295" s="657"/>
      <c r="L295" s="12"/>
      <c r="N295" s="1"/>
      <c r="O295" s="12"/>
      <c r="P295" s="12"/>
    </row>
    <row r="296" spans="1:16">
      <c r="A296" s="126" t="s">
        <v>162</v>
      </c>
      <c r="B296" s="657" t="s">
        <v>180</v>
      </c>
      <c r="C296" s="657"/>
      <c r="D296" s="657"/>
      <c r="E296" s="657"/>
      <c r="F296" s="657"/>
      <c r="G296" s="657"/>
      <c r="H296" s="657"/>
      <c r="I296" s="657"/>
      <c r="J296" s="657"/>
      <c r="K296" s="657"/>
      <c r="L296" s="12"/>
      <c r="N296" s="1"/>
      <c r="O296" s="36"/>
      <c r="P296" s="12"/>
    </row>
    <row r="297" spans="1:16" ht="34.5" customHeight="1">
      <c r="A297" s="126" t="s">
        <v>163</v>
      </c>
      <c r="B297" s="655" t="s">
        <v>261</v>
      </c>
      <c r="C297" s="655"/>
      <c r="D297" s="655"/>
      <c r="E297" s="655"/>
      <c r="F297" s="655"/>
      <c r="G297" s="655"/>
      <c r="H297" s="655"/>
      <c r="I297" s="655"/>
      <c r="J297" s="655"/>
      <c r="K297" s="655"/>
      <c r="L297" s="12"/>
      <c r="N297" s="1"/>
      <c r="O297" s="36"/>
      <c r="P297" s="12"/>
    </row>
    <row r="298" spans="1:16" ht="32.25" customHeight="1">
      <c r="A298" s="126" t="s">
        <v>164</v>
      </c>
      <c r="B298" s="657" t="s">
        <v>262</v>
      </c>
      <c r="C298" s="657"/>
      <c r="D298" s="657"/>
      <c r="E298" s="657"/>
      <c r="F298" s="657"/>
      <c r="G298" s="657"/>
      <c r="H298" s="657"/>
      <c r="I298" s="657"/>
      <c r="J298" s="657"/>
      <c r="K298" s="657"/>
      <c r="L298" s="12"/>
      <c r="N298" s="1"/>
      <c r="O298" s="12"/>
      <c r="P298" s="12"/>
    </row>
    <row r="299" spans="1:16">
      <c r="A299" s="126" t="s">
        <v>165</v>
      </c>
      <c r="B299" s="657" t="s">
        <v>166</v>
      </c>
      <c r="C299" s="657"/>
      <c r="D299" s="657"/>
      <c r="E299" s="657"/>
      <c r="F299" s="657"/>
      <c r="G299" s="657"/>
      <c r="H299" s="657"/>
      <c r="I299" s="657"/>
      <c r="J299" s="657"/>
      <c r="K299" s="657"/>
      <c r="L299" s="12"/>
      <c r="N299" s="1"/>
      <c r="O299" s="12"/>
      <c r="P299" s="12"/>
    </row>
    <row r="300" spans="1:16" ht="48" customHeight="1">
      <c r="A300" s="126" t="s">
        <v>181</v>
      </c>
      <c r="B300" s="657" t="s">
        <v>878</v>
      </c>
      <c r="C300" s="657"/>
      <c r="D300" s="657"/>
      <c r="E300" s="657"/>
      <c r="F300" s="657"/>
      <c r="G300" s="657"/>
      <c r="H300" s="657"/>
      <c r="I300" s="657"/>
      <c r="J300" s="657"/>
      <c r="K300" s="657"/>
      <c r="L300" s="12"/>
      <c r="N300" s="1"/>
      <c r="O300" s="12"/>
      <c r="P300" s="12"/>
    </row>
    <row r="301" spans="1:16" ht="65.25" customHeight="1">
      <c r="A301" s="132" t="s">
        <v>182</v>
      </c>
      <c r="B301" s="658" t="s">
        <v>276</v>
      </c>
      <c r="C301" s="658"/>
      <c r="D301" s="658"/>
      <c r="E301" s="658"/>
      <c r="F301" s="658"/>
      <c r="G301" s="658"/>
      <c r="H301" s="658"/>
      <c r="I301" s="658"/>
      <c r="J301" s="658"/>
      <c r="K301" s="658"/>
      <c r="L301" s="12"/>
      <c r="N301" s="1"/>
      <c r="O301" s="12"/>
      <c r="P301" s="12"/>
    </row>
    <row r="302" spans="1:16">
      <c r="A302" s="132" t="s">
        <v>201</v>
      </c>
      <c r="B302" s="658" t="s">
        <v>303</v>
      </c>
      <c r="C302" s="658"/>
      <c r="D302" s="658"/>
      <c r="E302" s="658"/>
      <c r="F302" s="658"/>
      <c r="G302" s="658"/>
      <c r="H302" s="658"/>
      <c r="I302" s="658"/>
      <c r="J302" s="658"/>
      <c r="K302" s="658"/>
      <c r="L302" s="12"/>
      <c r="N302" s="1"/>
      <c r="O302" s="12"/>
      <c r="P302" s="12"/>
    </row>
    <row r="303" spans="1:16">
      <c r="A303" s="133" t="s">
        <v>205</v>
      </c>
      <c r="B303" s="658" t="s">
        <v>304</v>
      </c>
      <c r="C303" s="658"/>
      <c r="D303" s="658"/>
      <c r="E303" s="658"/>
      <c r="F303" s="658"/>
      <c r="G303" s="658"/>
      <c r="H303" s="658"/>
      <c r="I303" s="658"/>
      <c r="J303" s="658"/>
      <c r="K303" s="658"/>
      <c r="L303" s="12"/>
      <c r="N303" s="50"/>
      <c r="O303" s="12"/>
      <c r="P303" s="12"/>
    </row>
    <row r="304" spans="1:16">
      <c r="A304" s="133" t="s">
        <v>210</v>
      </c>
      <c r="B304" s="658" t="s">
        <v>879</v>
      </c>
      <c r="C304" s="658"/>
      <c r="D304" s="658"/>
      <c r="E304" s="658"/>
      <c r="F304" s="658"/>
      <c r="G304" s="658"/>
      <c r="H304" s="658"/>
      <c r="I304" s="658"/>
      <c r="J304" s="658"/>
      <c r="K304" s="658"/>
      <c r="L304" s="12"/>
      <c r="N304" s="50"/>
      <c r="O304" s="12"/>
      <c r="P304" s="12"/>
    </row>
    <row r="305" spans="1:16" s="56" customFormat="1" ht="32.25" customHeight="1">
      <c r="A305" s="132" t="s">
        <v>211</v>
      </c>
      <c r="B305" s="658" t="s">
        <v>880</v>
      </c>
      <c r="C305" s="658"/>
      <c r="D305" s="658"/>
      <c r="E305" s="658"/>
      <c r="F305" s="658"/>
      <c r="G305" s="658"/>
      <c r="H305" s="658"/>
      <c r="I305" s="658"/>
      <c r="J305" s="658"/>
      <c r="K305" s="658"/>
      <c r="L305" s="136"/>
      <c r="N305" s="54"/>
      <c r="O305" s="136"/>
      <c r="P305" s="136"/>
    </row>
    <row r="306" spans="1:16" s="67" customFormat="1">
      <c r="A306" s="133" t="s">
        <v>288</v>
      </c>
      <c r="B306" s="658" t="s">
        <v>881</v>
      </c>
      <c r="C306" s="658"/>
      <c r="D306" s="658"/>
      <c r="E306" s="658"/>
      <c r="F306" s="658"/>
      <c r="G306" s="658"/>
      <c r="H306" s="658"/>
      <c r="I306" s="658"/>
      <c r="J306" s="658"/>
      <c r="K306" s="658"/>
      <c r="L306" s="69"/>
      <c r="N306" s="66"/>
      <c r="O306" s="69"/>
      <c r="P306" s="69"/>
    </row>
    <row r="307" spans="1:16" s="67" customFormat="1" ht="33" customHeight="1">
      <c r="A307" s="132" t="s">
        <v>289</v>
      </c>
      <c r="B307" s="658" t="s">
        <v>882</v>
      </c>
      <c r="C307" s="658"/>
      <c r="D307" s="658"/>
      <c r="E307" s="658"/>
      <c r="F307" s="658"/>
      <c r="G307" s="658"/>
      <c r="H307" s="658"/>
      <c r="I307" s="658"/>
      <c r="J307" s="658"/>
      <c r="K307" s="658"/>
      <c r="L307" s="69"/>
      <c r="N307" s="66"/>
      <c r="O307" s="69"/>
      <c r="P307" s="69"/>
    </row>
    <row r="308" spans="1:16" s="67" customFormat="1" ht="15" customHeight="1">
      <c r="A308" s="132" t="s">
        <v>291</v>
      </c>
      <c r="B308" s="147" t="s">
        <v>292</v>
      </c>
      <c r="C308" s="649"/>
      <c r="D308" s="649"/>
      <c r="E308" s="649"/>
      <c r="F308" s="649"/>
      <c r="G308" s="649"/>
      <c r="H308" s="649"/>
      <c r="I308" s="649"/>
      <c r="J308" s="649"/>
      <c r="K308" s="649"/>
      <c r="L308" s="69"/>
      <c r="N308" s="66"/>
      <c r="O308" s="69"/>
      <c r="P308" s="69"/>
    </row>
    <row r="309" spans="1:16" s="67" customFormat="1" ht="15" customHeight="1">
      <c r="A309" s="132" t="s">
        <v>293</v>
      </c>
      <c r="B309" s="148" t="s">
        <v>294</v>
      </c>
      <c r="C309" s="649"/>
      <c r="D309" s="649"/>
      <c r="E309" s="649"/>
      <c r="F309" s="649"/>
      <c r="G309" s="649"/>
      <c r="H309" s="649"/>
      <c r="I309" s="649"/>
      <c r="J309" s="649"/>
      <c r="K309" s="649"/>
      <c r="L309" s="69"/>
      <c r="N309" s="66"/>
      <c r="O309" s="69"/>
      <c r="P309" s="69"/>
    </row>
    <row r="310" spans="1:16" s="67" customFormat="1" ht="15" customHeight="1">
      <c r="A310" s="132" t="s">
        <v>775</v>
      </c>
      <c r="B310" s="148" t="s">
        <v>776</v>
      </c>
      <c r="C310" s="649"/>
      <c r="D310" s="649"/>
      <c r="E310" s="649"/>
      <c r="F310" s="649"/>
      <c r="G310" s="649"/>
      <c r="H310" s="649"/>
      <c r="I310" s="649"/>
      <c r="J310" s="649"/>
      <c r="K310" s="649"/>
      <c r="L310" s="69"/>
      <c r="N310" s="66"/>
      <c r="O310" s="69"/>
      <c r="P310" s="69"/>
    </row>
    <row r="311" spans="1:16" s="67" customFormat="1" ht="15" customHeight="1">
      <c r="A311" s="132"/>
      <c r="B311" s="131"/>
      <c r="C311" s="127"/>
      <c r="D311" s="127"/>
      <c r="E311" s="127"/>
      <c r="F311" s="127"/>
      <c r="G311" s="127"/>
      <c r="H311" s="127"/>
      <c r="I311" s="127"/>
      <c r="J311" s="127"/>
      <c r="K311" s="127"/>
      <c r="L311" s="69"/>
      <c r="N311" s="66"/>
      <c r="O311" s="69"/>
      <c r="P311" s="69"/>
    </row>
    <row r="312" spans="1:16">
      <c r="A312" s="1"/>
      <c r="B312" s="11"/>
      <c r="C312" s="11"/>
      <c r="D312" s="11"/>
      <c r="E312" s="11"/>
      <c r="F312" s="11"/>
      <c r="G312" s="11"/>
      <c r="H312" s="11"/>
      <c r="I312" s="11"/>
      <c r="J312" s="11"/>
      <c r="K312" s="11"/>
      <c r="N312" s="1"/>
      <c r="O312" s="12"/>
      <c r="P312" s="12"/>
    </row>
    <row r="313" spans="1:16">
      <c r="A313" s="1"/>
      <c r="B313" s="11"/>
      <c r="C313" s="11"/>
      <c r="D313" s="11"/>
      <c r="E313" s="11"/>
      <c r="F313" s="11"/>
      <c r="G313" s="11"/>
      <c r="H313" s="11"/>
      <c r="I313" s="11"/>
      <c r="J313" s="11"/>
      <c r="K313" s="11"/>
      <c r="N313" s="1"/>
      <c r="O313" s="12"/>
      <c r="P313" s="12"/>
    </row>
    <row r="314" spans="1:16">
      <c r="A314" s="1"/>
      <c r="B314" s="11"/>
      <c r="C314" s="11"/>
      <c r="D314" s="11"/>
      <c r="E314" s="11"/>
      <c r="F314" s="11"/>
      <c r="G314" s="11"/>
      <c r="H314" s="11"/>
      <c r="I314" s="11"/>
      <c r="J314" s="11"/>
      <c r="K314" s="11"/>
      <c r="N314" s="1"/>
      <c r="O314" s="12"/>
      <c r="P314" s="12"/>
    </row>
    <row r="315" spans="1:16">
      <c r="A315" s="1"/>
      <c r="B315" s="11"/>
      <c r="C315" s="11"/>
      <c r="D315" s="11"/>
      <c r="E315" s="11"/>
      <c r="F315" s="11"/>
      <c r="G315" s="11"/>
      <c r="H315" s="11"/>
      <c r="I315" s="11"/>
      <c r="J315" s="11"/>
      <c r="K315" s="11"/>
      <c r="N315" s="1"/>
      <c r="O315" s="12"/>
      <c r="P315" s="12"/>
    </row>
    <row r="316" spans="1:16">
      <c r="A316" s="1"/>
      <c r="B316" s="11"/>
      <c r="C316" s="11"/>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1"/>
      <c r="C320" s="11"/>
      <c r="D320" s="11"/>
      <c r="E320" s="11"/>
      <c r="F320" s="11"/>
      <c r="G320" s="11"/>
      <c r="H320" s="11"/>
      <c r="I320" s="11"/>
      <c r="J320" s="11"/>
      <c r="K320" s="11"/>
      <c r="N320" s="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A326" s="1"/>
      <c r="B326" s="11"/>
      <c r="C326" s="11"/>
      <c r="D326" s="11"/>
      <c r="E326" s="11"/>
      <c r="F326" s="11"/>
      <c r="G326" s="11"/>
      <c r="H326" s="11"/>
      <c r="I326" s="11"/>
      <c r="J326" s="11"/>
      <c r="K326" s="11"/>
      <c r="N326" s="1"/>
      <c r="O326" s="12"/>
      <c r="P326" s="12"/>
    </row>
    <row r="327" spans="1:16">
      <c r="B327" s="12"/>
      <c r="C327" s="12"/>
      <c r="D327" s="12"/>
      <c r="E327" s="12"/>
      <c r="F327" s="12"/>
      <c r="G327" s="12"/>
      <c r="H327" s="12"/>
      <c r="I327" s="12"/>
      <c r="J327" s="11"/>
      <c r="K327" s="11"/>
      <c r="N327" s="1"/>
      <c r="O327" s="12"/>
      <c r="P327" s="12"/>
    </row>
    <row r="328" spans="1:16">
      <c r="B328" s="12"/>
      <c r="C328" s="12"/>
      <c r="D328" s="12"/>
      <c r="E328" s="12"/>
      <c r="F328" s="12"/>
      <c r="G328" s="12"/>
      <c r="H328" s="12"/>
      <c r="I328" s="12"/>
      <c r="J328" s="12"/>
      <c r="K328" s="12"/>
      <c r="N328" s="1"/>
      <c r="O328" s="12"/>
      <c r="P328" s="12"/>
    </row>
    <row r="329" spans="1:16">
      <c r="B329" s="12"/>
      <c r="C329" s="12"/>
      <c r="D329" s="12"/>
      <c r="E329" s="12"/>
      <c r="F329" s="12"/>
      <c r="G329" s="12"/>
      <c r="H329" s="12"/>
      <c r="I329" s="12"/>
      <c r="J329" s="12"/>
      <c r="K329" s="12"/>
      <c r="N329" s="1"/>
      <c r="O329" s="12"/>
      <c r="P329" s="12"/>
    </row>
    <row r="330" spans="1:16">
      <c r="B330" s="12"/>
      <c r="C330" s="12"/>
      <c r="D330" s="12"/>
      <c r="E330" s="12"/>
      <c r="F330" s="12"/>
      <c r="G330" s="12"/>
      <c r="H330" s="12"/>
      <c r="I330" s="12"/>
      <c r="J330" s="12"/>
      <c r="K330" s="12"/>
      <c r="N330" s="12"/>
      <c r="O330" s="12"/>
      <c r="P330" s="12"/>
    </row>
    <row r="331" spans="1:16">
      <c r="B331" s="12"/>
      <c r="C331" s="12"/>
      <c r="D331" s="12"/>
      <c r="E331" s="12"/>
      <c r="F331" s="12"/>
      <c r="G331" s="12"/>
      <c r="H331" s="12"/>
      <c r="I331" s="12"/>
      <c r="J331" s="12"/>
      <c r="K331" s="12"/>
      <c r="N331" s="12"/>
      <c r="O331" s="12"/>
      <c r="P331" s="12"/>
    </row>
    <row r="332" spans="1:16">
      <c r="B332" s="12"/>
      <c r="C332" s="12"/>
      <c r="D332" s="12"/>
      <c r="E332" s="12"/>
      <c r="F332" s="12"/>
      <c r="G332" s="12"/>
      <c r="H332" s="12"/>
      <c r="I332" s="12"/>
      <c r="J332" s="12"/>
      <c r="K332" s="12"/>
      <c r="N332" s="12"/>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B335" s="12"/>
      <c r="C335" s="12"/>
      <c r="D335" s="12"/>
      <c r="E335" s="12"/>
      <c r="F335" s="12"/>
      <c r="G335" s="12"/>
      <c r="H335" s="12"/>
      <c r="I335" s="12"/>
      <c r="J335" s="12"/>
      <c r="K335" s="12"/>
      <c r="N335" s="12"/>
      <c r="O335" s="12"/>
      <c r="P335" s="12"/>
    </row>
    <row r="336" spans="1:16">
      <c r="J336" s="12"/>
      <c r="K336" s="12"/>
      <c r="N336" s="12"/>
      <c r="O336" s="12"/>
      <c r="P336" s="12"/>
    </row>
    <row r="337" spans="14:16">
      <c r="N337" s="12"/>
      <c r="O337" s="12"/>
      <c r="P337" s="12"/>
    </row>
    <row r="338" spans="14:16">
      <c r="N338" s="12"/>
      <c r="O338" s="12"/>
      <c r="P338" s="12"/>
    </row>
  </sheetData>
  <mergeCells count="31">
    <mergeCell ref="B306:K306"/>
    <mergeCell ref="B307:K307"/>
    <mergeCell ref="B301:K301"/>
    <mergeCell ref="B300:K300"/>
    <mergeCell ref="B299:K299"/>
    <mergeCell ref="B305:K305"/>
    <mergeCell ref="B303:K303"/>
    <mergeCell ref="B304:K304"/>
    <mergeCell ref="B302:K302"/>
    <mergeCell ref="B283:K283"/>
    <mergeCell ref="B282:K282"/>
    <mergeCell ref="E292:K292"/>
    <mergeCell ref="E291:K291"/>
    <mergeCell ref="B298:K298"/>
    <mergeCell ref="B297:K297"/>
    <mergeCell ref="B296:K296"/>
    <mergeCell ref="B295:K295"/>
    <mergeCell ref="B294:K294"/>
    <mergeCell ref="B293:K293"/>
    <mergeCell ref="B289:K289"/>
    <mergeCell ref="B288:K288"/>
    <mergeCell ref="B287:K287"/>
    <mergeCell ref="B286:K286"/>
    <mergeCell ref="B285:K285"/>
    <mergeCell ref="B284:K284"/>
    <mergeCell ref="M34:N34"/>
    <mergeCell ref="L220:Q220"/>
    <mergeCell ref="B281:K281"/>
    <mergeCell ref="C271:D271"/>
    <mergeCell ref="B280:K280"/>
    <mergeCell ref="B279:K279"/>
  </mergeCells>
  <phoneticPr fontId="0" type="noConversion"/>
  <pageMargins left="0.5" right="0.5" top="0.75" bottom="0.75" header="0.09" footer="0.5"/>
  <pageSetup scale="63" fitToHeight="5" orientation="portrait" r:id="rId1"/>
  <headerFooter alignWithMargins="0">
    <oddFooter>&amp;L&amp;8&amp;Z&amp;F&amp;A&amp;R&amp;8&amp;D</oddFooter>
  </headerFooter>
  <rowBreaks count="4" manualBreakCount="4">
    <brk id="69" max="10" man="1"/>
    <brk id="135" max="10" man="1"/>
    <brk id="202" max="10" man="1"/>
    <brk id="269" max="10" man="1"/>
  </rowBreaks>
  <ignoredErrors>
    <ignoredError sqref="I31 I261:I264"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5"/>
  <sheetViews>
    <sheetView zoomScaleNormal="100" zoomScaleSheetLayoutView="100" workbookViewId="0"/>
  </sheetViews>
  <sheetFormatPr defaultRowHeight="15"/>
  <cols>
    <col min="1" max="1" width="32.33203125" style="352" bestFit="1" customWidth="1"/>
    <col min="2" max="4" width="8.88671875" style="352"/>
    <col min="5" max="5" width="11.5546875" style="352" bestFit="1" customWidth="1"/>
    <col min="6" max="6" width="2.109375" style="352" customWidth="1"/>
    <col min="7" max="16384" width="8.88671875" style="352"/>
  </cols>
  <sheetData>
    <row r="1" spans="1:8" ht="23.25">
      <c r="A1" s="406" t="str">
        <f>Coversheet!B3</f>
        <v>Rochester Public Utilities</v>
      </c>
      <c r="B1" s="405"/>
      <c r="C1" s="405"/>
      <c r="D1" s="405"/>
      <c r="E1" s="415"/>
      <c r="F1" s="415"/>
      <c r="G1" s="415"/>
      <c r="H1" s="415"/>
    </row>
    <row r="2" spans="1:8" ht="23.25">
      <c r="A2" s="406" t="str">
        <f>'EPRI Reg Comm Non Safety'!A2</f>
        <v>Forecasted 12 Months Ended December 31,</v>
      </c>
      <c r="B2" s="405"/>
      <c r="C2" s="405"/>
      <c r="D2" s="406">
        <f>'EPRI Reg Comm Non Safety'!B2</f>
        <v>2015</v>
      </c>
      <c r="E2" s="415"/>
      <c r="F2" s="415"/>
      <c r="G2" s="415"/>
      <c r="H2" s="415"/>
    </row>
    <row r="4" spans="1:8" ht="21">
      <c r="A4" s="399" t="s">
        <v>646</v>
      </c>
      <c r="B4" s="399"/>
      <c r="C4" s="399"/>
      <c r="D4" s="399"/>
    </row>
    <row r="6" spans="1:8" ht="15.75">
      <c r="A6" s="476" t="s">
        <v>647</v>
      </c>
      <c r="E6" s="645">
        <v>929370</v>
      </c>
      <c r="G6" s="352" t="s">
        <v>648</v>
      </c>
    </row>
    <row r="7" spans="1:8" ht="15.75">
      <c r="A7" s="352" t="s">
        <v>649</v>
      </c>
      <c r="E7" s="646">
        <v>0</v>
      </c>
      <c r="G7" s="352" t="s">
        <v>650</v>
      </c>
    </row>
    <row r="8" spans="1:8" ht="15.75">
      <c r="A8" s="352" t="s">
        <v>651</v>
      </c>
      <c r="E8" s="646">
        <v>0</v>
      </c>
      <c r="G8" s="352" t="s">
        <v>652</v>
      </c>
    </row>
    <row r="9" spans="1:8" ht="15.75">
      <c r="A9" s="352" t="s">
        <v>653</v>
      </c>
      <c r="E9" s="646">
        <v>0</v>
      </c>
      <c r="G9" s="352" t="s">
        <v>654</v>
      </c>
    </row>
    <row r="10" spans="1:8" ht="15.75">
      <c r="A10" s="154" t="s">
        <v>483</v>
      </c>
      <c r="E10" s="647">
        <v>8773263</v>
      </c>
      <c r="G10" s="352" t="s">
        <v>655</v>
      </c>
    </row>
    <row r="11" spans="1:8" ht="15.75">
      <c r="A11" s="352" t="s">
        <v>656</v>
      </c>
      <c r="E11" s="398">
        <v>0</v>
      </c>
      <c r="G11" s="352" t="s">
        <v>657</v>
      </c>
    </row>
    <row r="12" spans="1:8" ht="15.75">
      <c r="A12" s="352" t="s">
        <v>9</v>
      </c>
      <c r="E12" s="395">
        <f>SUM(E6:E11)</f>
        <v>9702633</v>
      </c>
      <c r="G12" s="352" t="s">
        <v>658</v>
      </c>
    </row>
    <row r="13" spans="1:8">
      <c r="G13" s="352" t="s">
        <v>659</v>
      </c>
    </row>
    <row r="14" spans="1:8">
      <c r="G14" s="352" t="s">
        <v>660</v>
      </c>
    </row>
    <row r="15" spans="1:8">
      <c r="G15" s="352" t="s">
        <v>661</v>
      </c>
    </row>
  </sheetData>
  <pageMargins left="0.45" right="0.2" top="0.75" bottom="0.75" header="0.3" footer="0.3"/>
  <pageSetup scale="63" orientation="landscape" r:id="rId1"/>
  <headerFooter>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9"/>
  <sheetViews>
    <sheetView zoomScaleNormal="100" zoomScaleSheetLayoutView="100" workbookViewId="0">
      <selection activeCell="B11" sqref="B11"/>
    </sheetView>
  </sheetViews>
  <sheetFormatPr defaultRowHeight="15"/>
  <cols>
    <col min="1" max="1" width="57.5546875" style="352" bestFit="1" customWidth="1"/>
    <col min="2" max="2" width="7.77734375" style="352" bestFit="1" customWidth="1"/>
    <col min="3" max="3" width="8.88671875" style="352"/>
    <col min="4" max="4" width="57.21875" style="352" bestFit="1" customWidth="1"/>
    <col min="5" max="16384" width="8.88671875" style="352"/>
  </cols>
  <sheetData>
    <row r="1" spans="1:4" ht="15.75">
      <c r="A1" s="417" t="str">
        <f>Coversheet!B3</f>
        <v>Rochester Public Utilities</v>
      </c>
      <c r="B1" s="383"/>
      <c r="C1" s="383"/>
      <c r="D1" s="383"/>
    </row>
    <row r="2" spans="1:4" ht="15.75">
      <c r="A2" s="417" t="str">
        <f>'Taxes other than inc tax'!A2</f>
        <v>Forecasted 12 Months Ended December 31,</v>
      </c>
      <c r="B2" s="410">
        <f>'Taxes other than inc tax'!D2</f>
        <v>2015</v>
      </c>
      <c r="C2" s="416"/>
      <c r="D2" s="416"/>
    </row>
    <row r="3" spans="1:4">
      <c r="A3" s="400"/>
      <c r="B3" s="383"/>
      <c r="C3" s="383"/>
      <c r="D3" s="383" t="s">
        <v>662</v>
      </c>
    </row>
    <row r="5" spans="1:4" ht="18.75">
      <c r="A5" s="401" t="s">
        <v>663</v>
      </c>
      <c r="B5" s="386"/>
      <c r="C5" s="386"/>
    </row>
    <row r="8" spans="1:4">
      <c r="A8" s="402" t="s">
        <v>664</v>
      </c>
      <c r="B8" s="381" t="s">
        <v>7</v>
      </c>
    </row>
    <row r="10" spans="1:4" ht="15.75">
      <c r="A10" s="448" t="s">
        <v>748</v>
      </c>
      <c r="B10" s="444">
        <v>600</v>
      </c>
    </row>
    <row r="11" spans="1:4" ht="15.75">
      <c r="A11" s="441" t="s">
        <v>755</v>
      </c>
      <c r="B11" s="475">
        <v>36420</v>
      </c>
    </row>
    <row r="12" spans="1:4" ht="15.75">
      <c r="A12" s="352" t="s">
        <v>665</v>
      </c>
      <c r="B12" s="396">
        <v>0</v>
      </c>
    </row>
    <row r="13" spans="1:4">
      <c r="A13" s="352" t="s">
        <v>665</v>
      </c>
      <c r="B13" s="403">
        <v>0</v>
      </c>
    </row>
    <row r="14" spans="1:4">
      <c r="A14" s="352" t="s">
        <v>666</v>
      </c>
      <c r="B14" s="404">
        <f>SUM(B10:B13)</f>
        <v>37020</v>
      </c>
      <c r="D14" s="352" t="s">
        <v>667</v>
      </c>
    </row>
    <row r="15" spans="1:4" ht="16.5" customHeight="1">
      <c r="D15" s="485" t="s">
        <v>668</v>
      </c>
    </row>
    <row r="16" spans="1:4">
      <c r="D16" s="352" t="s">
        <v>669</v>
      </c>
    </row>
    <row r="17" spans="1:4" ht="15" customHeight="1" thickBot="1">
      <c r="A17" s="448" t="s">
        <v>749</v>
      </c>
      <c r="B17" s="470">
        <v>259200</v>
      </c>
      <c r="D17" s="352" t="s">
        <v>670</v>
      </c>
    </row>
    <row r="18" spans="1:4">
      <c r="A18" s="446" t="s">
        <v>750</v>
      </c>
      <c r="B18" s="471">
        <f>B17+B14</f>
        <v>296220</v>
      </c>
      <c r="D18" s="352" t="s">
        <v>671</v>
      </c>
    </row>
    <row r="19" spans="1:4">
      <c r="D19" s="352" t="s">
        <v>672</v>
      </c>
    </row>
  </sheetData>
  <pageMargins left="0.7" right="0.45" top="0.75" bottom="0.75" header="0.3" footer="0.3"/>
  <pageSetup scale="80" orientation="landscape" r:id="rId1"/>
  <headerFooter>
    <oddHeader>&amp;RAccount 454</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4"/>
  <sheetViews>
    <sheetView zoomScaleNormal="100" zoomScaleSheetLayoutView="100" workbookViewId="0"/>
  </sheetViews>
  <sheetFormatPr defaultRowHeight="15"/>
  <cols>
    <col min="1" max="1" width="15.77734375" style="352" customWidth="1"/>
    <col min="2" max="2" width="61" style="352" customWidth="1"/>
    <col min="3" max="3" width="28.77734375" style="352" bestFit="1" customWidth="1"/>
    <col min="4" max="4" width="8.88671875" style="352"/>
    <col min="5" max="5" width="21.21875" style="352" bestFit="1" customWidth="1"/>
    <col min="6" max="16384" width="8.88671875" style="352"/>
  </cols>
  <sheetData>
    <row r="1" spans="1:8" ht="20.25" customHeight="1">
      <c r="B1" s="409" t="str">
        <f>Coversheet!B3</f>
        <v>Rochester Public Utilities</v>
      </c>
      <c r="C1" s="383"/>
      <c r="D1" s="383"/>
      <c r="E1" s="383"/>
      <c r="F1" s="383"/>
      <c r="G1" s="383"/>
      <c r="H1" s="383"/>
    </row>
    <row r="2" spans="1:8" ht="15.75">
      <c r="B2" s="409" t="str">
        <f>'Account 454'!A2</f>
        <v>Forecasted 12 Months Ended December 31,</v>
      </c>
      <c r="C2" s="410">
        <f>'Account 454'!B2</f>
        <v>2015</v>
      </c>
      <c r="D2" s="416"/>
      <c r="E2" s="416"/>
      <c r="F2" s="416"/>
      <c r="G2" s="416"/>
    </row>
    <row r="3" spans="1:8">
      <c r="A3" s="400"/>
      <c r="B3" s="408"/>
      <c r="C3" s="383" t="s">
        <v>673</v>
      </c>
      <c r="D3" s="383"/>
      <c r="E3" s="383"/>
    </row>
    <row r="4" spans="1:8">
      <c r="A4" s="383"/>
      <c r="B4" s="383"/>
      <c r="C4" s="383"/>
      <c r="D4" s="383"/>
      <c r="E4" s="383"/>
      <c r="F4" s="383"/>
      <c r="G4" s="383"/>
    </row>
    <row r="5" spans="1:8" ht="15.75">
      <c r="A5" s="383"/>
      <c r="B5" s="418" t="s">
        <v>674</v>
      </c>
      <c r="C5" s="419" t="s">
        <v>674</v>
      </c>
      <c r="D5" s="383"/>
      <c r="E5" s="472"/>
      <c r="F5" s="383"/>
      <c r="G5" s="383"/>
    </row>
    <row r="6" spans="1:8" ht="15.75">
      <c r="A6" s="383"/>
      <c r="B6" s="383"/>
      <c r="D6" s="420" t="s">
        <v>675</v>
      </c>
      <c r="E6" s="383"/>
      <c r="F6" s="383"/>
      <c r="G6" s="383"/>
    </row>
    <row r="7" spans="1:8">
      <c r="A7" s="383"/>
      <c r="B7" s="383"/>
      <c r="C7" s="383"/>
      <c r="D7" s="383"/>
      <c r="E7" s="383"/>
      <c r="F7" s="383"/>
      <c r="G7" s="383"/>
    </row>
    <row r="8" spans="1:8" ht="15.75">
      <c r="A8" s="383"/>
      <c r="B8" s="383" t="s">
        <v>676</v>
      </c>
      <c r="C8" s="648">
        <v>0</v>
      </c>
      <c r="D8" s="383"/>
      <c r="E8" s="383"/>
      <c r="F8" s="383"/>
      <c r="G8" s="383"/>
    </row>
    <row r="9" spans="1:8" ht="15.75">
      <c r="A9" s="383"/>
      <c r="B9" s="383" t="s">
        <v>677</v>
      </c>
      <c r="C9" s="648">
        <v>0</v>
      </c>
      <c r="D9" s="383"/>
      <c r="E9" s="383"/>
      <c r="F9" s="383"/>
      <c r="G9" s="383"/>
    </row>
    <row r="10" spans="1:8" ht="15.75">
      <c r="A10" s="383"/>
      <c r="B10" s="383" t="s">
        <v>678</v>
      </c>
      <c r="C10" s="648">
        <v>0</v>
      </c>
      <c r="D10" s="383"/>
      <c r="E10" s="383"/>
      <c r="F10" s="383"/>
      <c r="G10" s="383"/>
    </row>
    <row r="11" spans="1:8" ht="15.75">
      <c r="A11" s="383"/>
      <c r="B11" s="383" t="s">
        <v>679</v>
      </c>
      <c r="C11" s="648">
        <v>0</v>
      </c>
      <c r="D11" s="383"/>
      <c r="E11" s="383"/>
      <c r="F11" s="383"/>
      <c r="G11" s="383"/>
    </row>
    <row r="12" spans="1:8" ht="15.75">
      <c r="A12" s="383"/>
      <c r="B12" s="383" t="s">
        <v>680</v>
      </c>
      <c r="C12" s="648">
        <v>0</v>
      </c>
      <c r="D12" s="383"/>
      <c r="E12" s="383"/>
      <c r="F12" s="383"/>
      <c r="G12" s="383"/>
    </row>
    <row r="13" spans="1:8" ht="15.75">
      <c r="A13" s="383"/>
      <c r="B13" s="383" t="s">
        <v>681</v>
      </c>
      <c r="C13" s="648">
        <f>ROUND('FLTY Att O_RPU'!I193,0)</f>
        <v>1347262</v>
      </c>
      <c r="D13" s="383"/>
      <c r="E13" s="383"/>
      <c r="F13" s="383"/>
      <c r="G13" s="383"/>
    </row>
    <row r="14" spans="1:8" ht="15.75">
      <c r="A14" s="383"/>
      <c r="B14" s="383" t="s">
        <v>682</v>
      </c>
      <c r="C14" s="648">
        <v>0</v>
      </c>
      <c r="D14" s="383"/>
      <c r="E14" s="421"/>
      <c r="F14" s="383"/>
      <c r="G14" s="383"/>
    </row>
    <row r="15" spans="1:8" ht="15.75">
      <c r="A15" s="383"/>
      <c r="B15" s="383" t="s">
        <v>683</v>
      </c>
      <c r="C15" s="648">
        <v>0</v>
      </c>
      <c r="D15" s="383"/>
      <c r="E15" s="421"/>
      <c r="F15" s="383"/>
      <c r="G15" s="383"/>
    </row>
    <row r="16" spans="1:8" ht="15.75">
      <c r="A16" s="383"/>
      <c r="B16" s="383" t="s">
        <v>683</v>
      </c>
      <c r="C16" s="648">
        <v>0</v>
      </c>
      <c r="D16" s="383"/>
      <c r="E16" s="421"/>
      <c r="F16" s="383"/>
      <c r="G16" s="383"/>
    </row>
    <row r="17" spans="1:7" ht="15.75">
      <c r="A17" s="383"/>
      <c r="B17" s="383" t="s">
        <v>684</v>
      </c>
      <c r="C17" s="615">
        <f>SUM(C8:C16)</f>
        <v>1347262</v>
      </c>
      <c r="D17" s="383"/>
      <c r="E17" s="421"/>
      <c r="F17" s="383"/>
      <c r="G17" s="383"/>
    </row>
    <row r="18" spans="1:7" ht="15.75">
      <c r="A18" s="383"/>
      <c r="B18" s="383"/>
      <c r="C18" s="614"/>
      <c r="D18" s="383"/>
      <c r="E18" s="421"/>
      <c r="F18" s="383"/>
      <c r="G18" s="383"/>
    </row>
    <row r="19" spans="1:7" ht="15.75">
      <c r="A19" s="383"/>
      <c r="B19" s="383"/>
      <c r="C19" s="613"/>
      <c r="D19" s="383"/>
      <c r="E19" s="421"/>
      <c r="F19" s="383"/>
      <c r="G19" s="383"/>
    </row>
    <row r="20" spans="1:7" ht="15.75">
      <c r="A20" s="422"/>
      <c r="B20" s="423" t="s">
        <v>139</v>
      </c>
      <c r="C20" s="613">
        <f>C17</f>
        <v>1347262</v>
      </c>
      <c r="D20" s="383"/>
      <c r="E20" s="421" t="s">
        <v>685</v>
      </c>
      <c r="F20" s="383"/>
      <c r="G20" s="383"/>
    </row>
    <row r="21" spans="1:7" ht="12.75" customHeight="1">
      <c r="A21" s="422"/>
      <c r="B21" s="424" t="s">
        <v>686</v>
      </c>
      <c r="C21" s="613">
        <f>C10+C11+C9+C12</f>
        <v>0</v>
      </c>
      <c r="D21" s="383"/>
      <c r="E21" s="421" t="s">
        <v>687</v>
      </c>
      <c r="F21" s="383"/>
      <c r="G21" s="383"/>
    </row>
    <row r="22" spans="1:7" ht="15.75">
      <c r="A22" s="425"/>
      <c r="B22" s="426" t="s">
        <v>307</v>
      </c>
      <c r="C22" s="613">
        <f>C13</f>
        <v>1347262</v>
      </c>
      <c r="D22" s="383"/>
      <c r="E22" s="421" t="s">
        <v>688</v>
      </c>
      <c r="F22" s="383"/>
      <c r="G22" s="383"/>
    </row>
    <row r="23" spans="1:7" ht="15.75">
      <c r="A23" s="425"/>
      <c r="B23" s="426" t="s">
        <v>308</v>
      </c>
      <c r="C23" s="613">
        <f>C14</f>
        <v>0</v>
      </c>
      <c r="D23" s="383"/>
      <c r="E23" s="421" t="s">
        <v>689</v>
      </c>
      <c r="F23" s="383"/>
      <c r="G23" s="383"/>
    </row>
    <row r="24" spans="1:7" ht="15.75">
      <c r="A24" s="422"/>
      <c r="B24" s="426" t="s">
        <v>690</v>
      </c>
      <c r="C24" s="612">
        <f>C20-C21-C22-C23</f>
        <v>0</v>
      </c>
      <c r="D24" s="383"/>
      <c r="E24" s="421" t="s">
        <v>691</v>
      </c>
      <c r="F24" s="383"/>
      <c r="G24" s="383"/>
    </row>
  </sheetData>
  <pageMargins left="0.7" right="0.7" top="0.75" bottom="0.75" header="0.3" footer="0.3"/>
  <pageSetup scale="57" orientation="landscape" r:id="rId1"/>
  <headerFooter>
    <oddHeader>&amp;RAccount 456.1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M306"/>
  <sheetViews>
    <sheetView zoomScale="70" zoomScaleNormal="70" workbookViewId="0"/>
  </sheetViews>
  <sheetFormatPr defaultRowHeight="12.75"/>
  <cols>
    <col min="1" max="1" width="6" style="497" customWidth="1"/>
    <col min="2" max="2" width="1.44140625" style="497" customWidth="1"/>
    <col min="3" max="3" width="39.109375" style="497" customWidth="1"/>
    <col min="4" max="4" width="12" style="497" customWidth="1"/>
    <col min="5" max="5" width="14.44140625" style="497" customWidth="1"/>
    <col min="6" max="6" width="11.88671875" style="497" customWidth="1"/>
    <col min="7" max="7" width="14.109375" style="497" customWidth="1"/>
    <col min="8" max="8" width="13.88671875" style="497" customWidth="1"/>
    <col min="9" max="10" width="12.77734375" style="497" customWidth="1"/>
    <col min="11" max="11" width="13.5546875" style="497" customWidth="1"/>
    <col min="12" max="12" width="16" style="497" customWidth="1"/>
    <col min="13" max="13" width="12.77734375" style="497" customWidth="1"/>
    <col min="14" max="14" width="14.6640625" style="497" customWidth="1"/>
    <col min="15" max="15" width="1.88671875" style="497" customWidth="1"/>
    <col min="16" max="16" width="13" style="497" customWidth="1"/>
    <col min="17" max="17" width="8.88671875" style="497"/>
    <col min="18" max="18" width="16.88671875" style="497" customWidth="1"/>
    <col min="19" max="16384" width="8.88671875" style="497"/>
  </cols>
  <sheetData>
    <row r="1" spans="1:65">
      <c r="N1" s="498"/>
    </row>
    <row r="2" spans="1:65">
      <c r="N2" s="498"/>
    </row>
    <row r="4" spans="1:65" ht="18">
      <c r="N4" s="499" t="s">
        <v>778</v>
      </c>
    </row>
    <row r="5" spans="1:65" ht="15">
      <c r="C5" s="500" t="s">
        <v>779</v>
      </c>
      <c r="D5" s="500"/>
      <c r="E5" s="500"/>
      <c r="F5" s="500"/>
      <c r="G5" s="501" t="s">
        <v>780</v>
      </c>
      <c r="H5" s="500"/>
      <c r="I5" s="500"/>
      <c r="J5" s="500"/>
      <c r="K5" s="502"/>
      <c r="M5" s="503"/>
      <c r="N5" s="504" t="s">
        <v>781</v>
      </c>
      <c r="O5" s="505"/>
      <c r="P5" s="506"/>
      <c r="Q5" s="506"/>
      <c r="R5" s="505"/>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7"/>
      <c r="BC5" s="507"/>
      <c r="BD5" s="507"/>
      <c r="BE5" s="507"/>
      <c r="BF5" s="507"/>
      <c r="BG5" s="507"/>
      <c r="BH5" s="507"/>
      <c r="BI5" s="507"/>
      <c r="BJ5" s="507"/>
      <c r="BK5" s="507"/>
      <c r="BL5" s="507"/>
      <c r="BM5" s="507"/>
    </row>
    <row r="6" spans="1:65" ht="15">
      <c r="C6" s="500"/>
      <c r="D6" s="500"/>
      <c r="E6" s="508" t="s">
        <v>2</v>
      </c>
      <c r="F6" s="508"/>
      <c r="G6" s="508" t="s">
        <v>782</v>
      </c>
      <c r="H6" s="508"/>
      <c r="I6" s="508"/>
      <c r="J6" s="508"/>
      <c r="K6" s="502"/>
      <c r="M6" s="503"/>
      <c r="N6" s="502"/>
      <c r="O6" s="505"/>
      <c r="P6" s="509"/>
      <c r="Q6" s="506"/>
      <c r="R6" s="505"/>
      <c r="S6" s="507"/>
      <c r="T6" s="507"/>
      <c r="U6" s="507"/>
      <c r="V6" s="507"/>
      <c r="W6" s="507"/>
      <c r="X6" s="507"/>
      <c r="Y6" s="507"/>
      <c r="Z6" s="507"/>
      <c r="AA6" s="507"/>
      <c r="AB6" s="507"/>
      <c r="AC6" s="507"/>
      <c r="AD6" s="507"/>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c r="BI6" s="507"/>
      <c r="BJ6" s="507"/>
      <c r="BK6" s="507"/>
      <c r="BL6" s="507"/>
      <c r="BM6" s="507"/>
    </row>
    <row r="7" spans="1:65" ht="15">
      <c r="C7" s="503"/>
      <c r="D7" s="503"/>
      <c r="E7" s="503"/>
      <c r="F7" s="503"/>
      <c r="G7" s="503"/>
      <c r="H7" s="503"/>
      <c r="I7" s="503"/>
      <c r="J7" s="503"/>
      <c r="K7" s="503"/>
      <c r="M7" s="503"/>
      <c r="N7" s="503" t="s">
        <v>783</v>
      </c>
      <c r="O7" s="505"/>
      <c r="P7" s="506"/>
      <c r="Q7" s="506"/>
      <c r="R7" s="505"/>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7"/>
      <c r="AY7" s="507"/>
      <c r="AZ7" s="507"/>
      <c r="BA7" s="507"/>
      <c r="BB7" s="507"/>
      <c r="BC7" s="507"/>
      <c r="BD7" s="507"/>
      <c r="BE7" s="507"/>
      <c r="BF7" s="507"/>
      <c r="BG7" s="507"/>
      <c r="BH7" s="507"/>
      <c r="BI7" s="507"/>
      <c r="BJ7" s="507"/>
      <c r="BK7" s="507"/>
      <c r="BL7" s="507"/>
      <c r="BM7" s="507"/>
    </row>
    <row r="8" spans="1:65" ht="15">
      <c r="A8" s="510"/>
      <c r="C8" s="503"/>
      <c r="D8" s="503"/>
      <c r="E8" s="503"/>
      <c r="F8" s="503"/>
      <c r="G8" s="511" t="s">
        <v>718</v>
      </c>
      <c r="H8" s="503"/>
      <c r="I8" s="503"/>
      <c r="J8" s="503"/>
      <c r="K8" s="503"/>
      <c r="L8" s="503"/>
      <c r="M8" s="503"/>
      <c r="N8" s="503"/>
      <c r="O8" s="505"/>
      <c r="P8" s="506"/>
      <c r="Q8" s="506"/>
      <c r="R8" s="505"/>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507"/>
    </row>
    <row r="9" spans="1:65" ht="15">
      <c r="A9" s="510"/>
      <c r="C9" s="503"/>
      <c r="D9" s="503"/>
      <c r="E9" s="503"/>
      <c r="F9" s="503"/>
      <c r="G9" s="512"/>
      <c r="H9" s="503"/>
      <c r="I9" s="503"/>
      <c r="J9" s="503"/>
      <c r="K9" s="503"/>
      <c r="L9" s="503"/>
      <c r="M9" s="503"/>
      <c r="N9" s="503"/>
      <c r="O9" s="505"/>
      <c r="P9" s="506"/>
      <c r="Q9" s="506"/>
      <c r="R9" s="505"/>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row>
    <row r="10" spans="1:65" ht="15">
      <c r="A10" s="510"/>
      <c r="C10" s="503" t="s">
        <v>784</v>
      </c>
      <c r="D10" s="503"/>
      <c r="E10" s="503"/>
      <c r="F10" s="503"/>
      <c r="G10" s="512"/>
      <c r="H10" s="503"/>
      <c r="I10" s="503"/>
      <c r="J10" s="503"/>
      <c r="K10" s="503"/>
      <c r="L10" s="503"/>
      <c r="M10" s="503"/>
      <c r="N10" s="503"/>
      <c r="O10" s="505"/>
      <c r="P10" s="506"/>
      <c r="Q10" s="506"/>
      <c r="R10" s="505"/>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row>
    <row r="11" spans="1:65" ht="15">
      <c r="A11" s="510"/>
      <c r="C11" s="503"/>
      <c r="D11" s="503"/>
      <c r="E11" s="503"/>
      <c r="F11" s="503"/>
      <c r="G11" s="512"/>
      <c r="L11" s="503"/>
      <c r="M11" s="503"/>
      <c r="N11" s="503"/>
      <c r="O11" s="505"/>
      <c r="P11" s="505"/>
      <c r="Q11" s="505"/>
      <c r="R11" s="505"/>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L11" s="507"/>
      <c r="BM11" s="507"/>
    </row>
    <row r="12" spans="1:65" ht="15">
      <c r="A12" s="510"/>
      <c r="C12" s="503"/>
      <c r="D12" s="503"/>
      <c r="E12" s="503"/>
      <c r="F12" s="503"/>
      <c r="G12" s="503"/>
      <c r="L12" s="513"/>
      <c r="M12" s="503"/>
      <c r="N12" s="503"/>
      <c r="O12" s="505"/>
      <c r="P12" s="505"/>
      <c r="Q12" s="505"/>
      <c r="R12" s="505"/>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7"/>
      <c r="AW12" s="507"/>
      <c r="AX12" s="507"/>
      <c r="AY12" s="507"/>
      <c r="AZ12" s="507"/>
      <c r="BA12" s="507"/>
      <c r="BB12" s="507"/>
      <c r="BC12" s="507"/>
      <c r="BD12" s="507"/>
      <c r="BE12" s="507"/>
      <c r="BF12" s="507"/>
      <c r="BG12" s="507"/>
      <c r="BH12" s="507"/>
      <c r="BI12" s="507"/>
      <c r="BJ12" s="507"/>
      <c r="BK12" s="507"/>
      <c r="BL12" s="507"/>
      <c r="BM12" s="507"/>
    </row>
    <row r="13" spans="1:65" ht="15">
      <c r="C13" s="514" t="s">
        <v>39</v>
      </c>
      <c r="D13" s="514"/>
      <c r="E13" s="514" t="s">
        <v>40</v>
      </c>
      <c r="F13" s="514"/>
      <c r="G13" s="514" t="s">
        <v>41</v>
      </c>
      <c r="L13" s="515" t="s">
        <v>42</v>
      </c>
      <c r="M13" s="508"/>
      <c r="N13" s="515"/>
      <c r="O13" s="516"/>
      <c r="P13" s="515"/>
      <c r="Q13" s="516"/>
      <c r="R13" s="51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c r="BB13" s="507"/>
      <c r="BC13" s="507"/>
      <c r="BD13" s="507"/>
      <c r="BE13" s="507"/>
      <c r="BF13" s="507"/>
      <c r="BG13" s="507"/>
      <c r="BH13" s="507"/>
      <c r="BI13" s="507"/>
      <c r="BJ13" s="507"/>
      <c r="BK13" s="507"/>
      <c r="BL13" s="507"/>
      <c r="BM13" s="507"/>
    </row>
    <row r="14" spans="1:65" ht="15.75">
      <c r="C14" s="518"/>
      <c r="D14" s="518"/>
      <c r="E14" s="519" t="s">
        <v>785</v>
      </c>
      <c r="F14" s="519"/>
      <c r="G14" s="508"/>
      <c r="M14" s="508"/>
      <c r="O14" s="516"/>
      <c r="P14" s="520"/>
      <c r="Q14" s="520"/>
      <c r="R14" s="51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507"/>
      <c r="AV14" s="507"/>
      <c r="AW14" s="507"/>
      <c r="AX14" s="507"/>
      <c r="AY14" s="507"/>
      <c r="AZ14" s="507"/>
      <c r="BA14" s="507"/>
      <c r="BB14" s="507"/>
      <c r="BC14" s="507"/>
      <c r="BD14" s="507"/>
      <c r="BE14" s="507"/>
      <c r="BF14" s="507"/>
      <c r="BG14" s="507"/>
      <c r="BH14" s="507"/>
      <c r="BI14" s="507"/>
      <c r="BJ14" s="507"/>
      <c r="BK14" s="507"/>
      <c r="BL14" s="507"/>
      <c r="BM14" s="507"/>
    </row>
    <row r="15" spans="1:65" ht="15.75">
      <c r="A15" s="510" t="s">
        <v>4</v>
      </c>
      <c r="C15" s="518"/>
      <c r="D15" s="518"/>
      <c r="E15" s="521" t="s">
        <v>786</v>
      </c>
      <c r="F15" s="521"/>
      <c r="G15" s="522" t="s">
        <v>45</v>
      </c>
      <c r="L15" s="522" t="s">
        <v>10</v>
      </c>
      <c r="M15" s="508"/>
      <c r="O15" s="505"/>
      <c r="P15" s="523"/>
      <c r="Q15" s="520"/>
      <c r="R15" s="51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7"/>
      <c r="BL15" s="507"/>
      <c r="BM15" s="507"/>
    </row>
    <row r="16" spans="1:65" ht="15.75">
      <c r="A16" s="510" t="s">
        <v>6</v>
      </c>
      <c r="C16" s="524"/>
      <c r="D16" s="524"/>
      <c r="E16" s="508"/>
      <c r="F16" s="508"/>
      <c r="G16" s="508"/>
      <c r="L16" s="508"/>
      <c r="M16" s="508"/>
      <c r="N16" s="508"/>
      <c r="O16" s="505"/>
      <c r="P16" s="516"/>
      <c r="Q16" s="516"/>
      <c r="R16" s="51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7"/>
      <c r="AP16" s="507"/>
      <c r="AQ16" s="507"/>
      <c r="AR16" s="507"/>
      <c r="AS16" s="507"/>
      <c r="AT16" s="507"/>
      <c r="AU16" s="507"/>
      <c r="AV16" s="507"/>
      <c r="AW16" s="507"/>
      <c r="AX16" s="507"/>
      <c r="AY16" s="507"/>
      <c r="AZ16" s="507"/>
      <c r="BA16" s="507"/>
      <c r="BB16" s="507"/>
      <c r="BC16" s="507"/>
      <c r="BD16" s="507"/>
      <c r="BE16" s="507"/>
      <c r="BF16" s="507"/>
      <c r="BG16" s="507"/>
      <c r="BH16" s="507"/>
      <c r="BI16" s="507"/>
      <c r="BJ16" s="507"/>
      <c r="BK16" s="507"/>
      <c r="BL16" s="507"/>
      <c r="BM16" s="507"/>
    </row>
    <row r="17" spans="1:65" ht="15.75">
      <c r="A17" s="525"/>
      <c r="C17" s="518"/>
      <c r="D17" s="518"/>
      <c r="E17" s="508"/>
      <c r="F17" s="508"/>
      <c r="G17" s="508"/>
      <c r="L17" s="508"/>
      <c r="M17" s="508"/>
      <c r="N17" s="508"/>
      <c r="O17" s="505"/>
      <c r="P17" s="516"/>
      <c r="Q17" s="516"/>
      <c r="R17" s="51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row>
    <row r="18" spans="1:65" ht="15">
      <c r="A18" s="526">
        <v>1</v>
      </c>
      <c r="C18" s="518" t="s">
        <v>787</v>
      </c>
      <c r="D18" s="518"/>
      <c r="E18" s="527" t="s">
        <v>788</v>
      </c>
      <c r="F18" s="527"/>
      <c r="G18" s="528">
        <f>'FLTY Att O_RPU'!I81</f>
        <v>33119201.076923076</v>
      </c>
      <c r="M18" s="508"/>
      <c r="N18" s="508"/>
      <c r="O18" s="505"/>
      <c r="P18" s="516"/>
      <c r="Q18" s="516"/>
      <c r="R18" s="51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7"/>
      <c r="BD18" s="507"/>
      <c r="BE18" s="507"/>
      <c r="BF18" s="507"/>
      <c r="BG18" s="507"/>
      <c r="BH18" s="507"/>
      <c r="BI18" s="507"/>
      <c r="BJ18" s="507"/>
      <c r="BK18" s="507"/>
      <c r="BL18" s="507"/>
      <c r="BM18" s="507"/>
    </row>
    <row r="19" spans="1:65" ht="15">
      <c r="A19" s="526">
        <v>2</v>
      </c>
      <c r="C19" s="518" t="s">
        <v>789</v>
      </c>
      <c r="D19" s="518"/>
      <c r="E19" s="527" t="s">
        <v>790</v>
      </c>
      <c r="F19" s="527"/>
      <c r="G19" s="529">
        <f>'FLTY Att O_RPU'!I97</f>
        <v>21076348.384615384</v>
      </c>
      <c r="M19" s="508"/>
      <c r="N19" s="508"/>
      <c r="O19" s="505"/>
      <c r="P19" s="516"/>
      <c r="Q19" s="516"/>
      <c r="R19" s="51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07"/>
      <c r="AQ19" s="507"/>
      <c r="AR19" s="507"/>
      <c r="AS19" s="507"/>
      <c r="AT19" s="507"/>
      <c r="AU19" s="507"/>
      <c r="AV19" s="507"/>
      <c r="AW19" s="507"/>
      <c r="AX19" s="507"/>
      <c r="AY19" s="507"/>
      <c r="AZ19" s="507"/>
      <c r="BA19" s="507"/>
      <c r="BB19" s="507"/>
      <c r="BC19" s="507"/>
      <c r="BD19" s="507"/>
      <c r="BE19" s="507"/>
      <c r="BF19" s="507"/>
      <c r="BG19" s="507"/>
      <c r="BH19" s="507"/>
      <c r="BI19" s="507"/>
      <c r="BJ19" s="507"/>
      <c r="BK19" s="507"/>
      <c r="BL19" s="507"/>
      <c r="BM19" s="507"/>
    </row>
    <row r="20" spans="1:65" ht="15">
      <c r="A20" s="526"/>
      <c r="E20" s="527"/>
      <c r="F20" s="527"/>
      <c r="M20" s="508"/>
      <c r="N20" s="508"/>
      <c r="O20" s="505"/>
      <c r="P20" s="516"/>
      <c r="Q20" s="516"/>
      <c r="R20" s="51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row>
    <row r="21" spans="1:65" ht="15">
      <c r="A21" s="526"/>
      <c r="C21" s="518" t="s">
        <v>791</v>
      </c>
      <c r="D21" s="518"/>
      <c r="E21" s="527"/>
      <c r="F21" s="527"/>
      <c r="G21" s="508"/>
      <c r="L21" s="508"/>
      <c r="M21" s="508"/>
      <c r="N21" s="508"/>
      <c r="O21" s="516"/>
      <c r="P21" s="516"/>
      <c r="Q21" s="516"/>
      <c r="R21" s="51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7"/>
      <c r="AY21" s="507"/>
      <c r="AZ21" s="507"/>
      <c r="BA21" s="507"/>
      <c r="BB21" s="507"/>
      <c r="BC21" s="507"/>
      <c r="BD21" s="507"/>
      <c r="BE21" s="507"/>
      <c r="BF21" s="507"/>
      <c r="BG21" s="507"/>
      <c r="BH21" s="507"/>
      <c r="BI21" s="507"/>
      <c r="BJ21" s="507"/>
      <c r="BK21" s="507"/>
      <c r="BL21" s="507"/>
      <c r="BM21" s="507"/>
    </row>
    <row r="22" spans="1:65" ht="15">
      <c r="A22" s="526">
        <v>3</v>
      </c>
      <c r="C22" s="518" t="s">
        <v>792</v>
      </c>
      <c r="D22" s="518"/>
      <c r="E22" s="527" t="s">
        <v>793</v>
      </c>
      <c r="F22" s="527"/>
      <c r="G22" s="528">
        <f>'FLTY Att O_RPU'!I155</f>
        <v>1713356.8746263746</v>
      </c>
      <c r="M22" s="508"/>
      <c r="N22" s="508"/>
      <c r="O22" s="516"/>
      <c r="P22" s="516"/>
      <c r="Q22" s="516"/>
      <c r="R22" s="51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7"/>
      <c r="BA22" s="507"/>
      <c r="BB22" s="507"/>
      <c r="BC22" s="507"/>
      <c r="BD22" s="507"/>
      <c r="BE22" s="507"/>
      <c r="BF22" s="507"/>
      <c r="BG22" s="507"/>
      <c r="BH22" s="507"/>
      <c r="BI22" s="507"/>
      <c r="BJ22" s="507"/>
      <c r="BK22" s="507"/>
      <c r="BL22" s="507"/>
      <c r="BM22" s="507"/>
    </row>
    <row r="23" spans="1:65" ht="15.75">
      <c r="A23" s="526">
        <v>4</v>
      </c>
      <c r="C23" s="518" t="s">
        <v>794</v>
      </c>
      <c r="D23" s="518"/>
      <c r="E23" s="527" t="s">
        <v>795</v>
      </c>
      <c r="F23" s="527"/>
      <c r="G23" s="530">
        <f>IF(G22=0,0,G22/G18)</f>
        <v>5.1733037600964774E-2</v>
      </c>
      <c r="L23" s="531">
        <f>G23</f>
        <v>5.1733037600964774E-2</v>
      </c>
      <c r="M23" s="508"/>
      <c r="N23" s="532"/>
      <c r="O23" s="533"/>
      <c r="P23" s="534"/>
      <c r="Q23" s="516"/>
      <c r="R23" s="51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7"/>
      <c r="BC23" s="507"/>
      <c r="BD23" s="507"/>
      <c r="BE23" s="507"/>
      <c r="BF23" s="507"/>
      <c r="BG23" s="507"/>
      <c r="BH23" s="507"/>
      <c r="BI23" s="507"/>
      <c r="BJ23" s="507"/>
      <c r="BK23" s="507"/>
      <c r="BL23" s="507"/>
      <c r="BM23" s="507"/>
    </row>
    <row r="24" spans="1:65" ht="15.75">
      <c r="A24" s="526"/>
      <c r="C24" s="518"/>
      <c r="D24" s="518"/>
      <c r="E24" s="527"/>
      <c r="F24" s="527"/>
      <c r="G24" s="530"/>
      <c r="L24" s="531"/>
      <c r="M24" s="508"/>
      <c r="N24" s="532"/>
      <c r="O24" s="533"/>
      <c r="P24" s="534"/>
      <c r="Q24" s="516"/>
      <c r="R24" s="51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7"/>
      <c r="BC24" s="507"/>
      <c r="BD24" s="507"/>
      <c r="BE24" s="507"/>
      <c r="BF24" s="507"/>
      <c r="BG24" s="507"/>
      <c r="BH24" s="507"/>
      <c r="BI24" s="507"/>
      <c r="BJ24" s="507"/>
      <c r="BK24" s="507"/>
      <c r="BL24" s="507"/>
      <c r="BM24" s="507"/>
    </row>
    <row r="25" spans="1:65" ht="15.75">
      <c r="A25" s="535"/>
      <c r="B25" s="507"/>
      <c r="C25" s="518" t="s">
        <v>796</v>
      </c>
      <c r="D25" s="518"/>
      <c r="E25" s="536"/>
      <c r="F25" s="536"/>
      <c r="G25" s="508"/>
      <c r="H25" s="507"/>
      <c r="I25" s="507"/>
      <c r="J25" s="507"/>
      <c r="K25" s="507"/>
      <c r="L25" s="508"/>
      <c r="M25" s="508"/>
      <c r="N25" s="532"/>
      <c r="O25" s="533"/>
      <c r="P25" s="534"/>
      <c r="Q25" s="516"/>
      <c r="R25" s="51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07"/>
      <c r="BH25" s="507"/>
      <c r="BI25" s="507"/>
      <c r="BJ25" s="507"/>
      <c r="BK25" s="507"/>
      <c r="BL25" s="507"/>
      <c r="BM25" s="507"/>
    </row>
    <row r="26" spans="1:65" ht="15.75">
      <c r="A26" s="535" t="s">
        <v>797</v>
      </c>
      <c r="B26" s="507"/>
      <c r="C26" s="518" t="s">
        <v>798</v>
      </c>
      <c r="D26" s="518"/>
      <c r="E26" s="527" t="s">
        <v>799</v>
      </c>
      <c r="F26" s="527"/>
      <c r="G26" s="528">
        <f>'FLTY Att O_RPU'!I159+'FLTY Att O_RPU'!I160</f>
        <v>194938.16661419574</v>
      </c>
      <c r="H26" s="507"/>
      <c r="I26" s="507"/>
      <c r="J26" s="507"/>
      <c r="K26" s="507"/>
      <c r="L26" s="507"/>
      <c r="M26" s="508"/>
      <c r="N26" s="532"/>
      <c r="O26" s="533"/>
      <c r="P26" s="534"/>
      <c r="Q26" s="516"/>
      <c r="R26" s="51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7"/>
      <c r="BC26" s="507"/>
      <c r="BD26" s="507"/>
      <c r="BE26" s="507"/>
      <c r="BF26" s="507"/>
      <c r="BG26" s="507"/>
      <c r="BH26" s="507"/>
      <c r="BI26" s="507"/>
      <c r="BJ26" s="507"/>
      <c r="BK26" s="507"/>
      <c r="BL26" s="507"/>
      <c r="BM26" s="507"/>
    </row>
    <row r="27" spans="1:65" ht="15.75">
      <c r="A27" s="535" t="s">
        <v>753</v>
      </c>
      <c r="B27" s="507"/>
      <c r="C27" s="518" t="s">
        <v>800</v>
      </c>
      <c r="D27" s="518"/>
      <c r="E27" s="527" t="s">
        <v>801</v>
      </c>
      <c r="F27" s="527"/>
      <c r="G27" s="530">
        <f>IF(G26=0,0,G26/G18)</f>
        <v>5.8859561908341292E-3</v>
      </c>
      <c r="H27" s="507"/>
      <c r="I27" s="507"/>
      <c r="J27" s="507"/>
      <c r="K27" s="507"/>
      <c r="L27" s="531">
        <f>G27</f>
        <v>5.8859561908341292E-3</v>
      </c>
      <c r="M27" s="508"/>
      <c r="N27" s="532"/>
      <c r="O27" s="533"/>
      <c r="P27" s="534"/>
      <c r="Q27" s="516"/>
      <c r="R27" s="51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7"/>
      <c r="BD27" s="507"/>
      <c r="BE27" s="507"/>
      <c r="BF27" s="507"/>
      <c r="BG27" s="507"/>
      <c r="BH27" s="507"/>
      <c r="BI27" s="507"/>
      <c r="BJ27" s="507"/>
      <c r="BK27" s="507"/>
      <c r="BL27" s="507"/>
      <c r="BM27" s="507"/>
    </row>
    <row r="28" spans="1:65" ht="15.75">
      <c r="A28" s="526"/>
      <c r="C28" s="518"/>
      <c r="D28" s="518"/>
      <c r="E28" s="527"/>
      <c r="F28" s="527"/>
      <c r="G28" s="530"/>
      <c r="L28" s="531"/>
      <c r="M28" s="508"/>
      <c r="N28" s="532"/>
      <c r="O28" s="533"/>
      <c r="P28" s="534"/>
      <c r="Q28" s="516"/>
      <c r="R28" s="51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row>
    <row r="29" spans="1:65" ht="15">
      <c r="A29" s="537"/>
      <c r="C29" s="518" t="s">
        <v>802</v>
      </c>
      <c r="D29" s="518"/>
      <c r="E29" s="536"/>
      <c r="F29" s="536"/>
      <c r="G29" s="508"/>
      <c r="L29" s="508"/>
      <c r="M29" s="508"/>
      <c r="N29" s="508"/>
      <c r="O29" s="516"/>
      <c r="P29" s="508"/>
      <c r="Q29" s="516"/>
      <c r="R29" s="51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7"/>
      <c r="AP29" s="507"/>
      <c r="AQ29" s="507"/>
      <c r="AR29" s="507"/>
      <c r="AS29" s="507"/>
      <c r="AT29" s="507"/>
      <c r="AU29" s="507"/>
      <c r="AV29" s="507"/>
      <c r="AW29" s="507"/>
      <c r="AX29" s="507"/>
      <c r="AY29" s="507"/>
      <c r="AZ29" s="507"/>
      <c r="BA29" s="507"/>
      <c r="BB29" s="507"/>
      <c r="BC29" s="507"/>
      <c r="BD29" s="507"/>
      <c r="BE29" s="507"/>
      <c r="BF29" s="507"/>
      <c r="BG29" s="507"/>
      <c r="BH29" s="507"/>
      <c r="BI29" s="507"/>
      <c r="BJ29" s="507"/>
      <c r="BK29" s="507"/>
      <c r="BL29" s="507"/>
      <c r="BM29" s="507"/>
    </row>
    <row r="30" spans="1:65" ht="15.75">
      <c r="A30" s="537" t="s">
        <v>803</v>
      </c>
      <c r="C30" s="518" t="s">
        <v>804</v>
      </c>
      <c r="D30" s="518"/>
      <c r="E30" s="527" t="s">
        <v>805</v>
      </c>
      <c r="F30" s="527"/>
      <c r="G30" s="528">
        <f>'FLTY Att O_RPU'!I172</f>
        <v>1059428.5268247719</v>
      </c>
      <c r="M30" s="508"/>
      <c r="N30" s="538"/>
      <c r="O30" s="516"/>
      <c r="P30" s="539"/>
      <c r="Q30" s="520"/>
      <c r="R30" s="51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507"/>
      <c r="AY30" s="507"/>
      <c r="AZ30" s="507"/>
      <c r="BA30" s="507"/>
      <c r="BB30" s="507"/>
      <c r="BC30" s="507"/>
      <c r="BD30" s="507"/>
      <c r="BE30" s="507"/>
      <c r="BF30" s="507"/>
      <c r="BG30" s="507"/>
      <c r="BH30" s="507"/>
      <c r="BI30" s="507"/>
      <c r="BJ30" s="507"/>
      <c r="BK30" s="507"/>
      <c r="BL30" s="507"/>
      <c r="BM30" s="507"/>
    </row>
    <row r="31" spans="1:65" ht="15.75">
      <c r="A31" s="537" t="s">
        <v>806</v>
      </c>
      <c r="C31" s="518" t="s">
        <v>807</v>
      </c>
      <c r="D31" s="518"/>
      <c r="E31" s="527" t="s">
        <v>808</v>
      </c>
      <c r="F31" s="527"/>
      <c r="G31" s="530">
        <f>IF(G30=0,0,G30/G18)</f>
        <v>3.1988347918300616E-2</v>
      </c>
      <c r="L31" s="531">
        <f>G31</f>
        <v>3.1988347918300616E-2</v>
      </c>
      <c r="M31" s="508"/>
      <c r="N31" s="532"/>
      <c r="O31" s="516"/>
      <c r="P31" s="534"/>
      <c r="Q31" s="520"/>
      <c r="R31" s="51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c r="AX31" s="507"/>
      <c r="AY31" s="507"/>
      <c r="AZ31" s="507"/>
      <c r="BA31" s="507"/>
      <c r="BB31" s="507"/>
      <c r="BC31" s="507"/>
      <c r="BD31" s="507"/>
      <c r="BE31" s="507"/>
      <c r="BF31" s="507"/>
      <c r="BG31" s="507"/>
      <c r="BH31" s="507"/>
      <c r="BI31" s="507"/>
      <c r="BJ31" s="507"/>
      <c r="BK31" s="507"/>
      <c r="BL31" s="507"/>
      <c r="BM31" s="507"/>
    </row>
    <row r="32" spans="1:65" ht="15">
      <c r="A32" s="537"/>
      <c r="C32" s="518"/>
      <c r="D32" s="518"/>
      <c r="E32" s="527"/>
      <c r="F32" s="527"/>
      <c r="G32" s="508"/>
      <c r="L32" s="508"/>
      <c r="M32" s="508"/>
      <c r="Q32" s="516"/>
      <c r="R32" s="51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7"/>
      <c r="AY32" s="507"/>
      <c r="AZ32" s="507"/>
      <c r="BA32" s="507"/>
      <c r="BB32" s="507"/>
      <c r="BC32" s="507"/>
      <c r="BD32" s="507"/>
      <c r="BE32" s="507"/>
      <c r="BF32" s="507"/>
      <c r="BG32" s="507"/>
      <c r="BH32" s="507"/>
      <c r="BI32" s="507"/>
      <c r="BJ32" s="507"/>
      <c r="BK32" s="507"/>
      <c r="BL32" s="507"/>
      <c r="BM32" s="507"/>
    </row>
    <row r="33" spans="1:65" ht="15.75">
      <c r="A33" s="540" t="s">
        <v>809</v>
      </c>
      <c r="B33" s="541"/>
      <c r="C33" s="524" t="s">
        <v>810</v>
      </c>
      <c r="D33" s="524"/>
      <c r="E33" s="519" t="s">
        <v>811</v>
      </c>
      <c r="F33" s="519"/>
      <c r="G33" s="542"/>
      <c r="L33" s="543">
        <f>L23+L27+L31</f>
        <v>8.9607341710099514E-2</v>
      </c>
      <c r="M33" s="508"/>
      <c r="Q33" s="516"/>
      <c r="R33" s="51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7"/>
      <c r="BI33" s="507"/>
      <c r="BJ33" s="507"/>
      <c r="BK33" s="507"/>
      <c r="BL33" s="507"/>
      <c r="BM33" s="507"/>
    </row>
    <row r="34" spans="1:65" ht="15">
      <c r="A34" s="537"/>
      <c r="C34" s="518"/>
      <c r="D34" s="518"/>
      <c r="E34" s="527"/>
      <c r="F34" s="527"/>
      <c r="G34" s="508"/>
      <c r="L34" s="508"/>
      <c r="M34" s="508"/>
      <c r="N34" s="508"/>
      <c r="O34" s="516"/>
      <c r="P34" s="544"/>
      <c r="Q34" s="516"/>
      <c r="R34" s="51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row>
    <row r="35" spans="1:65" ht="15">
      <c r="A35" s="535"/>
      <c r="B35" s="545"/>
      <c r="C35" s="508" t="s">
        <v>812</v>
      </c>
      <c r="D35" s="508"/>
      <c r="E35" s="527"/>
      <c r="F35" s="527"/>
      <c r="G35" s="508"/>
      <c r="L35" s="508"/>
      <c r="M35" s="546"/>
      <c r="N35" s="545"/>
      <c r="Q35" s="520"/>
      <c r="R35" s="516" t="s">
        <v>2</v>
      </c>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507"/>
    </row>
    <row r="36" spans="1:65" ht="15">
      <c r="A36" s="537" t="s">
        <v>754</v>
      </c>
      <c r="B36" s="545"/>
      <c r="C36" s="508" t="s">
        <v>99</v>
      </c>
      <c r="D36" s="508"/>
      <c r="E36" s="527" t="s">
        <v>813</v>
      </c>
      <c r="F36" s="527"/>
      <c r="G36" s="528">
        <f>'FLTY Att O_RPU'!I184</f>
        <v>0</v>
      </c>
      <c r="L36" s="508"/>
      <c r="M36" s="546"/>
      <c r="N36" s="545"/>
      <c r="Q36" s="520"/>
      <c r="R36" s="516"/>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row>
    <row r="37" spans="1:65" ht="15">
      <c r="A37" s="537" t="s">
        <v>814</v>
      </c>
      <c r="B37" s="545"/>
      <c r="C37" s="508" t="s">
        <v>815</v>
      </c>
      <c r="D37" s="508"/>
      <c r="E37" s="527" t="s">
        <v>816</v>
      </c>
      <c r="F37" s="527"/>
      <c r="G37" s="530">
        <f>IF(G36=0,0,G36/G19)</f>
        <v>0</v>
      </c>
      <c r="L37" s="531">
        <f>G37</f>
        <v>0</v>
      </c>
      <c r="M37" s="546"/>
      <c r="N37" s="545"/>
      <c r="O37" s="516"/>
      <c r="P37" s="516"/>
      <c r="Q37" s="520"/>
      <c r="R37" s="516"/>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row>
    <row r="38" spans="1:65" ht="15">
      <c r="A38" s="537"/>
      <c r="C38" s="508"/>
      <c r="D38" s="508"/>
      <c r="E38" s="527"/>
      <c r="F38" s="527"/>
      <c r="G38" s="508"/>
      <c r="L38" s="508"/>
      <c r="M38" s="508"/>
      <c r="O38" s="505"/>
      <c r="P38" s="516"/>
      <c r="Q38" s="505"/>
      <c r="R38" s="51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row>
    <row r="39" spans="1:65" ht="15">
      <c r="A39" s="537"/>
      <c r="C39" s="518" t="s">
        <v>101</v>
      </c>
      <c r="D39" s="518"/>
      <c r="E39" s="547"/>
      <c r="F39" s="547"/>
      <c r="M39" s="508"/>
      <c r="O39" s="516"/>
      <c r="P39" s="516"/>
      <c r="Q39" s="516"/>
      <c r="R39" s="51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507"/>
    </row>
    <row r="40" spans="1:65" ht="15">
      <c r="A40" s="537" t="s">
        <v>817</v>
      </c>
      <c r="C40" s="518" t="s">
        <v>818</v>
      </c>
      <c r="D40" s="518"/>
      <c r="E40" s="527" t="s">
        <v>819</v>
      </c>
      <c r="F40" s="527"/>
      <c r="G40" s="528">
        <f>'FLTY Att O_RPU'!I186</f>
        <v>1924628.6858270632</v>
      </c>
      <c r="L40" s="508"/>
      <c r="M40" s="508"/>
      <c r="O40" s="516"/>
      <c r="P40" s="516"/>
      <c r="Q40" s="516"/>
      <c r="R40" s="51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AZ40" s="507"/>
      <c r="BA40" s="507"/>
      <c r="BB40" s="507"/>
      <c r="BC40" s="507"/>
      <c r="BD40" s="507"/>
      <c r="BE40" s="507"/>
      <c r="BF40" s="507"/>
      <c r="BG40" s="507"/>
      <c r="BH40" s="507"/>
      <c r="BI40" s="507"/>
      <c r="BJ40" s="507"/>
      <c r="BK40" s="507"/>
      <c r="BL40" s="507"/>
      <c r="BM40" s="507"/>
    </row>
    <row r="41" spans="1:65" ht="15">
      <c r="A41" s="537" t="s">
        <v>820</v>
      </c>
      <c r="B41" s="545"/>
      <c r="C41" s="508" t="s">
        <v>821</v>
      </c>
      <c r="D41" s="508"/>
      <c r="E41" s="527" t="s">
        <v>822</v>
      </c>
      <c r="F41" s="527"/>
      <c r="G41" s="548">
        <f>IF(G40=0,0,G40/G19)</f>
        <v>9.1316989580222538E-2</v>
      </c>
      <c r="L41" s="531">
        <f>G41</f>
        <v>9.1316989580222538E-2</v>
      </c>
      <c r="M41" s="508"/>
      <c r="P41" s="549"/>
      <c r="Q41" s="520"/>
      <c r="R41" s="516"/>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c r="AU41" s="507"/>
      <c r="AV41" s="507"/>
      <c r="AW41" s="507"/>
      <c r="AX41" s="507"/>
      <c r="AY41" s="507"/>
      <c r="AZ41" s="507"/>
      <c r="BA41" s="507"/>
      <c r="BB41" s="507"/>
      <c r="BC41" s="507"/>
      <c r="BD41" s="507"/>
      <c r="BE41" s="507"/>
      <c r="BF41" s="507"/>
      <c r="BG41" s="507"/>
      <c r="BH41" s="507"/>
      <c r="BI41" s="507"/>
      <c r="BJ41" s="507"/>
      <c r="BK41" s="507"/>
      <c r="BL41" s="507"/>
      <c r="BM41" s="507"/>
    </row>
    <row r="42" spans="1:65" ht="15">
      <c r="A42" s="537"/>
      <c r="C42" s="518"/>
      <c r="D42" s="518"/>
      <c r="E42" s="527"/>
      <c r="F42" s="527"/>
      <c r="G42" s="508"/>
      <c r="L42" s="508"/>
      <c r="M42" s="508"/>
      <c r="N42" s="547"/>
      <c r="O42" s="516"/>
      <c r="P42" s="516"/>
      <c r="Q42" s="516"/>
      <c r="R42" s="51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7"/>
      <c r="AY42" s="507"/>
      <c r="AZ42" s="507"/>
      <c r="BA42" s="507"/>
      <c r="BB42" s="507"/>
      <c r="BC42" s="507"/>
      <c r="BD42" s="507"/>
      <c r="BE42" s="507"/>
      <c r="BF42" s="507"/>
      <c r="BG42" s="507"/>
      <c r="BH42" s="507"/>
      <c r="BI42" s="507"/>
      <c r="BJ42" s="507"/>
      <c r="BK42" s="507"/>
      <c r="BL42" s="507"/>
      <c r="BM42" s="507"/>
    </row>
    <row r="43" spans="1:65" ht="15.75">
      <c r="A43" s="540" t="s">
        <v>823</v>
      </c>
      <c r="B43" s="541"/>
      <c r="C43" s="524" t="s">
        <v>824</v>
      </c>
      <c r="D43" s="524"/>
      <c r="E43" s="519" t="s">
        <v>825</v>
      </c>
      <c r="F43" s="519"/>
      <c r="G43" s="542"/>
      <c r="L43" s="543">
        <f>L37+L41</f>
        <v>9.1316989580222538E-2</v>
      </c>
      <c r="M43" s="508"/>
      <c r="N43" s="547"/>
      <c r="O43" s="516"/>
      <c r="P43" s="516"/>
      <c r="Q43" s="516"/>
      <c r="R43" s="51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7"/>
      <c r="BI43" s="507"/>
      <c r="BJ43" s="507"/>
      <c r="BK43" s="507"/>
      <c r="BL43" s="507"/>
      <c r="BM43" s="507"/>
    </row>
    <row r="44" spans="1:65" ht="15">
      <c r="M44" s="550"/>
      <c r="N44" s="550"/>
      <c r="O44" s="516"/>
      <c r="P44" s="516"/>
      <c r="Q44" s="516"/>
      <c r="R44" s="51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507"/>
    </row>
    <row r="45" spans="1:65" ht="15">
      <c r="M45" s="550"/>
      <c r="N45" s="550"/>
      <c r="O45" s="516"/>
      <c r="P45" s="516"/>
      <c r="Q45" s="516"/>
      <c r="R45" s="51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7"/>
      <c r="AW45" s="507"/>
      <c r="AX45" s="507"/>
      <c r="AY45" s="507"/>
      <c r="AZ45" s="507"/>
      <c r="BA45" s="507"/>
      <c r="BB45" s="507"/>
      <c r="BC45" s="507"/>
      <c r="BD45" s="507"/>
      <c r="BE45" s="507"/>
      <c r="BF45" s="507"/>
      <c r="BG45" s="507"/>
      <c r="BH45" s="507"/>
      <c r="BI45" s="507"/>
      <c r="BJ45" s="507"/>
      <c r="BK45" s="507"/>
      <c r="BL45" s="507"/>
      <c r="BM45" s="507"/>
    </row>
    <row r="46" spans="1:65" ht="15">
      <c r="M46" s="550"/>
      <c r="N46" s="550"/>
      <c r="O46" s="516"/>
      <c r="P46" s="516"/>
      <c r="Q46" s="516"/>
      <c r="R46" s="51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07"/>
      <c r="AY46" s="507"/>
      <c r="AZ46" s="507"/>
      <c r="BA46" s="507"/>
      <c r="BB46" s="507"/>
      <c r="BC46" s="507"/>
      <c r="BD46" s="507"/>
      <c r="BE46" s="507"/>
      <c r="BF46" s="507"/>
      <c r="BG46" s="507"/>
      <c r="BH46" s="507"/>
      <c r="BI46" s="507"/>
      <c r="BJ46" s="507"/>
      <c r="BK46" s="507"/>
      <c r="BL46" s="507"/>
      <c r="BM46" s="507"/>
    </row>
    <row r="47" spans="1:65" ht="15">
      <c r="M47" s="503"/>
      <c r="N47" s="503"/>
      <c r="O47" s="517"/>
      <c r="P47" s="517"/>
      <c r="Q47" s="517"/>
      <c r="R47" s="51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7"/>
      <c r="BI47" s="507"/>
      <c r="BJ47" s="507"/>
      <c r="BK47" s="507"/>
      <c r="BL47" s="507"/>
      <c r="BM47" s="507"/>
    </row>
    <row r="48" spans="1:65" ht="15">
      <c r="M48" s="508"/>
      <c r="N48" s="508"/>
      <c r="O48" s="516"/>
      <c r="P48" s="505"/>
      <c r="Q48" s="516"/>
      <c r="R48" s="51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507"/>
      <c r="AS48" s="507"/>
      <c r="AT48" s="507"/>
      <c r="AU48" s="507"/>
      <c r="AV48" s="507"/>
      <c r="AW48" s="507"/>
      <c r="AX48" s="507"/>
      <c r="AY48" s="507"/>
      <c r="AZ48" s="507"/>
      <c r="BA48" s="507"/>
      <c r="BB48" s="507"/>
      <c r="BC48" s="507"/>
      <c r="BD48" s="507"/>
      <c r="BE48" s="507"/>
      <c r="BF48" s="507"/>
      <c r="BG48" s="507"/>
      <c r="BH48" s="507"/>
      <c r="BI48" s="507"/>
      <c r="BJ48" s="507"/>
      <c r="BK48" s="507"/>
      <c r="BL48" s="507"/>
      <c r="BM48" s="507"/>
    </row>
    <row r="49" spans="1:65" ht="15.75">
      <c r="M49" s="508"/>
      <c r="N49" s="532"/>
      <c r="O49" s="516"/>
      <c r="P49" s="516"/>
      <c r="Q49" s="539"/>
      <c r="R49" s="516"/>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7"/>
      <c r="AY49" s="507"/>
      <c r="AZ49" s="507"/>
      <c r="BA49" s="507"/>
      <c r="BB49" s="507"/>
      <c r="BC49" s="507"/>
      <c r="BD49" s="507"/>
      <c r="BE49" s="507"/>
      <c r="BF49" s="507"/>
      <c r="BG49" s="507"/>
      <c r="BH49" s="507"/>
      <c r="BI49" s="507"/>
      <c r="BJ49" s="507"/>
      <c r="BK49" s="507"/>
      <c r="BL49" s="507"/>
      <c r="BM49" s="507"/>
    </row>
    <row r="50" spans="1:65" ht="15.75">
      <c r="M50" s="508"/>
      <c r="N50" s="532"/>
      <c r="O50" s="516"/>
      <c r="P50" s="516"/>
      <c r="Q50" s="539"/>
      <c r="R50" s="516"/>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7"/>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row>
    <row r="51" spans="1:65" ht="15.75">
      <c r="M51" s="508"/>
      <c r="N51" s="532"/>
      <c r="O51" s="516"/>
      <c r="P51" s="516"/>
      <c r="Q51" s="539"/>
      <c r="R51" s="516"/>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507"/>
      <c r="BI51" s="507"/>
      <c r="BJ51" s="507"/>
      <c r="BK51" s="507"/>
      <c r="BL51" s="507"/>
      <c r="BM51" s="507"/>
    </row>
    <row r="52" spans="1:65" ht="15.75">
      <c r="A52" s="535"/>
      <c r="B52" s="545"/>
      <c r="C52" s="551"/>
      <c r="D52" s="551"/>
      <c r="E52" s="536"/>
      <c r="F52" s="536"/>
      <c r="G52" s="508"/>
      <c r="H52" s="551"/>
      <c r="I52" s="551"/>
      <c r="J52" s="530"/>
      <c r="K52" s="551"/>
      <c r="L52" s="508"/>
      <c r="M52" s="508"/>
      <c r="N52" s="532"/>
      <c r="O52" s="516"/>
      <c r="P52" s="516"/>
      <c r="Q52" s="539"/>
      <c r="R52" s="516"/>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507"/>
      <c r="AP52" s="507"/>
      <c r="AQ52" s="507"/>
      <c r="AR52" s="507"/>
      <c r="AS52" s="507"/>
      <c r="AT52" s="507"/>
      <c r="AU52" s="507"/>
      <c r="AV52" s="507"/>
      <c r="AW52" s="507"/>
      <c r="AX52" s="507"/>
      <c r="AY52" s="507"/>
      <c r="AZ52" s="507"/>
      <c r="BA52" s="507"/>
      <c r="BB52" s="507"/>
      <c r="BC52" s="507"/>
      <c r="BD52" s="507"/>
      <c r="BE52" s="507"/>
      <c r="BF52" s="507"/>
      <c r="BG52" s="507"/>
      <c r="BH52" s="507"/>
      <c r="BI52" s="507"/>
      <c r="BJ52" s="507"/>
      <c r="BK52" s="507"/>
      <c r="BL52" s="507"/>
      <c r="BM52" s="507"/>
    </row>
    <row r="53" spans="1:65" ht="15.75">
      <c r="A53" s="535"/>
      <c r="B53" s="545"/>
      <c r="C53" s="551"/>
      <c r="D53" s="551"/>
      <c r="E53" s="536"/>
      <c r="F53" s="536"/>
      <c r="G53" s="508"/>
      <c r="H53" s="551"/>
      <c r="I53" s="551"/>
      <c r="J53" s="530"/>
      <c r="K53" s="551"/>
      <c r="L53" s="508"/>
      <c r="M53" s="508"/>
      <c r="N53" s="532"/>
      <c r="O53" s="516"/>
      <c r="P53" s="516"/>
      <c r="Q53" s="539"/>
      <c r="R53" s="516"/>
      <c r="S53" s="507"/>
      <c r="T53" s="507"/>
      <c r="U53" s="507"/>
      <c r="V53" s="507"/>
      <c r="W53" s="507"/>
      <c r="X53" s="507"/>
      <c r="Y53" s="507"/>
      <c r="Z53" s="507"/>
      <c r="AA53" s="507"/>
      <c r="AB53" s="507"/>
      <c r="AC53" s="507"/>
      <c r="AD53" s="507"/>
      <c r="AE53" s="507"/>
      <c r="AF53" s="507"/>
      <c r="AG53" s="507"/>
      <c r="AH53" s="507"/>
      <c r="AI53" s="507"/>
      <c r="AJ53" s="507"/>
      <c r="AK53" s="507"/>
      <c r="AL53" s="507"/>
      <c r="AM53" s="507"/>
      <c r="AN53" s="507"/>
      <c r="AO53" s="507"/>
      <c r="AP53" s="507"/>
      <c r="AQ53" s="507"/>
      <c r="AR53" s="507"/>
      <c r="AS53" s="507"/>
      <c r="AT53" s="507"/>
      <c r="AU53" s="507"/>
      <c r="AV53" s="507"/>
      <c r="AW53" s="507"/>
      <c r="AX53" s="507"/>
      <c r="AY53" s="507"/>
      <c r="AZ53" s="507"/>
      <c r="BA53" s="507"/>
      <c r="BB53" s="507"/>
      <c r="BC53" s="507"/>
      <c r="BD53" s="507"/>
      <c r="BE53" s="507"/>
      <c r="BF53" s="507"/>
      <c r="BG53" s="507"/>
      <c r="BH53" s="507"/>
      <c r="BI53" s="507"/>
      <c r="BJ53" s="507"/>
      <c r="BK53" s="507"/>
      <c r="BL53" s="507"/>
      <c r="BM53" s="507"/>
    </row>
    <row r="54" spans="1:65" ht="15.75">
      <c r="A54" s="552"/>
      <c r="B54" s="507"/>
      <c r="C54" s="535"/>
      <c r="D54" s="535"/>
      <c r="E54" s="536"/>
      <c r="F54" s="536"/>
      <c r="G54" s="508"/>
      <c r="H54" s="551"/>
      <c r="I54" s="551"/>
      <c r="J54" s="530"/>
      <c r="K54" s="551"/>
      <c r="M54" s="508"/>
      <c r="N54" s="553"/>
      <c r="O54" s="554"/>
      <c r="P54" s="516"/>
      <c r="Q54" s="539"/>
      <c r="R54" s="516"/>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7"/>
      <c r="AQ54" s="507"/>
      <c r="AR54" s="507"/>
      <c r="AS54" s="507"/>
      <c r="AT54" s="507"/>
      <c r="AU54" s="507"/>
      <c r="AV54" s="507"/>
      <c r="AW54" s="507"/>
      <c r="AX54" s="507"/>
      <c r="AY54" s="507"/>
      <c r="AZ54" s="507"/>
      <c r="BA54" s="507"/>
      <c r="BB54" s="507"/>
      <c r="BC54" s="507"/>
      <c r="BD54" s="507"/>
      <c r="BE54" s="507"/>
      <c r="BF54" s="507"/>
      <c r="BG54" s="507"/>
      <c r="BH54" s="507"/>
      <c r="BI54" s="507"/>
      <c r="BJ54" s="507"/>
      <c r="BK54" s="507"/>
      <c r="BL54" s="507"/>
      <c r="BM54" s="507"/>
    </row>
    <row r="55" spans="1:65" ht="15.75">
      <c r="A55" s="552"/>
      <c r="B55" s="507"/>
      <c r="C55" s="535"/>
      <c r="D55" s="535"/>
      <c r="E55" s="536"/>
      <c r="F55" s="536"/>
      <c r="G55" s="508"/>
      <c r="H55" s="551"/>
      <c r="I55" s="551"/>
      <c r="J55" s="530"/>
      <c r="K55" s="551"/>
      <c r="M55" s="508"/>
      <c r="N55" s="532"/>
      <c r="O55" s="554"/>
      <c r="P55" s="516"/>
      <c r="Q55" s="539"/>
      <c r="R55" s="516"/>
      <c r="S55" s="507"/>
      <c r="T55" s="507"/>
      <c r="U55" s="507"/>
      <c r="V55" s="507"/>
      <c r="W55" s="507"/>
      <c r="X55" s="507"/>
      <c r="Y55" s="507"/>
      <c r="Z55" s="507"/>
      <c r="AA55" s="507"/>
      <c r="AB55" s="507"/>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507"/>
      <c r="AY55" s="507"/>
      <c r="AZ55" s="507"/>
      <c r="BA55" s="507"/>
      <c r="BB55" s="507"/>
      <c r="BC55" s="507"/>
      <c r="BD55" s="507"/>
      <c r="BE55" s="507"/>
      <c r="BF55" s="507"/>
      <c r="BG55" s="507"/>
      <c r="BH55" s="507"/>
      <c r="BI55" s="507"/>
      <c r="BJ55" s="507"/>
      <c r="BK55" s="507"/>
      <c r="BL55" s="507"/>
      <c r="BM55" s="507"/>
    </row>
    <row r="56" spans="1:65" ht="15.75">
      <c r="A56" s="555"/>
      <c r="B56" s="507"/>
      <c r="C56" s="535"/>
      <c r="D56" s="535"/>
      <c r="E56" s="536"/>
      <c r="F56" s="536"/>
      <c r="G56" s="508"/>
      <c r="H56" s="551"/>
      <c r="I56" s="551"/>
      <c r="J56" s="530"/>
      <c r="K56" s="551"/>
      <c r="M56" s="508"/>
      <c r="N56" s="532"/>
      <c r="O56" s="554"/>
      <c r="P56" s="516"/>
      <c r="Q56" s="539"/>
      <c r="R56" s="516"/>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7"/>
      <c r="AY56" s="507"/>
      <c r="AZ56" s="507"/>
      <c r="BA56" s="507"/>
      <c r="BB56" s="507"/>
      <c r="BC56" s="507"/>
      <c r="BD56" s="507"/>
      <c r="BE56" s="507"/>
      <c r="BF56" s="507"/>
      <c r="BG56" s="507"/>
      <c r="BH56" s="507"/>
      <c r="BI56" s="507"/>
      <c r="BJ56" s="507"/>
      <c r="BK56" s="507"/>
      <c r="BL56" s="507"/>
      <c r="BM56" s="507"/>
    </row>
    <row r="57" spans="1:65" ht="15">
      <c r="A57" s="510"/>
      <c r="C57" s="551"/>
      <c r="D57" s="551"/>
      <c r="E57" s="551"/>
      <c r="F57" s="551"/>
      <c r="G57" s="508"/>
      <c r="H57" s="551"/>
      <c r="I57" s="551"/>
      <c r="J57" s="551"/>
      <c r="K57" s="551"/>
      <c r="M57" s="508"/>
      <c r="N57" s="508"/>
      <c r="O57" s="516"/>
      <c r="P57" s="516"/>
      <c r="Q57" s="520"/>
      <c r="R57" s="516" t="s">
        <v>2</v>
      </c>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507"/>
      <c r="AY57" s="507"/>
      <c r="AZ57" s="507"/>
      <c r="BA57" s="507"/>
      <c r="BB57" s="507"/>
      <c r="BC57" s="507"/>
      <c r="BD57" s="507"/>
      <c r="BE57" s="507"/>
      <c r="BF57" s="507"/>
      <c r="BG57" s="507"/>
      <c r="BH57" s="507"/>
      <c r="BI57" s="507"/>
      <c r="BJ57" s="507"/>
      <c r="BK57" s="507"/>
      <c r="BL57" s="507"/>
      <c r="BM57" s="507"/>
    </row>
    <row r="58" spans="1:65">
      <c r="N58" s="498"/>
    </row>
    <row r="59" spans="1:65">
      <c r="N59" s="498"/>
    </row>
    <row r="61" spans="1:65" ht="18">
      <c r="A61" s="510"/>
      <c r="C61" s="551"/>
      <c r="D61" s="551"/>
      <c r="E61" s="551"/>
      <c r="F61" s="551"/>
      <c r="G61" s="508"/>
      <c r="H61" s="551"/>
      <c r="I61" s="551"/>
      <c r="J61" s="551"/>
      <c r="K61" s="551"/>
      <c r="M61" s="508"/>
      <c r="N61" s="499" t="s">
        <v>778</v>
      </c>
      <c r="O61" s="516"/>
      <c r="P61" s="505"/>
      <c r="Q61" s="516"/>
      <c r="R61" s="51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c r="AT61" s="507"/>
      <c r="AU61" s="507"/>
      <c r="AV61" s="507"/>
      <c r="AW61" s="507"/>
      <c r="AX61" s="507"/>
      <c r="AY61" s="507"/>
      <c r="AZ61" s="507"/>
      <c r="BA61" s="507"/>
      <c r="BB61" s="507"/>
      <c r="BC61" s="507"/>
      <c r="BD61" s="507"/>
      <c r="BE61" s="507"/>
      <c r="BF61" s="507"/>
      <c r="BG61" s="507"/>
      <c r="BH61" s="507"/>
      <c r="BI61" s="507"/>
      <c r="BJ61" s="507"/>
      <c r="BK61" s="507"/>
      <c r="BL61" s="507"/>
      <c r="BM61" s="507"/>
    </row>
    <row r="62" spans="1:65" ht="15">
      <c r="A62" s="510"/>
      <c r="C62" s="518" t="str">
        <f>C5</f>
        <v>Formula Rate calculation</v>
      </c>
      <c r="D62" s="518"/>
      <c r="E62" s="551"/>
      <c r="F62" s="551"/>
      <c r="G62" s="551" t="str">
        <f>G5</f>
        <v xml:space="preserve">     Rate Formula Template</v>
      </c>
      <c r="H62" s="551"/>
      <c r="I62" s="551"/>
      <c r="J62" s="551"/>
      <c r="K62" s="551"/>
      <c r="M62" s="508"/>
      <c r="N62" s="556" t="str">
        <f>N5</f>
        <v>For  the 12 months ended 12/31/2015</v>
      </c>
      <c r="O62" s="516"/>
      <c r="P62" s="505"/>
      <c r="Q62" s="516"/>
      <c r="R62" s="51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c r="AO62" s="507"/>
      <c r="AP62" s="507"/>
      <c r="AQ62" s="507"/>
      <c r="AR62" s="507"/>
      <c r="AS62" s="507"/>
      <c r="AT62" s="507"/>
      <c r="AU62" s="507"/>
      <c r="AV62" s="507"/>
      <c r="AW62" s="507"/>
      <c r="AX62" s="507"/>
      <c r="AY62" s="507"/>
      <c r="AZ62" s="507"/>
      <c r="BA62" s="507"/>
      <c r="BB62" s="507"/>
      <c r="BC62" s="507"/>
      <c r="BD62" s="507"/>
      <c r="BE62" s="507"/>
      <c r="BF62" s="507"/>
      <c r="BG62" s="507"/>
      <c r="BH62" s="507"/>
      <c r="BI62" s="507"/>
      <c r="BJ62" s="507"/>
      <c r="BK62" s="507"/>
      <c r="BL62" s="507"/>
      <c r="BM62" s="507"/>
    </row>
    <row r="63" spans="1:65" ht="15">
      <c r="A63" s="510"/>
      <c r="C63" s="518"/>
      <c r="D63" s="518"/>
      <c r="E63" s="551"/>
      <c r="F63" s="551"/>
      <c r="G63" s="551" t="str">
        <f>G6</f>
        <v xml:space="preserve"> Utilizing Attachment O Data</v>
      </c>
      <c r="H63" s="551"/>
      <c r="I63" s="551"/>
      <c r="J63" s="551"/>
      <c r="K63" s="551"/>
      <c r="L63" s="508"/>
      <c r="M63" s="508"/>
      <c r="O63" s="516"/>
      <c r="P63" s="505"/>
      <c r="Q63" s="516"/>
      <c r="R63" s="51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7"/>
      <c r="AY63" s="507"/>
      <c r="AZ63" s="507"/>
      <c r="BA63" s="507"/>
      <c r="BB63" s="507"/>
      <c r="BC63" s="507"/>
      <c r="BD63" s="507"/>
      <c r="BE63" s="507"/>
      <c r="BF63" s="507"/>
      <c r="BG63" s="507"/>
      <c r="BH63" s="507"/>
      <c r="BI63" s="507"/>
      <c r="BJ63" s="507"/>
      <c r="BK63" s="507"/>
      <c r="BL63" s="507"/>
      <c r="BM63" s="507"/>
    </row>
    <row r="64" spans="1:65" ht="14.25" customHeight="1">
      <c r="A64" s="510"/>
      <c r="C64" s="551"/>
      <c r="D64" s="551"/>
      <c r="E64" s="551"/>
      <c r="F64" s="551"/>
      <c r="G64" s="551"/>
      <c r="H64" s="551"/>
      <c r="I64" s="551"/>
      <c r="J64" s="551"/>
      <c r="K64" s="551"/>
      <c r="M64" s="508"/>
      <c r="N64" s="551" t="s">
        <v>826</v>
      </c>
      <c r="O64" s="516"/>
      <c r="P64" s="505"/>
      <c r="Q64" s="516"/>
      <c r="R64" s="51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7"/>
      <c r="AY64" s="507"/>
      <c r="AZ64" s="507"/>
      <c r="BA64" s="507"/>
      <c r="BB64" s="507"/>
      <c r="BC64" s="507"/>
      <c r="BD64" s="507"/>
      <c r="BE64" s="507"/>
      <c r="BF64" s="507"/>
      <c r="BG64" s="507"/>
      <c r="BH64" s="507"/>
      <c r="BI64" s="507"/>
      <c r="BJ64" s="507"/>
      <c r="BK64" s="507"/>
      <c r="BL64" s="507"/>
      <c r="BM64" s="507"/>
    </row>
    <row r="65" spans="1:65" ht="15">
      <c r="A65" s="510"/>
      <c r="E65" s="551"/>
      <c r="F65" s="551"/>
      <c r="G65" s="551" t="str">
        <f>G8</f>
        <v>Rochester Public Utilities</v>
      </c>
      <c r="H65" s="551"/>
      <c r="I65" s="551"/>
      <c r="J65" s="551"/>
      <c r="K65" s="551"/>
      <c r="L65" s="551"/>
      <c r="M65" s="508"/>
      <c r="N65" s="508"/>
      <c r="O65" s="516"/>
      <c r="P65" s="505"/>
      <c r="Q65" s="516"/>
      <c r="R65" s="51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507"/>
      <c r="BF65" s="507"/>
      <c r="BG65" s="507"/>
      <c r="BH65" s="507"/>
      <c r="BI65" s="507"/>
      <c r="BJ65" s="507"/>
      <c r="BK65" s="507"/>
      <c r="BL65" s="507"/>
      <c r="BM65" s="507"/>
    </row>
    <row r="66" spans="1:65" ht="15">
      <c r="A66" s="510"/>
      <c r="E66" s="518"/>
      <c r="F66" s="518"/>
      <c r="G66" s="518"/>
      <c r="H66" s="518"/>
      <c r="I66" s="518"/>
      <c r="J66" s="518"/>
      <c r="K66" s="518"/>
      <c r="L66" s="518"/>
      <c r="M66" s="518"/>
      <c r="N66" s="518"/>
      <c r="O66" s="516"/>
      <c r="P66" s="505"/>
      <c r="Q66" s="516"/>
      <c r="R66" s="517"/>
      <c r="S66" s="507"/>
      <c r="T66" s="507"/>
      <c r="U66" s="507"/>
      <c r="V66" s="507"/>
      <c r="W66" s="507"/>
      <c r="X66" s="507"/>
      <c r="Y66" s="507"/>
      <c r="Z66" s="507"/>
      <c r="AA66" s="507"/>
      <c r="AB66" s="507"/>
      <c r="AC66" s="507"/>
      <c r="AD66" s="507"/>
      <c r="AE66" s="507"/>
      <c r="AF66" s="507"/>
      <c r="AG66" s="507"/>
      <c r="AH66" s="507"/>
      <c r="AI66" s="507"/>
      <c r="AJ66" s="507"/>
      <c r="AK66" s="507"/>
      <c r="AL66" s="507"/>
      <c r="AM66" s="507"/>
      <c r="AN66" s="507"/>
      <c r="AO66" s="507"/>
      <c r="AP66" s="507"/>
      <c r="AQ66" s="507"/>
      <c r="AR66" s="507"/>
      <c r="AS66" s="507"/>
      <c r="AT66" s="507"/>
      <c r="AU66" s="507"/>
      <c r="AV66" s="507"/>
      <c r="AW66" s="507"/>
      <c r="AX66" s="507"/>
      <c r="AY66" s="507"/>
      <c r="AZ66" s="507"/>
      <c r="BA66" s="507"/>
      <c r="BB66" s="507"/>
      <c r="BC66" s="507"/>
      <c r="BD66" s="507"/>
      <c r="BE66" s="507"/>
      <c r="BF66" s="507"/>
      <c r="BG66" s="507"/>
      <c r="BH66" s="507"/>
      <c r="BI66" s="507"/>
      <c r="BJ66" s="507"/>
      <c r="BK66" s="507"/>
      <c r="BL66" s="507"/>
      <c r="BM66" s="507"/>
    </row>
    <row r="67" spans="1:65" ht="15.75">
      <c r="A67" s="510"/>
      <c r="C67" s="551"/>
      <c r="D67" s="551"/>
      <c r="E67" s="524" t="s">
        <v>827</v>
      </c>
      <c r="F67" s="524"/>
      <c r="H67" s="503"/>
      <c r="I67" s="503"/>
      <c r="J67" s="503"/>
      <c r="K67" s="503"/>
      <c r="L67" s="503"/>
      <c r="M67" s="508"/>
      <c r="N67" s="508"/>
      <c r="O67" s="516"/>
      <c r="P67" s="505"/>
      <c r="Q67" s="516"/>
      <c r="R67" s="517"/>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7"/>
      <c r="AQ67" s="507"/>
      <c r="AR67" s="507"/>
      <c r="AS67" s="507"/>
      <c r="AT67" s="507"/>
      <c r="AU67" s="507"/>
      <c r="AV67" s="507"/>
      <c r="AW67" s="507"/>
      <c r="AX67" s="507"/>
      <c r="AY67" s="507"/>
      <c r="AZ67" s="507"/>
      <c r="BA67" s="507"/>
      <c r="BB67" s="507"/>
      <c r="BC67" s="507"/>
      <c r="BD67" s="507"/>
      <c r="BE67" s="507"/>
      <c r="BF67" s="507"/>
      <c r="BG67" s="507"/>
      <c r="BH67" s="507"/>
      <c r="BI67" s="507"/>
      <c r="BJ67" s="507"/>
      <c r="BK67" s="507"/>
      <c r="BL67" s="507"/>
      <c r="BM67" s="507"/>
    </row>
    <row r="68" spans="1:65" ht="15.75">
      <c r="A68" s="510"/>
      <c r="C68" s="551"/>
      <c r="D68" s="551"/>
      <c r="E68" s="524"/>
      <c r="F68" s="524"/>
      <c r="H68" s="503"/>
      <c r="I68" s="503"/>
      <c r="J68" s="503"/>
      <c r="K68" s="503"/>
      <c r="L68" s="503"/>
      <c r="M68" s="508"/>
      <c r="N68" s="508"/>
      <c r="O68" s="516"/>
      <c r="P68" s="505"/>
      <c r="Q68" s="516"/>
      <c r="R68" s="51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507"/>
      <c r="BE68" s="507"/>
      <c r="BF68" s="507"/>
      <c r="BG68" s="507"/>
      <c r="BH68" s="507"/>
      <c r="BI68" s="507"/>
      <c r="BJ68" s="507"/>
      <c r="BK68" s="507"/>
      <c r="BL68" s="507"/>
      <c r="BM68" s="507"/>
    </row>
    <row r="69" spans="1:65" ht="15.75">
      <c r="A69" s="510"/>
      <c r="C69" s="557">
        <v>-1</v>
      </c>
      <c r="D69" s="557">
        <v>-2</v>
      </c>
      <c r="E69" s="557">
        <v>-3</v>
      </c>
      <c r="F69" s="557">
        <v>-4</v>
      </c>
      <c r="G69" s="557">
        <v>-5</v>
      </c>
      <c r="H69" s="557">
        <v>-6</v>
      </c>
      <c r="I69" s="557">
        <v>-7</v>
      </c>
      <c r="J69" s="557">
        <v>-8</v>
      </c>
      <c r="K69" s="557">
        <v>-9</v>
      </c>
      <c r="L69" s="557">
        <v>-10</v>
      </c>
      <c r="M69" s="557">
        <v>-11</v>
      </c>
      <c r="N69" s="557">
        <v>-12</v>
      </c>
      <c r="O69" s="516"/>
      <c r="P69" s="505"/>
      <c r="Q69" s="516"/>
      <c r="R69" s="51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7"/>
      <c r="AY69" s="507"/>
      <c r="AZ69" s="507"/>
      <c r="BA69" s="507"/>
      <c r="BB69" s="507"/>
      <c r="BC69" s="507"/>
      <c r="BD69" s="507"/>
      <c r="BE69" s="507"/>
      <c r="BF69" s="507"/>
      <c r="BG69" s="507"/>
      <c r="BH69" s="507"/>
      <c r="BI69" s="507"/>
      <c r="BJ69" s="507"/>
      <c r="BK69" s="507"/>
      <c r="BL69" s="507"/>
      <c r="BM69" s="507"/>
    </row>
    <row r="70" spans="1:65" ht="67.5" customHeight="1">
      <c r="A70" s="558" t="s">
        <v>501</v>
      </c>
      <c r="B70" s="559"/>
      <c r="C70" s="559" t="s">
        <v>828</v>
      </c>
      <c r="D70" s="560" t="s">
        <v>829</v>
      </c>
      <c r="E70" s="561" t="s">
        <v>830</v>
      </c>
      <c r="F70" s="561" t="s">
        <v>810</v>
      </c>
      <c r="G70" s="562" t="s">
        <v>831</v>
      </c>
      <c r="H70" s="561" t="s">
        <v>832</v>
      </c>
      <c r="I70" s="561" t="s">
        <v>824</v>
      </c>
      <c r="J70" s="562" t="s">
        <v>833</v>
      </c>
      <c r="K70" s="561" t="s">
        <v>834</v>
      </c>
      <c r="L70" s="563" t="s">
        <v>835</v>
      </c>
      <c r="M70" s="564" t="s">
        <v>836</v>
      </c>
      <c r="N70" s="563" t="s">
        <v>837</v>
      </c>
      <c r="O70" s="533"/>
      <c r="P70" s="505"/>
      <c r="Q70" s="516"/>
      <c r="R70" s="563" t="s">
        <v>838</v>
      </c>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507"/>
      <c r="BE70" s="507"/>
      <c r="BF70" s="507"/>
      <c r="BG70" s="507"/>
      <c r="BH70" s="507"/>
      <c r="BI70" s="507"/>
      <c r="BJ70" s="507"/>
      <c r="BK70" s="507"/>
      <c r="BL70" s="507"/>
      <c r="BM70" s="507"/>
    </row>
    <row r="71" spans="1:65" ht="41.25" customHeight="1">
      <c r="A71" s="565"/>
      <c r="B71" s="566"/>
      <c r="C71" s="566"/>
      <c r="D71" s="566"/>
      <c r="E71" s="567" t="s">
        <v>23</v>
      </c>
      <c r="F71" s="567" t="s">
        <v>839</v>
      </c>
      <c r="G71" s="568" t="s">
        <v>840</v>
      </c>
      <c r="H71" s="567" t="s">
        <v>25</v>
      </c>
      <c r="I71" s="567" t="s">
        <v>841</v>
      </c>
      <c r="J71" s="568" t="s">
        <v>842</v>
      </c>
      <c r="K71" s="567" t="s">
        <v>217</v>
      </c>
      <c r="L71" s="568" t="s">
        <v>843</v>
      </c>
      <c r="M71" s="569" t="s">
        <v>844</v>
      </c>
      <c r="N71" s="570" t="s">
        <v>845</v>
      </c>
      <c r="O71" s="516"/>
      <c r="P71" s="505"/>
      <c r="Q71" s="516"/>
      <c r="R71" s="571"/>
      <c r="S71" s="507"/>
      <c r="T71" s="507"/>
      <c r="U71" s="507"/>
      <c r="V71" s="507"/>
      <c r="W71" s="507"/>
      <c r="X71" s="507"/>
      <c r="Y71" s="507"/>
      <c r="Z71" s="507"/>
      <c r="AA71" s="507"/>
      <c r="AB71" s="507"/>
      <c r="AC71" s="507"/>
      <c r="AD71" s="507"/>
      <c r="AE71" s="507"/>
      <c r="AF71" s="507"/>
      <c r="AG71" s="507"/>
      <c r="AH71" s="507"/>
      <c r="AI71" s="507"/>
      <c r="AJ71" s="507"/>
      <c r="AK71" s="507"/>
      <c r="AL71" s="507"/>
      <c r="AM71" s="507"/>
      <c r="AN71" s="507"/>
      <c r="AO71" s="507"/>
      <c r="AP71" s="507"/>
      <c r="AQ71" s="507"/>
      <c r="AR71" s="507"/>
      <c r="AS71" s="507"/>
      <c r="AT71" s="507"/>
      <c r="AU71" s="507"/>
      <c r="AV71" s="507"/>
      <c r="AW71" s="507"/>
      <c r="AX71" s="507"/>
      <c r="AY71" s="507"/>
      <c r="AZ71" s="507"/>
      <c r="BA71" s="507"/>
      <c r="BB71" s="507"/>
      <c r="BC71" s="507"/>
      <c r="BD71" s="507"/>
      <c r="BE71" s="507"/>
      <c r="BF71" s="507"/>
      <c r="BG71" s="507"/>
      <c r="BH71" s="507"/>
      <c r="BI71" s="507"/>
      <c r="BJ71" s="507"/>
      <c r="BK71" s="507"/>
      <c r="BL71" s="507"/>
      <c r="BM71" s="507"/>
    </row>
    <row r="72" spans="1:65" ht="15">
      <c r="A72" s="572"/>
      <c r="B72" s="503"/>
      <c r="C72" s="503"/>
      <c r="D72" s="503"/>
      <c r="E72" s="503"/>
      <c r="F72" s="503"/>
      <c r="G72" s="573"/>
      <c r="H72" s="503"/>
      <c r="I72" s="503"/>
      <c r="J72" s="573"/>
      <c r="K72" s="503"/>
      <c r="L72" s="573"/>
      <c r="M72" s="508"/>
      <c r="N72" s="574"/>
      <c r="O72" s="516"/>
      <c r="P72" s="505"/>
      <c r="Q72" s="516"/>
      <c r="R72" s="517"/>
      <c r="S72" s="507"/>
      <c r="T72" s="507"/>
      <c r="U72" s="507"/>
      <c r="V72" s="507"/>
      <c r="W72" s="507"/>
      <c r="X72" s="507"/>
      <c r="Y72" s="507"/>
      <c r="Z72" s="507"/>
      <c r="AA72" s="507"/>
      <c r="AB72" s="507"/>
      <c r="AC72" s="507"/>
      <c r="AD72" s="507"/>
      <c r="AE72" s="507"/>
      <c r="AF72" s="507"/>
      <c r="AG72" s="507"/>
      <c r="AH72" s="507"/>
      <c r="AI72" s="507"/>
      <c r="AJ72" s="507"/>
      <c r="AK72" s="507"/>
      <c r="AL72" s="507"/>
      <c r="AM72" s="507"/>
      <c r="AN72" s="507"/>
      <c r="AO72" s="507"/>
      <c r="AP72" s="507"/>
      <c r="AQ72" s="507"/>
      <c r="AR72" s="507"/>
      <c r="AS72" s="507"/>
      <c r="AT72" s="507"/>
      <c r="AU72" s="507"/>
      <c r="AV72" s="507"/>
      <c r="AW72" s="507"/>
      <c r="AX72" s="507"/>
      <c r="AY72" s="507"/>
      <c r="AZ72" s="507"/>
      <c r="BA72" s="507"/>
      <c r="BB72" s="507"/>
      <c r="BC72" s="507"/>
      <c r="BD72" s="507"/>
      <c r="BE72" s="507"/>
      <c r="BF72" s="507"/>
      <c r="BG72" s="507"/>
      <c r="BH72" s="507"/>
      <c r="BI72" s="507"/>
      <c r="BJ72" s="507"/>
      <c r="BK72" s="507"/>
      <c r="BL72" s="507"/>
      <c r="BM72" s="507"/>
    </row>
    <row r="73" spans="1:65" ht="15">
      <c r="A73" s="575" t="s">
        <v>204</v>
      </c>
      <c r="C73" s="507" t="s">
        <v>846</v>
      </c>
      <c r="D73" s="576">
        <v>1024</v>
      </c>
      <c r="E73" s="577">
        <f>Plant!I24</f>
        <v>6399754</v>
      </c>
      <c r="F73" s="531">
        <f>$L$33</f>
        <v>8.9607341710099514E-2</v>
      </c>
      <c r="G73" s="578">
        <f>E73*F73</f>
        <v>573464.94353857625</v>
      </c>
      <c r="H73" s="577">
        <f>Plant!I59</f>
        <v>6305017.384615385</v>
      </c>
      <c r="I73" s="531">
        <f>$L$43</f>
        <v>9.1316989580222538E-2</v>
      </c>
      <c r="J73" s="578">
        <f>H73*I73</f>
        <v>575755.20681404509</v>
      </c>
      <c r="K73" s="579">
        <f>Plant!I63</f>
        <v>198042</v>
      </c>
      <c r="L73" s="578">
        <f>G73+J73+K73</f>
        <v>1347262.1503526215</v>
      </c>
      <c r="M73" s="580">
        <v>0</v>
      </c>
      <c r="N73" s="574">
        <f>L73+M73</f>
        <v>1347262.1503526215</v>
      </c>
      <c r="O73" s="581"/>
      <c r="P73" s="581"/>
      <c r="Q73" s="581"/>
      <c r="R73" s="582">
        <f t="shared" ref="R73:R79" si="0">+E73</f>
        <v>6399754</v>
      </c>
      <c r="S73" s="581"/>
      <c r="T73" s="581"/>
      <c r="U73" s="581"/>
    </row>
    <row r="74" spans="1:65" ht="15">
      <c r="A74" s="575" t="s">
        <v>847</v>
      </c>
      <c r="D74" s="576"/>
      <c r="E74" s="577">
        <v>0</v>
      </c>
      <c r="F74" s="531">
        <f>$L$33</f>
        <v>8.9607341710099514E-2</v>
      </c>
      <c r="G74" s="578">
        <f>E74*F74</f>
        <v>0</v>
      </c>
      <c r="H74" s="577">
        <v>0</v>
      </c>
      <c r="I74" s="531">
        <f>$L$43</f>
        <v>9.1316989580222538E-2</v>
      </c>
      <c r="J74" s="578">
        <f>H74*I74</f>
        <v>0</v>
      </c>
      <c r="K74" s="579">
        <v>0</v>
      </c>
      <c r="L74" s="578">
        <f>G74+J74+K74</f>
        <v>0</v>
      </c>
      <c r="M74" s="580">
        <v>0</v>
      </c>
      <c r="N74" s="574">
        <f>L74+M74</f>
        <v>0</v>
      </c>
      <c r="O74" s="581"/>
      <c r="P74" s="581"/>
      <c r="Q74" s="581"/>
      <c r="R74" s="582">
        <f t="shared" si="0"/>
        <v>0</v>
      </c>
      <c r="S74" s="581"/>
      <c r="T74" s="581"/>
      <c r="U74" s="581"/>
    </row>
    <row r="75" spans="1:65" ht="15">
      <c r="A75" s="575" t="s">
        <v>848</v>
      </c>
      <c r="D75" s="576"/>
      <c r="E75" s="577">
        <v>0</v>
      </c>
      <c r="F75" s="531">
        <f>$L$33</f>
        <v>8.9607341710099514E-2</v>
      </c>
      <c r="G75" s="578">
        <f>E75*F75</f>
        <v>0</v>
      </c>
      <c r="H75" s="577">
        <v>0</v>
      </c>
      <c r="I75" s="531">
        <f>$L$43</f>
        <v>9.1316989580222538E-2</v>
      </c>
      <c r="J75" s="578">
        <f>H75*I75</f>
        <v>0</v>
      </c>
      <c r="K75" s="579">
        <v>0</v>
      </c>
      <c r="L75" s="578">
        <f>G75+J75+K75</f>
        <v>0</v>
      </c>
      <c r="M75" s="577">
        <v>0</v>
      </c>
      <c r="N75" s="574">
        <f>L75+M75</f>
        <v>0</v>
      </c>
      <c r="O75" s="581"/>
      <c r="P75" s="581"/>
      <c r="Q75" s="581"/>
      <c r="R75" s="582">
        <f t="shared" si="0"/>
        <v>0</v>
      </c>
      <c r="S75" s="581"/>
      <c r="T75" s="581"/>
      <c r="U75" s="581"/>
    </row>
    <row r="76" spans="1:65">
      <c r="A76" s="575"/>
      <c r="D76" s="576"/>
      <c r="G76" s="578"/>
      <c r="J76" s="578"/>
      <c r="L76" s="578"/>
      <c r="N76" s="578"/>
      <c r="O76" s="581"/>
      <c r="P76" s="581"/>
      <c r="Q76" s="581"/>
      <c r="R76" s="582">
        <f t="shared" si="0"/>
        <v>0</v>
      </c>
      <c r="S76" s="581"/>
      <c r="T76" s="581"/>
      <c r="U76" s="581"/>
    </row>
    <row r="77" spans="1:65">
      <c r="A77" s="575"/>
      <c r="G77" s="578"/>
      <c r="J77" s="578"/>
      <c r="L77" s="578"/>
      <c r="N77" s="578"/>
      <c r="O77" s="581"/>
      <c r="P77" s="581"/>
      <c r="Q77" s="581"/>
      <c r="R77" s="582">
        <f t="shared" si="0"/>
        <v>0</v>
      </c>
      <c r="S77" s="581"/>
      <c r="T77" s="581"/>
      <c r="U77" s="581"/>
    </row>
    <row r="78" spans="1:65">
      <c r="A78" s="575"/>
      <c r="G78" s="578"/>
      <c r="J78" s="578"/>
      <c r="L78" s="578"/>
      <c r="N78" s="578"/>
      <c r="O78" s="581"/>
      <c r="P78" s="581"/>
      <c r="Q78" s="581"/>
      <c r="R78" s="582">
        <f t="shared" si="0"/>
        <v>0</v>
      </c>
      <c r="S78" s="581"/>
      <c r="T78" s="581"/>
      <c r="U78" s="581"/>
    </row>
    <row r="79" spans="1:65">
      <c r="A79" s="575"/>
      <c r="G79" s="578"/>
      <c r="J79" s="578"/>
      <c r="L79" s="578"/>
      <c r="N79" s="578"/>
      <c r="O79" s="581"/>
      <c r="P79" s="581"/>
      <c r="Q79" s="581"/>
      <c r="R79" s="582">
        <f t="shared" si="0"/>
        <v>0</v>
      </c>
      <c r="S79" s="581"/>
      <c r="T79" s="581"/>
      <c r="U79" s="581"/>
    </row>
    <row r="80" spans="1:65">
      <c r="A80" s="575"/>
      <c r="G80" s="578"/>
      <c r="J80" s="578"/>
      <c r="L80" s="578"/>
      <c r="N80" s="578"/>
      <c r="O80" s="581"/>
      <c r="P80" s="581"/>
      <c r="Q80" s="581"/>
      <c r="R80" s="583"/>
      <c r="S80" s="581"/>
      <c r="T80" s="581"/>
      <c r="U80" s="581"/>
    </row>
    <row r="81" spans="1:21">
      <c r="A81" s="575"/>
      <c r="C81" s="581"/>
      <c r="D81" s="581"/>
      <c r="E81" s="581"/>
      <c r="F81" s="581"/>
      <c r="G81" s="584"/>
      <c r="H81" s="581"/>
      <c r="I81" s="581"/>
      <c r="J81" s="584"/>
      <c r="K81" s="581"/>
      <c r="L81" s="584"/>
      <c r="M81" s="581"/>
      <c r="N81" s="584"/>
      <c r="O81" s="581"/>
      <c r="P81" s="581"/>
      <c r="Q81" s="581"/>
      <c r="R81" s="583"/>
      <c r="S81" s="581"/>
      <c r="T81" s="581"/>
      <c r="U81" s="581"/>
    </row>
    <row r="82" spans="1:21">
      <c r="A82" s="575"/>
      <c r="C82" s="581"/>
      <c r="D82" s="581"/>
      <c r="E82" s="581"/>
      <c r="F82" s="581"/>
      <c r="G82" s="584"/>
      <c r="H82" s="581"/>
      <c r="I82" s="581"/>
      <c r="J82" s="584"/>
      <c r="K82" s="581"/>
      <c r="L82" s="584"/>
      <c r="M82" s="581"/>
      <c r="N82" s="584"/>
      <c r="O82" s="581"/>
      <c r="P82" s="581"/>
      <c r="Q82" s="581"/>
      <c r="R82" s="583"/>
      <c r="S82" s="581"/>
      <c r="T82" s="581"/>
      <c r="U82" s="581"/>
    </row>
    <row r="83" spans="1:21">
      <c r="A83" s="575"/>
      <c r="C83" s="581"/>
      <c r="D83" s="581"/>
      <c r="E83" s="581"/>
      <c r="F83" s="581"/>
      <c r="G83" s="584"/>
      <c r="H83" s="581"/>
      <c r="I83" s="581"/>
      <c r="J83" s="584"/>
      <c r="K83" s="581"/>
      <c r="L83" s="584"/>
      <c r="M83" s="581"/>
      <c r="N83" s="584"/>
      <c r="O83" s="581"/>
      <c r="P83" s="581"/>
      <c r="Q83" s="581"/>
      <c r="R83" s="583"/>
      <c r="S83" s="581"/>
      <c r="T83" s="581"/>
      <c r="U83" s="581"/>
    </row>
    <row r="84" spans="1:21">
      <c r="A84" s="575"/>
      <c r="C84" s="581"/>
      <c r="D84" s="581"/>
      <c r="E84" s="581"/>
      <c r="F84" s="581"/>
      <c r="G84" s="584"/>
      <c r="H84" s="581"/>
      <c r="I84" s="581"/>
      <c r="J84" s="584"/>
      <c r="K84" s="581"/>
      <c r="L84" s="584"/>
      <c r="M84" s="581"/>
      <c r="N84" s="584"/>
      <c r="O84" s="581"/>
      <c r="P84" s="581"/>
      <c r="Q84" s="581"/>
      <c r="R84" s="583"/>
      <c r="S84" s="581"/>
      <c r="T84" s="581"/>
      <c r="U84" s="581"/>
    </row>
    <row r="85" spans="1:21">
      <c r="A85" s="575"/>
      <c r="C85" s="581"/>
      <c r="D85" s="581"/>
      <c r="E85" s="581"/>
      <c r="F85" s="581"/>
      <c r="G85" s="584"/>
      <c r="H85" s="581"/>
      <c r="I85" s="581"/>
      <c r="J85" s="584"/>
      <c r="K85" s="581"/>
      <c r="L85" s="584"/>
      <c r="M85" s="581"/>
      <c r="N85" s="584"/>
      <c r="O85" s="581"/>
      <c r="P85" s="581"/>
      <c r="Q85" s="581"/>
      <c r="R85" s="583"/>
      <c r="S85" s="581"/>
      <c r="T85" s="581"/>
      <c r="U85" s="581"/>
    </row>
    <row r="86" spans="1:21">
      <c r="A86" s="575"/>
      <c r="C86" s="581"/>
      <c r="D86" s="581"/>
      <c r="E86" s="581"/>
      <c r="F86" s="581"/>
      <c r="G86" s="584"/>
      <c r="H86" s="581"/>
      <c r="I86" s="581"/>
      <c r="J86" s="584"/>
      <c r="K86" s="581"/>
      <c r="L86" s="584"/>
      <c r="M86" s="581"/>
      <c r="N86" s="584"/>
      <c r="O86" s="581"/>
      <c r="P86" s="581"/>
      <c r="Q86" s="581"/>
      <c r="R86" s="583"/>
      <c r="S86" s="581"/>
      <c r="T86" s="581"/>
      <c r="U86" s="581"/>
    </row>
    <row r="87" spans="1:21">
      <c r="A87" s="575"/>
      <c r="C87" s="581"/>
      <c r="D87" s="581"/>
      <c r="E87" s="581"/>
      <c r="F87" s="581"/>
      <c r="G87" s="584"/>
      <c r="H87" s="581"/>
      <c r="I87" s="581"/>
      <c r="J87" s="584"/>
      <c r="K87" s="581"/>
      <c r="L87" s="584"/>
      <c r="M87" s="581"/>
      <c r="N87" s="584"/>
      <c r="O87" s="581"/>
      <c r="P87" s="581"/>
      <c r="Q87" s="581"/>
      <c r="R87" s="583"/>
      <c r="S87" s="581"/>
      <c r="T87" s="581"/>
      <c r="U87" s="581"/>
    </row>
    <row r="88" spans="1:21">
      <c r="A88" s="575"/>
      <c r="C88" s="581"/>
      <c r="D88" s="581"/>
      <c r="E88" s="581"/>
      <c r="F88" s="581"/>
      <c r="G88" s="584"/>
      <c r="H88" s="581"/>
      <c r="I88" s="581"/>
      <c r="J88" s="584"/>
      <c r="K88" s="581"/>
      <c r="L88" s="584"/>
      <c r="M88" s="581"/>
      <c r="N88" s="584"/>
      <c r="O88" s="581"/>
      <c r="P88" s="581"/>
      <c r="Q88" s="581"/>
      <c r="R88" s="583"/>
      <c r="S88" s="581"/>
      <c r="T88" s="581"/>
      <c r="U88" s="581"/>
    </row>
    <row r="89" spans="1:21">
      <c r="A89" s="575"/>
      <c r="C89" s="581"/>
      <c r="D89" s="581"/>
      <c r="E89" s="581"/>
      <c r="F89" s="581"/>
      <c r="G89" s="584"/>
      <c r="H89" s="581"/>
      <c r="I89" s="581"/>
      <c r="J89" s="584"/>
      <c r="K89" s="581"/>
      <c r="L89" s="584"/>
      <c r="M89" s="581"/>
      <c r="N89" s="584"/>
      <c r="O89" s="581"/>
      <c r="P89" s="581"/>
      <c r="Q89" s="581"/>
      <c r="R89" s="583"/>
      <c r="S89" s="581"/>
      <c r="T89" s="581"/>
      <c r="U89" s="581"/>
    </row>
    <row r="90" spans="1:21">
      <c r="A90" s="575"/>
      <c r="C90" s="581"/>
      <c r="D90" s="581"/>
      <c r="E90" s="581"/>
      <c r="F90" s="581"/>
      <c r="G90" s="584"/>
      <c r="H90" s="581"/>
      <c r="I90" s="581"/>
      <c r="J90" s="584"/>
      <c r="K90" s="581"/>
      <c r="L90" s="584"/>
      <c r="M90" s="581"/>
      <c r="N90" s="584"/>
      <c r="O90" s="581"/>
      <c r="P90" s="581"/>
      <c r="Q90" s="581"/>
      <c r="R90" s="583"/>
      <c r="S90" s="581"/>
      <c r="T90" s="581"/>
      <c r="U90" s="581"/>
    </row>
    <row r="91" spans="1:21">
      <c r="A91" s="575"/>
      <c r="C91" s="581"/>
      <c r="D91" s="581"/>
      <c r="E91" s="581"/>
      <c r="F91" s="581"/>
      <c r="G91" s="584"/>
      <c r="H91" s="581"/>
      <c r="I91" s="581"/>
      <c r="J91" s="584"/>
      <c r="K91" s="581"/>
      <c r="L91" s="584"/>
      <c r="M91" s="581"/>
      <c r="N91" s="584"/>
      <c r="O91" s="581"/>
      <c r="P91" s="581"/>
      <c r="Q91" s="581"/>
      <c r="R91" s="583"/>
      <c r="S91" s="581"/>
      <c r="T91" s="581"/>
      <c r="U91" s="581"/>
    </row>
    <row r="92" spans="1:21">
      <c r="A92" s="585"/>
      <c r="B92" s="586"/>
      <c r="C92" s="587"/>
      <c r="D92" s="587"/>
      <c r="E92" s="587"/>
      <c r="F92" s="587"/>
      <c r="G92" s="588"/>
      <c r="H92" s="587"/>
      <c r="I92" s="587"/>
      <c r="J92" s="588"/>
      <c r="K92" s="587"/>
      <c r="L92" s="588"/>
      <c r="M92" s="587"/>
      <c r="N92" s="588"/>
      <c r="O92" s="581"/>
      <c r="P92" s="581"/>
      <c r="Q92" s="581"/>
      <c r="R92" s="589"/>
      <c r="S92" s="581"/>
      <c r="T92" s="581"/>
      <c r="U92" s="581"/>
    </row>
    <row r="93" spans="1:21" ht="15">
      <c r="A93" s="515" t="s">
        <v>849</v>
      </c>
      <c r="B93" s="545"/>
      <c r="C93" s="518" t="s">
        <v>850</v>
      </c>
      <c r="D93" s="518"/>
      <c r="E93" s="536">
        <f>SUM(E73:E92)</f>
        <v>6399754</v>
      </c>
      <c r="F93" s="536"/>
      <c r="G93" s="508"/>
      <c r="H93" s="508"/>
      <c r="I93" s="508"/>
      <c r="J93" s="508"/>
      <c r="K93" s="508"/>
      <c r="L93" s="590">
        <f>SUM(L73:L92)</f>
        <v>1347262.1503526215</v>
      </c>
      <c r="M93" s="590">
        <f>SUM(M73:M92)</f>
        <v>0</v>
      </c>
      <c r="N93" s="590">
        <f>SUM(N73:N92)</f>
        <v>1347262.1503526215</v>
      </c>
      <c r="O93" s="581"/>
      <c r="P93" s="581"/>
      <c r="Q93" s="581"/>
      <c r="R93" s="591">
        <f>SUM(R73:R92)</f>
        <v>6399754</v>
      </c>
      <c r="S93" s="581"/>
      <c r="T93" s="581"/>
      <c r="U93" s="581"/>
    </row>
    <row r="94" spans="1:21" ht="15">
      <c r="A94" s="507"/>
      <c r="B94" s="581"/>
      <c r="C94" s="581"/>
      <c r="D94" s="581"/>
      <c r="E94" s="581"/>
      <c r="F94" s="581"/>
      <c r="G94" s="581"/>
      <c r="H94" s="581"/>
      <c r="I94" s="581"/>
      <c r="J94" s="581"/>
      <c r="K94" s="581"/>
      <c r="L94" s="581"/>
      <c r="M94" s="581"/>
      <c r="N94" s="581"/>
      <c r="O94" s="581"/>
      <c r="P94" s="581"/>
      <c r="Q94" s="581"/>
      <c r="R94" s="592">
        <f>+E93-R93</f>
        <v>0</v>
      </c>
      <c r="S94" s="592" t="s">
        <v>851</v>
      </c>
      <c r="T94" s="581"/>
      <c r="U94" s="581"/>
    </row>
    <row r="95" spans="1:21" ht="15">
      <c r="A95" s="593">
        <v>3</v>
      </c>
      <c r="B95" s="581"/>
      <c r="C95" s="551" t="s">
        <v>852</v>
      </c>
      <c r="D95" s="581"/>
      <c r="E95" s="581"/>
      <c r="F95" s="581"/>
      <c r="G95" s="581"/>
      <c r="H95" s="581"/>
      <c r="I95" s="581"/>
      <c r="J95" s="581"/>
      <c r="K95" s="581"/>
      <c r="L95" s="590">
        <f>L93</f>
        <v>1347262.1503526215</v>
      </c>
      <c r="M95" s="581"/>
      <c r="N95" s="581"/>
      <c r="O95" s="581"/>
      <c r="P95" s="581"/>
      <c r="Q95" s="581"/>
      <c r="R95" s="581"/>
      <c r="S95" s="581"/>
      <c r="T95" s="581"/>
      <c r="U95" s="581"/>
    </row>
    <row r="96" spans="1:21">
      <c r="A96" s="581"/>
      <c r="B96" s="581"/>
      <c r="C96" s="581"/>
      <c r="D96" s="581"/>
      <c r="E96" s="581"/>
      <c r="F96" s="581"/>
      <c r="G96" s="581"/>
      <c r="H96" s="581"/>
      <c r="I96" s="581"/>
      <c r="J96" s="581"/>
      <c r="K96" s="581"/>
      <c r="L96" s="581"/>
      <c r="M96" s="581"/>
      <c r="N96" s="581"/>
      <c r="O96" s="581"/>
      <c r="P96" s="581"/>
      <c r="Q96" s="581"/>
      <c r="R96" s="581"/>
      <c r="S96" s="581"/>
      <c r="T96" s="581"/>
      <c r="U96" s="581"/>
    </row>
    <row r="97" spans="1:21">
      <c r="A97" s="581"/>
      <c r="B97" s="581"/>
      <c r="C97" s="581"/>
      <c r="D97" s="581"/>
      <c r="E97" s="581"/>
      <c r="F97" s="581"/>
      <c r="G97" s="581"/>
      <c r="H97" s="581"/>
      <c r="I97" s="581"/>
      <c r="J97" s="581"/>
      <c r="K97" s="581"/>
      <c r="L97" s="581"/>
      <c r="M97" s="581"/>
      <c r="N97" s="581"/>
      <c r="O97" s="581"/>
      <c r="P97" s="581"/>
      <c r="Q97" s="581"/>
      <c r="R97" s="581"/>
      <c r="S97" s="581"/>
      <c r="T97" s="581"/>
      <c r="U97" s="581"/>
    </row>
    <row r="98" spans="1:21" ht="15">
      <c r="A98" s="551" t="s">
        <v>141</v>
      </c>
      <c r="B98" s="581"/>
      <c r="C98" s="581"/>
      <c r="D98" s="581"/>
      <c r="E98" s="581"/>
      <c r="F98" s="581"/>
      <c r="G98" s="581"/>
      <c r="H98" s="581"/>
      <c r="I98" s="581"/>
      <c r="J98" s="581"/>
      <c r="K98" s="581"/>
      <c r="L98" s="581"/>
      <c r="M98" s="581"/>
      <c r="N98" s="581"/>
      <c r="O98" s="581"/>
      <c r="P98" s="581"/>
      <c r="Q98" s="581"/>
      <c r="R98" s="581"/>
      <c r="S98" s="581"/>
      <c r="T98" s="581"/>
      <c r="U98" s="581"/>
    </row>
    <row r="99" spans="1:21" ht="15.75" thickBot="1">
      <c r="A99" s="594" t="s">
        <v>142</v>
      </c>
      <c r="B99" s="581"/>
      <c r="C99" s="581"/>
      <c r="D99" s="581"/>
      <c r="E99" s="581"/>
      <c r="F99" s="581"/>
      <c r="G99" s="581"/>
      <c r="H99" s="581"/>
      <c r="I99" s="581"/>
      <c r="J99" s="581"/>
      <c r="K99" s="581"/>
      <c r="L99" s="581"/>
      <c r="M99" s="581"/>
      <c r="N99" s="581"/>
      <c r="O99" s="581"/>
      <c r="P99" s="581"/>
      <c r="Q99" s="581"/>
      <c r="R99" s="581"/>
      <c r="S99" s="581"/>
      <c r="T99" s="581"/>
      <c r="U99" s="581"/>
    </row>
    <row r="100" spans="1:21" ht="15">
      <c r="A100" s="595" t="s">
        <v>143</v>
      </c>
      <c r="B100" s="596"/>
      <c r="C100" s="660" t="s">
        <v>853</v>
      </c>
      <c r="D100" s="660"/>
      <c r="E100" s="660"/>
      <c r="F100" s="660"/>
      <c r="G100" s="660"/>
      <c r="H100" s="660"/>
      <c r="I100" s="660"/>
      <c r="J100" s="660"/>
      <c r="K100" s="660"/>
      <c r="L100" s="660"/>
      <c r="M100" s="660"/>
      <c r="N100" s="660"/>
      <c r="O100" s="581"/>
      <c r="P100" s="581"/>
      <c r="Q100" s="581"/>
      <c r="R100" s="581"/>
      <c r="S100" s="581"/>
      <c r="T100" s="581"/>
      <c r="U100" s="581"/>
    </row>
    <row r="101" spans="1:21" ht="15">
      <c r="A101" s="595" t="s">
        <v>144</v>
      </c>
      <c r="B101" s="596"/>
      <c r="C101" s="660" t="s">
        <v>854</v>
      </c>
      <c r="D101" s="660"/>
      <c r="E101" s="660"/>
      <c r="F101" s="660"/>
      <c r="G101" s="660"/>
      <c r="H101" s="660"/>
      <c r="I101" s="660"/>
      <c r="J101" s="660"/>
      <c r="K101" s="660"/>
      <c r="L101" s="660"/>
      <c r="M101" s="660"/>
      <c r="N101" s="660"/>
      <c r="O101" s="581"/>
      <c r="P101" s="581"/>
      <c r="Q101" s="581"/>
      <c r="R101" s="581"/>
      <c r="S101" s="581"/>
      <c r="T101" s="581"/>
      <c r="U101" s="581"/>
    </row>
    <row r="102" spans="1:21" ht="15">
      <c r="A102" s="595" t="s">
        <v>145</v>
      </c>
      <c r="B102" s="596"/>
      <c r="C102" s="660" t="s">
        <v>855</v>
      </c>
      <c r="D102" s="660"/>
      <c r="E102" s="660"/>
      <c r="F102" s="660"/>
      <c r="G102" s="660"/>
      <c r="H102" s="660"/>
      <c r="I102" s="660"/>
      <c r="J102" s="660"/>
      <c r="K102" s="660"/>
      <c r="L102" s="660"/>
      <c r="M102" s="660"/>
      <c r="N102" s="660"/>
      <c r="O102" s="581"/>
      <c r="P102" s="581"/>
      <c r="Q102" s="581"/>
      <c r="R102" s="581"/>
      <c r="S102" s="581"/>
      <c r="T102" s="581"/>
      <c r="U102" s="581"/>
    </row>
    <row r="103" spans="1:21" ht="15">
      <c r="A103" s="595" t="s">
        <v>146</v>
      </c>
      <c r="B103" s="596"/>
      <c r="C103" s="659" t="s">
        <v>856</v>
      </c>
      <c r="D103" s="659"/>
      <c r="E103" s="659"/>
      <c r="F103" s="659"/>
      <c r="G103" s="659"/>
      <c r="H103" s="659"/>
      <c r="I103" s="659"/>
      <c r="J103" s="659"/>
      <c r="K103" s="659"/>
      <c r="L103" s="659"/>
      <c r="M103" s="659"/>
      <c r="N103" s="659"/>
      <c r="O103" s="581"/>
      <c r="P103" s="581"/>
      <c r="Q103" s="581"/>
      <c r="R103" s="581"/>
      <c r="S103" s="581"/>
      <c r="T103" s="581"/>
      <c r="U103" s="581"/>
    </row>
    <row r="104" spans="1:21" ht="15">
      <c r="A104" s="595" t="s">
        <v>147</v>
      </c>
      <c r="B104" s="596"/>
      <c r="C104" s="659" t="s">
        <v>857</v>
      </c>
      <c r="D104" s="659"/>
      <c r="E104" s="659"/>
      <c r="F104" s="659"/>
      <c r="G104" s="659"/>
      <c r="H104" s="659"/>
      <c r="I104" s="659"/>
      <c r="J104" s="659"/>
      <c r="K104" s="659"/>
      <c r="L104" s="659"/>
      <c r="M104" s="659"/>
      <c r="N104" s="659"/>
      <c r="O104" s="581"/>
      <c r="P104" s="581"/>
      <c r="Q104" s="581"/>
      <c r="R104" s="581"/>
      <c r="S104" s="581"/>
      <c r="T104" s="581"/>
      <c r="U104" s="581"/>
    </row>
    <row r="105" spans="1:21" ht="15">
      <c r="A105" s="595" t="s">
        <v>148</v>
      </c>
      <c r="B105" s="596"/>
      <c r="C105" s="659" t="s">
        <v>858</v>
      </c>
      <c r="D105" s="659"/>
      <c r="E105" s="659"/>
      <c r="F105" s="659"/>
      <c r="G105" s="659"/>
      <c r="H105" s="659"/>
      <c r="I105" s="659"/>
      <c r="J105" s="659"/>
      <c r="K105" s="659"/>
      <c r="L105" s="659"/>
      <c r="M105" s="659"/>
      <c r="N105" s="659"/>
      <c r="O105" s="581"/>
      <c r="P105" s="581"/>
      <c r="Q105" s="581"/>
      <c r="R105" s="581"/>
      <c r="S105" s="581"/>
      <c r="T105" s="581"/>
      <c r="U105" s="581"/>
    </row>
    <row r="106" spans="1:21" ht="15">
      <c r="A106" s="595" t="s">
        <v>149</v>
      </c>
      <c r="B106" s="596"/>
      <c r="C106" s="659" t="s">
        <v>859</v>
      </c>
      <c r="D106" s="659"/>
      <c r="E106" s="659"/>
      <c r="F106" s="659"/>
      <c r="G106" s="659"/>
      <c r="H106" s="659"/>
      <c r="I106" s="659"/>
      <c r="J106" s="659"/>
      <c r="K106" s="659"/>
      <c r="L106" s="659"/>
      <c r="M106" s="659"/>
      <c r="N106" s="659"/>
      <c r="O106" s="581"/>
      <c r="P106" s="581"/>
      <c r="Q106" s="581"/>
      <c r="R106" s="581"/>
      <c r="S106" s="581"/>
      <c r="T106" s="581"/>
      <c r="U106" s="581"/>
    </row>
    <row r="107" spans="1:21" ht="15">
      <c r="A107" s="595" t="s">
        <v>150</v>
      </c>
      <c r="B107" s="507"/>
      <c r="C107" s="659" t="s">
        <v>860</v>
      </c>
      <c r="D107" s="659"/>
      <c r="E107" s="659"/>
      <c r="F107" s="659"/>
      <c r="G107" s="659"/>
      <c r="H107" s="659"/>
      <c r="I107" s="659"/>
      <c r="J107" s="659"/>
      <c r="K107" s="659"/>
      <c r="L107" s="659"/>
      <c r="M107" s="659"/>
      <c r="N107" s="659"/>
      <c r="O107" s="581"/>
      <c r="P107" s="581"/>
      <c r="Q107" s="581"/>
      <c r="R107" s="581"/>
      <c r="S107" s="581"/>
      <c r="T107" s="581"/>
      <c r="U107" s="581"/>
    </row>
    <row r="108" spans="1:21">
      <c r="A108" s="597"/>
      <c r="B108" s="581"/>
      <c r="C108" s="581"/>
      <c r="D108" s="581"/>
      <c r="E108" s="581"/>
      <c r="F108" s="581"/>
      <c r="G108" s="581"/>
      <c r="H108" s="581"/>
      <c r="I108" s="581"/>
      <c r="J108" s="581"/>
      <c r="K108" s="581"/>
      <c r="L108" s="581"/>
      <c r="M108" s="581"/>
      <c r="N108" s="581"/>
      <c r="O108" s="581"/>
      <c r="P108" s="581"/>
      <c r="Q108" s="581"/>
      <c r="R108" s="581"/>
      <c r="S108" s="581"/>
      <c r="T108" s="581"/>
      <c r="U108" s="581"/>
    </row>
    <row r="109" spans="1:21" ht="15.75">
      <c r="A109" s="552"/>
      <c r="B109" s="598"/>
      <c r="C109" s="599"/>
      <c r="D109" s="535"/>
      <c r="E109" s="536"/>
      <c r="F109" s="536"/>
      <c r="G109" s="508"/>
      <c r="H109" s="551"/>
      <c r="I109" s="551"/>
      <c r="J109" s="530"/>
      <c r="K109" s="551"/>
      <c r="M109" s="508"/>
      <c r="N109" s="553"/>
      <c r="O109" s="581"/>
      <c r="P109" s="581"/>
      <c r="Q109" s="581"/>
      <c r="R109" s="581"/>
      <c r="S109" s="581"/>
      <c r="T109" s="581"/>
      <c r="U109" s="581"/>
    </row>
    <row r="110" spans="1:21" ht="15.75">
      <c r="A110" s="552"/>
      <c r="B110" s="598"/>
      <c r="C110" s="599"/>
      <c r="D110" s="535"/>
      <c r="E110" s="536"/>
      <c r="F110" s="536"/>
      <c r="G110" s="508"/>
      <c r="H110" s="551"/>
      <c r="I110" s="551"/>
      <c r="J110" s="530"/>
      <c r="K110" s="551"/>
      <c r="M110" s="508"/>
      <c r="N110" s="532"/>
      <c r="O110" s="581"/>
      <c r="P110" s="581"/>
      <c r="Q110" s="581"/>
      <c r="R110" s="581"/>
      <c r="S110" s="581"/>
      <c r="T110" s="581"/>
      <c r="U110" s="581"/>
    </row>
    <row r="111" spans="1:21">
      <c r="C111" s="581"/>
      <c r="D111" s="581"/>
      <c r="E111" s="581"/>
      <c r="F111" s="581"/>
      <c r="G111" s="581"/>
      <c r="H111" s="581"/>
      <c r="I111" s="581"/>
      <c r="J111" s="581"/>
      <c r="K111" s="581"/>
      <c r="L111" s="581"/>
      <c r="M111" s="581"/>
      <c r="N111" s="581"/>
      <c r="O111" s="581"/>
      <c r="P111" s="581"/>
      <c r="Q111" s="581"/>
      <c r="R111" s="581"/>
      <c r="S111" s="581"/>
      <c r="T111" s="581"/>
      <c r="U111" s="581"/>
    </row>
    <row r="112" spans="1:21">
      <c r="C112" s="581"/>
      <c r="D112" s="581"/>
      <c r="E112" s="581"/>
      <c r="F112" s="581"/>
      <c r="G112" s="581"/>
      <c r="H112" s="581"/>
      <c r="I112" s="581"/>
      <c r="J112" s="581"/>
      <c r="K112" s="581"/>
      <c r="L112" s="581"/>
      <c r="M112" s="581"/>
      <c r="N112" s="581"/>
      <c r="O112" s="581"/>
      <c r="P112" s="581"/>
      <c r="Q112" s="581"/>
      <c r="R112" s="581"/>
      <c r="S112" s="581"/>
      <c r="T112" s="581"/>
      <c r="U112" s="581"/>
    </row>
    <row r="113" spans="3:21">
      <c r="C113" s="581"/>
      <c r="D113" s="581"/>
      <c r="E113" s="581"/>
      <c r="F113" s="581"/>
      <c r="G113" s="581"/>
      <c r="H113" s="581"/>
      <c r="I113" s="581"/>
      <c r="J113" s="581"/>
      <c r="K113" s="581"/>
      <c r="L113" s="581"/>
      <c r="M113" s="581"/>
      <c r="N113" s="581"/>
      <c r="O113" s="581"/>
      <c r="P113" s="581"/>
      <c r="Q113" s="581"/>
      <c r="R113" s="581"/>
      <c r="S113" s="581"/>
      <c r="T113" s="581"/>
      <c r="U113" s="581"/>
    </row>
    <row r="114" spans="3:21">
      <c r="C114" s="581"/>
      <c r="D114" s="581"/>
      <c r="E114" s="581"/>
      <c r="F114" s="581"/>
      <c r="G114" s="581"/>
      <c r="H114" s="581"/>
      <c r="I114" s="581"/>
      <c r="J114" s="581"/>
      <c r="K114" s="581"/>
      <c r="L114" s="581"/>
      <c r="M114" s="581"/>
      <c r="N114" s="581"/>
      <c r="O114" s="581"/>
      <c r="P114" s="581"/>
      <c r="Q114" s="581"/>
      <c r="R114" s="581"/>
      <c r="S114" s="581"/>
      <c r="T114" s="581"/>
      <c r="U114" s="581"/>
    </row>
    <row r="115" spans="3:21">
      <c r="C115" s="581"/>
      <c r="D115" s="581"/>
      <c r="E115" s="581"/>
      <c r="F115" s="581"/>
      <c r="G115" s="581"/>
      <c r="H115" s="581"/>
      <c r="I115" s="581"/>
      <c r="J115" s="581"/>
      <c r="K115" s="581"/>
      <c r="L115" s="581"/>
      <c r="M115" s="581"/>
      <c r="N115" s="581"/>
      <c r="O115" s="581"/>
      <c r="P115" s="581"/>
      <c r="Q115" s="581"/>
      <c r="R115" s="581"/>
      <c r="S115" s="581"/>
      <c r="T115" s="581"/>
      <c r="U115" s="581"/>
    </row>
    <row r="116" spans="3:21">
      <c r="C116" s="581"/>
      <c r="D116" s="581"/>
      <c r="E116" s="581"/>
      <c r="F116" s="581"/>
      <c r="G116" s="581"/>
      <c r="H116" s="581"/>
      <c r="I116" s="581"/>
      <c r="J116" s="581"/>
      <c r="K116" s="581"/>
      <c r="L116" s="581"/>
      <c r="M116" s="581"/>
      <c r="N116" s="581"/>
      <c r="O116" s="581"/>
      <c r="P116" s="581"/>
      <c r="Q116" s="581"/>
      <c r="R116" s="581"/>
      <c r="S116" s="581"/>
      <c r="T116" s="581"/>
      <c r="U116" s="581"/>
    </row>
    <row r="117" spans="3:21">
      <c r="C117" s="581"/>
      <c r="D117" s="581"/>
      <c r="E117" s="581"/>
      <c r="F117" s="581"/>
      <c r="G117" s="581"/>
      <c r="H117" s="581"/>
      <c r="I117" s="581"/>
      <c r="J117" s="581"/>
      <c r="K117" s="581"/>
      <c r="L117" s="581"/>
      <c r="M117" s="581"/>
      <c r="N117" s="581"/>
      <c r="O117" s="581"/>
      <c r="P117" s="581"/>
      <c r="Q117" s="581"/>
      <c r="R117" s="581"/>
      <c r="S117" s="581"/>
      <c r="T117" s="581"/>
      <c r="U117" s="581"/>
    </row>
    <row r="118" spans="3:21">
      <c r="C118" s="581"/>
      <c r="D118" s="581"/>
      <c r="E118" s="581"/>
      <c r="F118" s="581"/>
      <c r="G118" s="581"/>
      <c r="H118" s="581"/>
      <c r="I118" s="581"/>
      <c r="J118" s="581"/>
      <c r="K118" s="581"/>
      <c r="L118" s="581"/>
      <c r="M118" s="581"/>
      <c r="N118" s="581"/>
      <c r="O118" s="581"/>
      <c r="P118" s="581"/>
      <c r="Q118" s="581"/>
      <c r="R118" s="581"/>
      <c r="S118" s="581"/>
      <c r="T118" s="581"/>
      <c r="U118" s="581"/>
    </row>
    <row r="119" spans="3:21">
      <c r="C119" s="581"/>
      <c r="D119" s="581"/>
      <c r="E119" s="581"/>
      <c r="F119" s="581"/>
      <c r="G119" s="581"/>
      <c r="H119" s="581"/>
      <c r="I119" s="581"/>
      <c r="J119" s="581"/>
      <c r="K119" s="581"/>
      <c r="L119" s="581"/>
      <c r="M119" s="581"/>
      <c r="N119" s="581"/>
      <c r="O119" s="581"/>
      <c r="P119" s="581"/>
      <c r="Q119" s="581"/>
      <c r="R119" s="581"/>
      <c r="S119" s="581"/>
      <c r="T119" s="581"/>
      <c r="U119" s="581"/>
    </row>
    <row r="120" spans="3:21">
      <c r="C120" s="581"/>
      <c r="D120" s="581"/>
      <c r="E120" s="581"/>
      <c r="F120" s="581"/>
      <c r="G120" s="581"/>
      <c r="H120" s="581"/>
      <c r="I120" s="581"/>
      <c r="J120" s="581"/>
      <c r="K120" s="581"/>
      <c r="L120" s="581"/>
      <c r="M120" s="581"/>
      <c r="N120" s="581"/>
      <c r="O120" s="581"/>
      <c r="P120" s="581"/>
      <c r="Q120" s="581"/>
      <c r="R120" s="581"/>
      <c r="S120" s="581"/>
      <c r="T120" s="581"/>
      <c r="U120" s="581"/>
    </row>
    <row r="121" spans="3:21">
      <c r="C121" s="581"/>
      <c r="D121" s="581"/>
      <c r="E121" s="581"/>
      <c r="F121" s="581"/>
      <c r="G121" s="581"/>
      <c r="H121" s="581"/>
      <c r="I121" s="581"/>
      <c r="J121" s="581"/>
      <c r="K121" s="581"/>
      <c r="L121" s="581"/>
      <c r="M121" s="581"/>
      <c r="N121" s="581"/>
      <c r="O121" s="581"/>
      <c r="P121" s="581"/>
      <c r="Q121" s="581"/>
      <c r="R121" s="581"/>
      <c r="S121" s="581"/>
      <c r="T121" s="581"/>
      <c r="U121" s="581"/>
    </row>
    <row r="122" spans="3:21">
      <c r="C122" s="581"/>
      <c r="D122" s="581"/>
      <c r="E122" s="581"/>
      <c r="F122" s="581"/>
      <c r="G122" s="581"/>
      <c r="H122" s="581"/>
      <c r="I122" s="581"/>
      <c r="J122" s="581"/>
      <c r="K122" s="581"/>
      <c r="L122" s="581"/>
      <c r="M122" s="581"/>
      <c r="N122" s="581"/>
      <c r="O122" s="581"/>
      <c r="P122" s="581"/>
      <c r="Q122" s="581"/>
      <c r="R122" s="581"/>
      <c r="S122" s="581"/>
      <c r="T122" s="581"/>
      <c r="U122" s="581"/>
    </row>
    <row r="123" spans="3:21">
      <c r="C123" s="581"/>
      <c r="D123" s="581"/>
      <c r="E123" s="581"/>
      <c r="F123" s="581"/>
      <c r="G123" s="581"/>
      <c r="H123" s="581"/>
      <c r="I123" s="581"/>
      <c r="J123" s="581"/>
      <c r="K123" s="581"/>
      <c r="L123" s="581"/>
      <c r="M123" s="581"/>
      <c r="N123" s="581"/>
      <c r="O123" s="581"/>
      <c r="P123" s="581"/>
      <c r="Q123" s="581"/>
      <c r="R123" s="581"/>
      <c r="S123" s="581"/>
      <c r="T123" s="581"/>
      <c r="U123" s="581"/>
    </row>
    <row r="124" spans="3:21">
      <c r="C124" s="581"/>
      <c r="D124" s="581"/>
      <c r="E124" s="581"/>
      <c r="F124" s="581"/>
      <c r="G124" s="581"/>
      <c r="H124" s="581"/>
      <c r="I124" s="581"/>
      <c r="J124" s="581"/>
      <c r="K124" s="581"/>
      <c r="L124" s="581"/>
      <c r="M124" s="581"/>
      <c r="N124" s="581"/>
      <c r="O124" s="581"/>
      <c r="P124" s="581"/>
      <c r="Q124" s="581"/>
      <c r="R124" s="581"/>
      <c r="S124" s="581"/>
      <c r="T124" s="581"/>
      <c r="U124" s="581"/>
    </row>
    <row r="125" spans="3:21">
      <c r="C125" s="581"/>
      <c r="D125" s="581"/>
      <c r="E125" s="581"/>
      <c r="F125" s="581"/>
      <c r="G125" s="581"/>
      <c r="H125" s="581"/>
      <c r="I125" s="581"/>
      <c r="J125" s="581"/>
      <c r="K125" s="581"/>
      <c r="L125" s="581"/>
      <c r="M125" s="581"/>
      <c r="N125" s="581"/>
      <c r="O125" s="581"/>
      <c r="P125" s="581"/>
      <c r="Q125" s="581"/>
      <c r="R125" s="581"/>
      <c r="S125" s="581"/>
      <c r="T125" s="581"/>
      <c r="U125" s="581"/>
    </row>
    <row r="126" spans="3:21">
      <c r="C126" s="581"/>
      <c r="D126" s="581"/>
      <c r="E126" s="581"/>
      <c r="F126" s="581"/>
      <c r="G126" s="581"/>
      <c r="H126" s="581"/>
      <c r="I126" s="581"/>
      <c r="J126" s="581"/>
      <c r="K126" s="581"/>
      <c r="L126" s="581"/>
      <c r="M126" s="581"/>
      <c r="N126" s="581"/>
      <c r="O126" s="581"/>
      <c r="P126" s="581"/>
      <c r="Q126" s="581"/>
      <c r="R126" s="581"/>
      <c r="S126" s="581"/>
      <c r="T126" s="581"/>
      <c r="U126" s="581"/>
    </row>
    <row r="127" spans="3:21">
      <c r="C127" s="581"/>
      <c r="D127" s="581"/>
      <c r="E127" s="581"/>
      <c r="F127" s="581"/>
      <c r="G127" s="581"/>
      <c r="H127" s="581"/>
      <c r="I127" s="581"/>
      <c r="J127" s="581"/>
      <c r="K127" s="581"/>
      <c r="L127" s="581"/>
      <c r="M127" s="581"/>
      <c r="N127" s="581"/>
      <c r="O127" s="581"/>
      <c r="P127" s="581"/>
      <c r="Q127" s="581"/>
      <c r="R127" s="581"/>
      <c r="S127" s="581"/>
      <c r="T127" s="581"/>
      <c r="U127" s="581"/>
    </row>
    <row r="128" spans="3:21">
      <c r="C128" s="581"/>
      <c r="D128" s="581"/>
      <c r="E128" s="581"/>
      <c r="F128" s="581"/>
      <c r="G128" s="581"/>
      <c r="H128" s="581"/>
      <c r="I128" s="581"/>
      <c r="J128" s="581"/>
      <c r="K128" s="581"/>
      <c r="L128" s="581"/>
      <c r="M128" s="581"/>
      <c r="N128" s="581"/>
      <c r="O128" s="581"/>
      <c r="P128" s="581"/>
      <c r="Q128" s="581"/>
      <c r="R128" s="581"/>
      <c r="S128" s="581"/>
      <c r="T128" s="581"/>
      <c r="U128" s="581"/>
    </row>
    <row r="129" spans="3:21">
      <c r="C129" s="581"/>
      <c r="D129" s="581"/>
      <c r="E129" s="581"/>
      <c r="F129" s="581"/>
      <c r="G129" s="581"/>
      <c r="H129" s="581"/>
      <c r="I129" s="581"/>
      <c r="J129" s="581"/>
      <c r="K129" s="581"/>
      <c r="L129" s="581"/>
      <c r="M129" s="581"/>
      <c r="N129" s="581"/>
      <c r="O129" s="581"/>
      <c r="P129" s="581"/>
      <c r="Q129" s="581"/>
      <c r="R129" s="581"/>
      <c r="S129" s="581"/>
      <c r="T129" s="581"/>
      <c r="U129" s="581"/>
    </row>
    <row r="130" spans="3:21">
      <c r="C130" s="581"/>
      <c r="D130" s="581"/>
      <c r="E130" s="581"/>
      <c r="F130" s="581"/>
      <c r="G130" s="581"/>
      <c r="H130" s="581"/>
      <c r="I130" s="581"/>
      <c r="J130" s="581"/>
      <c r="K130" s="581"/>
      <c r="L130" s="581"/>
      <c r="M130" s="581"/>
      <c r="N130" s="581"/>
      <c r="O130" s="581"/>
      <c r="P130" s="581"/>
      <c r="Q130" s="581"/>
      <c r="R130" s="581"/>
      <c r="S130" s="581"/>
      <c r="T130" s="581"/>
      <c r="U130" s="581"/>
    </row>
    <row r="131" spans="3:21">
      <c r="C131" s="581"/>
      <c r="D131" s="581"/>
      <c r="E131" s="581"/>
      <c r="F131" s="581"/>
      <c r="G131" s="581"/>
      <c r="H131" s="581"/>
      <c r="I131" s="581"/>
      <c r="J131" s="581"/>
      <c r="K131" s="581"/>
      <c r="L131" s="581"/>
      <c r="M131" s="581"/>
      <c r="N131" s="581"/>
      <c r="O131" s="581"/>
      <c r="P131" s="581"/>
      <c r="Q131" s="581"/>
      <c r="R131" s="581"/>
      <c r="S131" s="581"/>
      <c r="T131" s="581"/>
      <c r="U131" s="581"/>
    </row>
    <row r="132" spans="3:21">
      <c r="C132" s="581"/>
      <c r="D132" s="581"/>
      <c r="E132" s="581"/>
      <c r="F132" s="581"/>
      <c r="G132" s="581"/>
      <c r="H132" s="581"/>
      <c r="I132" s="581"/>
      <c r="J132" s="581"/>
      <c r="K132" s="581"/>
      <c r="L132" s="581"/>
      <c r="M132" s="581"/>
      <c r="N132" s="581"/>
      <c r="O132" s="581"/>
      <c r="P132" s="581"/>
      <c r="Q132" s="581"/>
      <c r="R132" s="581"/>
      <c r="S132" s="581"/>
      <c r="T132" s="581"/>
      <c r="U132" s="581"/>
    </row>
    <row r="133" spans="3:21">
      <c r="C133" s="581"/>
      <c r="D133" s="581"/>
      <c r="E133" s="581"/>
      <c r="F133" s="581"/>
      <c r="G133" s="581"/>
      <c r="H133" s="581"/>
      <c r="I133" s="581"/>
      <c r="J133" s="581"/>
      <c r="K133" s="581"/>
      <c r="L133" s="581"/>
      <c r="M133" s="581"/>
      <c r="N133" s="581"/>
      <c r="O133" s="581"/>
      <c r="P133" s="581"/>
      <c r="Q133" s="581"/>
      <c r="R133" s="581"/>
      <c r="S133" s="581"/>
      <c r="T133" s="581"/>
      <c r="U133" s="581"/>
    </row>
    <row r="134" spans="3:21">
      <c r="C134" s="581"/>
      <c r="D134" s="581"/>
      <c r="E134" s="581"/>
      <c r="F134" s="581"/>
      <c r="G134" s="581"/>
      <c r="H134" s="581"/>
      <c r="I134" s="581"/>
      <c r="J134" s="581"/>
      <c r="K134" s="581"/>
      <c r="L134" s="581"/>
      <c r="M134" s="581"/>
      <c r="N134" s="581"/>
      <c r="O134" s="581"/>
      <c r="P134" s="581"/>
      <c r="Q134" s="581"/>
      <c r="R134" s="581"/>
      <c r="S134" s="581"/>
      <c r="T134" s="581"/>
      <c r="U134" s="581"/>
    </row>
    <row r="135" spans="3:21">
      <c r="C135" s="581"/>
      <c r="D135" s="581"/>
      <c r="E135" s="581"/>
      <c r="F135" s="581"/>
      <c r="G135" s="581"/>
      <c r="H135" s="581"/>
      <c r="I135" s="581"/>
      <c r="J135" s="581"/>
      <c r="K135" s="581"/>
      <c r="L135" s="581"/>
      <c r="M135" s="581"/>
      <c r="N135" s="581"/>
      <c r="O135" s="581"/>
      <c r="P135" s="581"/>
      <c r="Q135" s="581"/>
      <c r="R135" s="581"/>
      <c r="S135" s="581"/>
      <c r="T135" s="581"/>
      <c r="U135" s="581"/>
    </row>
    <row r="136" spans="3:21">
      <c r="C136" s="581"/>
      <c r="D136" s="581"/>
      <c r="E136" s="581"/>
      <c r="F136" s="581"/>
      <c r="G136" s="581"/>
      <c r="H136" s="581"/>
      <c r="I136" s="581"/>
      <c r="J136" s="581"/>
      <c r="K136" s="581"/>
      <c r="L136" s="581"/>
      <c r="M136" s="581"/>
      <c r="N136" s="581"/>
      <c r="O136" s="581"/>
      <c r="P136" s="581"/>
      <c r="Q136" s="581"/>
      <c r="R136" s="581"/>
      <c r="S136" s="581"/>
      <c r="T136" s="581"/>
      <c r="U136" s="581"/>
    </row>
    <row r="137" spans="3:21">
      <c r="C137" s="581"/>
      <c r="D137" s="581"/>
      <c r="E137" s="581"/>
      <c r="F137" s="581"/>
      <c r="G137" s="581"/>
      <c r="H137" s="581"/>
      <c r="I137" s="581"/>
      <c r="J137" s="581"/>
      <c r="K137" s="581"/>
      <c r="L137" s="581"/>
      <c r="M137" s="581"/>
      <c r="N137" s="581"/>
      <c r="O137" s="581"/>
      <c r="P137" s="581"/>
      <c r="Q137" s="581"/>
      <c r="R137" s="581"/>
      <c r="S137" s="581"/>
      <c r="T137" s="581"/>
      <c r="U137" s="581"/>
    </row>
    <row r="138" spans="3:21">
      <c r="C138" s="581"/>
      <c r="D138" s="581"/>
      <c r="E138" s="581"/>
      <c r="F138" s="581"/>
      <c r="G138" s="581"/>
      <c r="H138" s="581"/>
      <c r="I138" s="581"/>
      <c r="J138" s="581"/>
      <c r="K138" s="581"/>
      <c r="L138" s="581"/>
      <c r="M138" s="581"/>
      <c r="N138" s="581"/>
      <c r="O138" s="581"/>
      <c r="P138" s="581"/>
      <c r="Q138" s="581"/>
      <c r="R138" s="581"/>
      <c r="S138" s="581"/>
      <c r="T138" s="581"/>
      <c r="U138" s="581"/>
    </row>
    <row r="139" spans="3:21">
      <c r="C139" s="581"/>
      <c r="D139" s="581"/>
      <c r="E139" s="581"/>
      <c r="F139" s="581"/>
      <c r="G139" s="581"/>
      <c r="H139" s="581"/>
      <c r="I139" s="581"/>
      <c r="J139" s="581"/>
      <c r="K139" s="581"/>
      <c r="L139" s="581"/>
      <c r="M139" s="581"/>
      <c r="N139" s="581"/>
      <c r="O139" s="581"/>
      <c r="P139" s="581"/>
      <c r="Q139" s="581"/>
      <c r="R139" s="581"/>
      <c r="S139" s="581"/>
      <c r="T139" s="581"/>
      <c r="U139" s="581"/>
    </row>
    <row r="140" spans="3:21">
      <c r="C140" s="581"/>
      <c r="D140" s="581"/>
      <c r="E140" s="581"/>
      <c r="F140" s="581"/>
      <c r="G140" s="581"/>
      <c r="H140" s="581"/>
      <c r="I140" s="581"/>
      <c r="J140" s="581"/>
      <c r="K140" s="581"/>
      <c r="L140" s="581"/>
      <c r="M140" s="581"/>
      <c r="N140" s="581"/>
      <c r="O140" s="581"/>
      <c r="P140" s="581"/>
      <c r="Q140" s="581"/>
      <c r="R140" s="581"/>
      <c r="S140" s="581"/>
      <c r="T140" s="581"/>
      <c r="U140" s="581"/>
    </row>
    <row r="141" spans="3:21">
      <c r="C141" s="581"/>
      <c r="D141" s="581"/>
      <c r="E141" s="581"/>
      <c r="F141" s="581"/>
      <c r="G141" s="581"/>
      <c r="H141" s="581"/>
      <c r="I141" s="581"/>
      <c r="J141" s="581"/>
      <c r="K141" s="581"/>
      <c r="L141" s="581"/>
      <c r="M141" s="581"/>
      <c r="N141" s="581"/>
      <c r="O141" s="581"/>
      <c r="P141" s="581"/>
      <c r="Q141" s="581"/>
      <c r="R141" s="581"/>
      <c r="S141" s="581"/>
      <c r="T141" s="581"/>
      <c r="U141" s="581"/>
    </row>
    <row r="142" spans="3:21">
      <c r="C142" s="581"/>
      <c r="D142" s="581"/>
      <c r="E142" s="581"/>
      <c r="F142" s="581"/>
      <c r="G142" s="581"/>
      <c r="H142" s="581"/>
      <c r="I142" s="581"/>
      <c r="J142" s="581"/>
      <c r="K142" s="581"/>
      <c r="L142" s="581"/>
      <c r="M142" s="581"/>
      <c r="N142" s="581"/>
      <c r="O142" s="581"/>
      <c r="P142" s="581"/>
      <c r="Q142" s="581"/>
      <c r="R142" s="581"/>
      <c r="S142" s="581"/>
      <c r="T142" s="581"/>
      <c r="U142" s="581"/>
    </row>
    <row r="143" spans="3:21">
      <c r="C143" s="581"/>
      <c r="D143" s="581"/>
      <c r="E143" s="581"/>
      <c r="F143" s="581"/>
      <c r="G143" s="581"/>
      <c r="H143" s="581"/>
      <c r="I143" s="581"/>
      <c r="J143" s="581"/>
      <c r="K143" s="581"/>
      <c r="L143" s="581"/>
      <c r="M143" s="581"/>
      <c r="N143" s="581"/>
      <c r="O143" s="581"/>
      <c r="P143" s="581"/>
      <c r="Q143" s="581"/>
      <c r="R143" s="581"/>
      <c r="S143" s="581"/>
      <c r="T143" s="581"/>
      <c r="U143" s="581"/>
    </row>
    <row r="144" spans="3:21">
      <c r="C144" s="581"/>
      <c r="D144" s="581"/>
      <c r="E144" s="581"/>
      <c r="F144" s="581"/>
      <c r="G144" s="581"/>
      <c r="H144" s="581"/>
      <c r="I144" s="581"/>
      <c r="J144" s="581"/>
      <c r="K144" s="581"/>
      <c r="L144" s="581"/>
      <c r="M144" s="581"/>
      <c r="N144" s="581"/>
      <c r="O144" s="581"/>
      <c r="P144" s="581"/>
      <c r="Q144" s="581"/>
      <c r="R144" s="581"/>
      <c r="S144" s="581"/>
      <c r="T144" s="581"/>
      <c r="U144" s="581"/>
    </row>
    <row r="145" spans="3:21">
      <c r="C145" s="581"/>
      <c r="D145" s="581"/>
      <c r="E145" s="581"/>
      <c r="F145" s="581"/>
      <c r="G145" s="581"/>
      <c r="H145" s="581"/>
      <c r="I145" s="581"/>
      <c r="J145" s="581"/>
      <c r="K145" s="581"/>
      <c r="L145" s="581"/>
      <c r="M145" s="581"/>
      <c r="N145" s="581"/>
      <c r="O145" s="581"/>
      <c r="P145" s="581"/>
      <c r="Q145" s="581"/>
      <c r="R145" s="581"/>
      <c r="S145" s="581"/>
      <c r="T145" s="581"/>
      <c r="U145" s="581"/>
    </row>
    <row r="146" spans="3:21">
      <c r="C146" s="581"/>
      <c r="D146" s="581"/>
      <c r="E146" s="581"/>
      <c r="F146" s="581"/>
      <c r="G146" s="581"/>
      <c r="H146" s="581"/>
      <c r="I146" s="581"/>
      <c r="J146" s="581"/>
      <c r="K146" s="581"/>
      <c r="L146" s="581"/>
      <c r="M146" s="581"/>
      <c r="N146" s="581"/>
      <c r="O146" s="581"/>
      <c r="P146" s="581"/>
      <c r="Q146" s="581"/>
      <c r="R146" s="581"/>
      <c r="S146" s="581"/>
      <c r="T146" s="581"/>
      <c r="U146" s="581"/>
    </row>
    <row r="147" spans="3:21">
      <c r="C147" s="581"/>
      <c r="D147" s="581"/>
      <c r="E147" s="581"/>
      <c r="F147" s="581"/>
      <c r="G147" s="581"/>
      <c r="H147" s="581"/>
      <c r="I147" s="581"/>
      <c r="J147" s="581"/>
      <c r="K147" s="581"/>
      <c r="L147" s="581"/>
      <c r="M147" s="581"/>
      <c r="N147" s="581"/>
      <c r="O147" s="581"/>
      <c r="P147" s="581"/>
      <c r="Q147" s="581"/>
      <c r="R147" s="581"/>
      <c r="S147" s="581"/>
      <c r="T147" s="581"/>
      <c r="U147" s="581"/>
    </row>
    <row r="148" spans="3:21">
      <c r="C148" s="581"/>
      <c r="D148" s="581"/>
      <c r="E148" s="581"/>
      <c r="F148" s="581"/>
      <c r="G148" s="581"/>
      <c r="H148" s="581"/>
      <c r="I148" s="581"/>
      <c r="J148" s="581"/>
      <c r="K148" s="581"/>
      <c r="L148" s="581"/>
      <c r="M148" s="581"/>
      <c r="N148" s="581"/>
      <c r="O148" s="581"/>
      <c r="P148" s="581"/>
      <c r="Q148" s="581"/>
      <c r="R148" s="581"/>
      <c r="S148" s="581"/>
      <c r="T148" s="581"/>
      <c r="U148" s="581"/>
    </row>
    <row r="149" spans="3:21">
      <c r="C149" s="581"/>
      <c r="D149" s="581"/>
      <c r="E149" s="581"/>
      <c r="F149" s="581"/>
      <c r="G149" s="581"/>
      <c r="H149" s="581"/>
      <c r="I149" s="581"/>
      <c r="J149" s="581"/>
      <c r="K149" s="581"/>
      <c r="L149" s="581"/>
      <c r="M149" s="581"/>
      <c r="N149" s="581"/>
      <c r="O149" s="581"/>
      <c r="P149" s="581"/>
      <c r="Q149" s="581"/>
      <c r="R149" s="581"/>
      <c r="S149" s="581"/>
      <c r="T149" s="581"/>
      <c r="U149" s="581"/>
    </row>
    <row r="150" spans="3:21">
      <c r="C150" s="581"/>
      <c r="D150" s="581"/>
      <c r="E150" s="581"/>
      <c r="F150" s="581"/>
      <c r="G150" s="581"/>
      <c r="H150" s="581"/>
      <c r="I150" s="581"/>
      <c r="J150" s="581"/>
      <c r="K150" s="581"/>
      <c r="L150" s="581"/>
      <c r="M150" s="581"/>
      <c r="N150" s="581"/>
      <c r="O150" s="581"/>
      <c r="P150" s="581"/>
      <c r="Q150" s="581"/>
      <c r="R150" s="581"/>
      <c r="S150" s="581"/>
      <c r="T150" s="581"/>
      <c r="U150" s="581"/>
    </row>
    <row r="151" spans="3:21">
      <c r="C151" s="581"/>
      <c r="D151" s="581"/>
      <c r="E151" s="581"/>
      <c r="F151" s="581"/>
      <c r="G151" s="581"/>
      <c r="H151" s="581"/>
      <c r="I151" s="581"/>
      <c r="J151" s="581"/>
      <c r="K151" s="581"/>
      <c r="L151" s="581"/>
      <c r="M151" s="581"/>
      <c r="N151" s="581"/>
      <c r="O151" s="581"/>
      <c r="P151" s="581"/>
      <c r="Q151" s="581"/>
      <c r="R151" s="581"/>
      <c r="S151" s="581"/>
      <c r="T151" s="581"/>
      <c r="U151" s="581"/>
    </row>
    <row r="152" spans="3:21">
      <c r="C152" s="581"/>
      <c r="D152" s="581"/>
      <c r="E152" s="581"/>
      <c r="F152" s="581"/>
      <c r="G152" s="581"/>
      <c r="H152" s="581"/>
      <c r="I152" s="581"/>
      <c r="J152" s="581"/>
      <c r="K152" s="581"/>
      <c r="L152" s="581"/>
      <c r="M152" s="581"/>
      <c r="N152" s="581"/>
      <c r="O152" s="581"/>
      <c r="P152" s="581"/>
      <c r="Q152" s="581"/>
      <c r="R152" s="581"/>
      <c r="S152" s="581"/>
      <c r="T152" s="581"/>
      <c r="U152" s="581"/>
    </row>
    <row r="153" spans="3:21">
      <c r="C153" s="581"/>
      <c r="D153" s="581"/>
      <c r="E153" s="581"/>
      <c r="F153" s="581"/>
      <c r="G153" s="581"/>
      <c r="H153" s="581"/>
      <c r="I153" s="581"/>
      <c r="J153" s="581"/>
      <c r="K153" s="581"/>
      <c r="L153" s="581"/>
      <c r="M153" s="581"/>
      <c r="N153" s="581"/>
      <c r="O153" s="581"/>
      <c r="P153" s="581"/>
      <c r="Q153" s="581"/>
      <c r="R153" s="581"/>
      <c r="S153" s="581"/>
      <c r="T153" s="581"/>
      <c r="U153" s="581"/>
    </row>
    <row r="154" spans="3:21">
      <c r="C154" s="581"/>
      <c r="D154" s="581"/>
      <c r="E154" s="581"/>
      <c r="F154" s="581"/>
      <c r="G154" s="581"/>
      <c r="H154" s="581"/>
      <c r="I154" s="581"/>
      <c r="J154" s="581"/>
      <c r="K154" s="581"/>
      <c r="L154" s="581"/>
      <c r="M154" s="581"/>
      <c r="N154" s="581"/>
      <c r="O154" s="581"/>
      <c r="P154" s="581"/>
      <c r="Q154" s="581"/>
      <c r="R154" s="581"/>
      <c r="S154" s="581"/>
      <c r="T154" s="581"/>
      <c r="U154" s="581"/>
    </row>
    <row r="155" spans="3:21">
      <c r="C155" s="581"/>
      <c r="D155" s="581"/>
      <c r="E155" s="581"/>
      <c r="F155" s="581"/>
      <c r="G155" s="581"/>
      <c r="H155" s="581"/>
      <c r="I155" s="581"/>
      <c r="J155" s="581"/>
      <c r="K155" s="581"/>
      <c r="L155" s="581"/>
      <c r="M155" s="581"/>
      <c r="N155" s="581"/>
      <c r="O155" s="581"/>
      <c r="P155" s="581"/>
      <c r="Q155" s="581"/>
      <c r="R155" s="581"/>
      <c r="S155" s="581"/>
      <c r="T155" s="581"/>
      <c r="U155" s="581"/>
    </row>
    <row r="156" spans="3:21">
      <c r="C156" s="581"/>
      <c r="D156" s="581"/>
      <c r="E156" s="581"/>
      <c r="F156" s="581"/>
      <c r="G156" s="581"/>
      <c r="H156" s="581"/>
      <c r="I156" s="581"/>
      <c r="J156" s="581"/>
      <c r="K156" s="581"/>
      <c r="L156" s="581"/>
      <c r="M156" s="581"/>
      <c r="N156" s="581"/>
      <c r="O156" s="581"/>
      <c r="P156" s="581"/>
      <c r="Q156" s="581"/>
      <c r="R156" s="581"/>
      <c r="S156" s="581"/>
      <c r="T156" s="581"/>
      <c r="U156" s="581"/>
    </row>
    <row r="157" spans="3:21">
      <c r="C157" s="581"/>
      <c r="D157" s="581"/>
      <c r="E157" s="581"/>
      <c r="F157" s="581"/>
      <c r="G157" s="581"/>
      <c r="H157" s="581"/>
      <c r="I157" s="581"/>
      <c r="J157" s="581"/>
      <c r="K157" s="581"/>
      <c r="L157" s="581"/>
      <c r="M157" s="581"/>
      <c r="N157" s="581"/>
      <c r="O157" s="581"/>
      <c r="P157" s="581"/>
      <c r="Q157" s="581"/>
      <c r="R157" s="581"/>
      <c r="S157" s="581"/>
      <c r="T157" s="581"/>
      <c r="U157" s="581"/>
    </row>
    <row r="158" spans="3:21">
      <c r="C158" s="581"/>
      <c r="D158" s="581"/>
      <c r="E158" s="581"/>
      <c r="F158" s="581"/>
      <c r="G158" s="581"/>
      <c r="H158" s="581"/>
      <c r="I158" s="581"/>
      <c r="J158" s="581"/>
      <c r="K158" s="581"/>
      <c r="L158" s="581"/>
      <c r="M158" s="581"/>
      <c r="N158" s="581"/>
      <c r="O158" s="581"/>
      <c r="P158" s="581"/>
      <c r="Q158" s="581"/>
      <c r="R158" s="581"/>
      <c r="S158" s="581"/>
      <c r="T158" s="581"/>
      <c r="U158" s="581"/>
    </row>
    <row r="159" spans="3:21">
      <c r="C159" s="581"/>
      <c r="D159" s="581"/>
      <c r="E159" s="581"/>
      <c r="F159" s="581"/>
      <c r="G159" s="581"/>
      <c r="H159" s="581"/>
      <c r="I159" s="581"/>
      <c r="J159" s="581"/>
      <c r="K159" s="581"/>
      <c r="L159" s="581"/>
      <c r="M159" s="581"/>
      <c r="N159" s="581"/>
      <c r="O159" s="581"/>
      <c r="P159" s="581"/>
      <c r="Q159" s="581"/>
      <c r="R159" s="581"/>
      <c r="S159" s="581"/>
      <c r="T159" s="581"/>
      <c r="U159" s="581"/>
    </row>
    <row r="160" spans="3:21">
      <c r="C160" s="581"/>
      <c r="D160" s="581"/>
      <c r="E160" s="581"/>
      <c r="F160" s="581"/>
      <c r="G160" s="581"/>
      <c r="H160" s="581"/>
      <c r="I160" s="581"/>
      <c r="J160" s="581"/>
      <c r="K160" s="581"/>
      <c r="L160" s="581"/>
      <c r="M160" s="581"/>
      <c r="N160" s="581"/>
      <c r="O160" s="581"/>
      <c r="P160" s="581"/>
      <c r="Q160" s="581"/>
      <c r="R160" s="581"/>
      <c r="S160" s="581"/>
      <c r="T160" s="581"/>
      <c r="U160" s="581"/>
    </row>
    <row r="161" spans="3:21">
      <c r="C161" s="581"/>
      <c r="D161" s="581"/>
      <c r="E161" s="581"/>
      <c r="F161" s="581"/>
      <c r="G161" s="581"/>
      <c r="H161" s="581"/>
      <c r="I161" s="581"/>
      <c r="J161" s="581"/>
      <c r="K161" s="581"/>
      <c r="L161" s="581"/>
      <c r="M161" s="581"/>
      <c r="N161" s="581"/>
      <c r="O161" s="581"/>
      <c r="P161" s="581"/>
      <c r="Q161" s="581"/>
      <c r="R161" s="581"/>
      <c r="S161" s="581"/>
      <c r="T161" s="581"/>
      <c r="U161" s="581"/>
    </row>
    <row r="162" spans="3:21">
      <c r="C162" s="581"/>
      <c r="D162" s="581"/>
      <c r="E162" s="581"/>
      <c r="F162" s="581"/>
      <c r="G162" s="581"/>
      <c r="H162" s="581"/>
      <c r="I162" s="581"/>
      <c r="J162" s="581"/>
      <c r="K162" s="581"/>
      <c r="L162" s="581"/>
      <c r="M162" s="581"/>
      <c r="N162" s="581"/>
      <c r="O162" s="581"/>
      <c r="P162" s="581"/>
      <c r="Q162" s="581"/>
      <c r="R162" s="581"/>
      <c r="S162" s="581"/>
      <c r="T162" s="581"/>
      <c r="U162" s="581"/>
    </row>
    <row r="163" spans="3:21">
      <c r="C163" s="581"/>
      <c r="D163" s="581"/>
      <c r="E163" s="581"/>
      <c r="F163" s="581"/>
      <c r="G163" s="581"/>
      <c r="H163" s="581"/>
      <c r="I163" s="581"/>
      <c r="J163" s="581"/>
      <c r="K163" s="581"/>
      <c r="L163" s="581"/>
      <c r="M163" s="581"/>
      <c r="N163" s="581"/>
      <c r="O163" s="581"/>
      <c r="P163" s="581"/>
      <c r="Q163" s="581"/>
      <c r="R163" s="581"/>
      <c r="S163" s="581"/>
      <c r="T163" s="581"/>
      <c r="U163" s="581"/>
    </row>
    <row r="164" spans="3:21">
      <c r="C164" s="581"/>
      <c r="D164" s="581"/>
      <c r="E164" s="581"/>
      <c r="F164" s="581"/>
      <c r="G164" s="581"/>
      <c r="H164" s="581"/>
      <c r="I164" s="581"/>
      <c r="J164" s="581"/>
      <c r="K164" s="581"/>
      <c r="L164" s="581"/>
      <c r="M164" s="581"/>
      <c r="N164" s="581"/>
      <c r="O164" s="581"/>
      <c r="P164" s="581"/>
      <c r="Q164" s="581"/>
      <c r="R164" s="581"/>
      <c r="S164" s="581"/>
      <c r="T164" s="581"/>
      <c r="U164" s="581"/>
    </row>
    <row r="165" spans="3:21">
      <c r="C165" s="581"/>
      <c r="D165" s="581"/>
      <c r="E165" s="581"/>
      <c r="F165" s="581"/>
      <c r="G165" s="581"/>
      <c r="H165" s="581"/>
      <c r="I165" s="581"/>
      <c r="J165" s="581"/>
      <c r="K165" s="581"/>
      <c r="L165" s="581"/>
      <c r="M165" s="581"/>
      <c r="N165" s="581"/>
      <c r="O165" s="581"/>
      <c r="P165" s="581"/>
      <c r="Q165" s="581"/>
      <c r="R165" s="581"/>
      <c r="S165" s="581"/>
      <c r="T165" s="581"/>
      <c r="U165" s="581"/>
    </row>
    <row r="166" spans="3:21">
      <c r="C166" s="581"/>
      <c r="D166" s="581"/>
      <c r="E166" s="581"/>
      <c r="F166" s="581"/>
      <c r="G166" s="581"/>
      <c r="H166" s="581"/>
      <c r="I166" s="581"/>
      <c r="J166" s="581"/>
      <c r="K166" s="581"/>
      <c r="L166" s="581"/>
      <c r="M166" s="581"/>
      <c r="N166" s="581"/>
      <c r="O166" s="581"/>
      <c r="P166" s="581"/>
      <c r="Q166" s="581"/>
      <c r="R166" s="581"/>
      <c r="S166" s="581"/>
      <c r="T166" s="581"/>
      <c r="U166" s="581"/>
    </row>
    <row r="167" spans="3:21">
      <c r="C167" s="581"/>
      <c r="D167" s="581"/>
      <c r="E167" s="581"/>
      <c r="F167" s="581"/>
      <c r="G167" s="581"/>
      <c r="H167" s="581"/>
      <c r="I167" s="581"/>
      <c r="J167" s="581"/>
      <c r="K167" s="581"/>
      <c r="L167" s="581"/>
      <c r="M167" s="581"/>
      <c r="N167" s="581"/>
      <c r="O167" s="581"/>
      <c r="P167" s="581"/>
      <c r="Q167" s="581"/>
      <c r="R167" s="581"/>
      <c r="S167" s="581"/>
      <c r="T167" s="581"/>
      <c r="U167" s="581"/>
    </row>
    <row r="168" spans="3:21">
      <c r="C168" s="581"/>
      <c r="D168" s="581"/>
      <c r="E168" s="581"/>
      <c r="F168" s="581"/>
      <c r="G168" s="581"/>
      <c r="H168" s="581"/>
      <c r="I168" s="581"/>
      <c r="J168" s="581"/>
      <c r="K168" s="581"/>
      <c r="L168" s="581"/>
      <c r="M168" s="581"/>
      <c r="N168" s="581"/>
      <c r="O168" s="581"/>
      <c r="P168" s="581"/>
      <c r="Q168" s="581"/>
      <c r="R168" s="581"/>
      <c r="S168" s="581"/>
      <c r="T168" s="581"/>
      <c r="U168" s="581"/>
    </row>
    <row r="169" spans="3:21">
      <c r="C169" s="581"/>
      <c r="D169" s="581"/>
      <c r="E169" s="581"/>
      <c r="F169" s="581"/>
      <c r="G169" s="581"/>
      <c r="H169" s="581"/>
      <c r="I169" s="581"/>
      <c r="J169" s="581"/>
      <c r="K169" s="581"/>
      <c r="L169" s="581"/>
      <c r="M169" s="581"/>
      <c r="N169" s="581"/>
      <c r="O169" s="581"/>
      <c r="P169" s="581"/>
      <c r="Q169" s="581"/>
      <c r="R169" s="581"/>
      <c r="S169" s="581"/>
      <c r="T169" s="581"/>
      <c r="U169" s="581"/>
    </row>
    <row r="170" spans="3:21">
      <c r="C170" s="581"/>
      <c r="D170" s="581"/>
      <c r="E170" s="581"/>
      <c r="F170" s="581"/>
      <c r="G170" s="581"/>
      <c r="H170" s="581"/>
      <c r="I170" s="581"/>
      <c r="J170" s="581"/>
      <c r="K170" s="581"/>
      <c r="L170" s="581"/>
      <c r="M170" s="581"/>
      <c r="N170" s="581"/>
      <c r="O170" s="581"/>
      <c r="P170" s="581"/>
      <c r="Q170" s="581"/>
      <c r="R170" s="581"/>
      <c r="S170" s="581"/>
      <c r="T170" s="581"/>
      <c r="U170" s="581"/>
    </row>
    <row r="171" spans="3:21">
      <c r="C171" s="581"/>
      <c r="D171" s="581"/>
      <c r="E171" s="581"/>
      <c r="F171" s="581"/>
      <c r="G171" s="581"/>
      <c r="H171" s="581"/>
      <c r="I171" s="581"/>
      <c r="J171" s="581"/>
      <c r="K171" s="581"/>
      <c r="L171" s="581"/>
      <c r="M171" s="581"/>
      <c r="N171" s="581"/>
      <c r="O171" s="581"/>
      <c r="P171" s="581"/>
      <c r="Q171" s="581"/>
      <c r="R171" s="581"/>
      <c r="S171" s="581"/>
      <c r="T171" s="581"/>
      <c r="U171" s="581"/>
    </row>
    <row r="172" spans="3:21">
      <c r="C172" s="581"/>
      <c r="D172" s="581"/>
      <c r="E172" s="581"/>
      <c r="F172" s="581"/>
      <c r="G172" s="581"/>
      <c r="H172" s="581"/>
      <c r="I172" s="581"/>
      <c r="J172" s="581"/>
      <c r="K172" s="581"/>
      <c r="L172" s="581"/>
      <c r="M172" s="581"/>
      <c r="N172" s="581"/>
      <c r="O172" s="581"/>
      <c r="P172" s="581"/>
      <c r="Q172" s="581"/>
      <c r="R172" s="581"/>
      <c r="S172" s="581"/>
      <c r="T172" s="581"/>
      <c r="U172" s="581"/>
    </row>
    <row r="173" spans="3:21">
      <c r="C173" s="581"/>
      <c r="D173" s="581"/>
      <c r="E173" s="581"/>
      <c r="F173" s="581"/>
      <c r="G173" s="581"/>
      <c r="H173" s="581"/>
      <c r="I173" s="581"/>
      <c r="J173" s="581"/>
      <c r="K173" s="581"/>
      <c r="L173" s="581"/>
      <c r="M173" s="581"/>
      <c r="N173" s="581"/>
      <c r="O173" s="581"/>
      <c r="P173" s="581"/>
      <c r="Q173" s="581"/>
      <c r="R173" s="581"/>
      <c r="S173" s="581"/>
      <c r="T173" s="581"/>
      <c r="U173" s="581"/>
    </row>
    <row r="174" spans="3:21">
      <c r="C174" s="581"/>
      <c r="D174" s="581"/>
      <c r="E174" s="581"/>
      <c r="F174" s="581"/>
      <c r="G174" s="581"/>
      <c r="H174" s="581"/>
      <c r="I174" s="581"/>
      <c r="J174" s="581"/>
      <c r="K174" s="581"/>
      <c r="L174" s="581"/>
      <c r="M174" s="581"/>
      <c r="N174" s="581"/>
      <c r="O174" s="581"/>
      <c r="P174" s="581"/>
      <c r="Q174" s="581"/>
      <c r="R174" s="581"/>
      <c r="S174" s="581"/>
      <c r="T174" s="581"/>
      <c r="U174" s="581"/>
    </row>
    <row r="175" spans="3:21">
      <c r="C175" s="581"/>
      <c r="D175" s="581"/>
      <c r="E175" s="581"/>
      <c r="F175" s="581"/>
      <c r="G175" s="581"/>
      <c r="H175" s="581"/>
      <c r="I175" s="581"/>
      <c r="J175" s="581"/>
      <c r="K175" s="581"/>
      <c r="L175" s="581"/>
      <c r="M175" s="581"/>
      <c r="N175" s="581"/>
      <c r="O175" s="581"/>
      <c r="P175" s="581"/>
      <c r="Q175" s="581"/>
      <c r="R175" s="581"/>
      <c r="S175" s="581"/>
      <c r="T175" s="581"/>
      <c r="U175" s="581"/>
    </row>
    <row r="176" spans="3:21">
      <c r="C176" s="581"/>
      <c r="D176" s="581"/>
      <c r="E176" s="581"/>
      <c r="F176" s="581"/>
      <c r="G176" s="581"/>
      <c r="H176" s="581"/>
      <c r="I176" s="581"/>
      <c r="J176" s="581"/>
      <c r="K176" s="581"/>
      <c r="L176" s="581"/>
      <c r="M176" s="581"/>
      <c r="N176" s="581"/>
      <c r="O176" s="581"/>
      <c r="P176" s="581"/>
      <c r="Q176" s="581"/>
      <c r="R176" s="581"/>
      <c r="S176" s="581"/>
      <c r="T176" s="581"/>
      <c r="U176" s="581"/>
    </row>
    <row r="177" spans="3:21">
      <c r="C177" s="581"/>
      <c r="D177" s="581"/>
      <c r="E177" s="581"/>
      <c r="F177" s="581"/>
      <c r="G177" s="581"/>
      <c r="H177" s="581"/>
      <c r="I177" s="581"/>
      <c r="J177" s="581"/>
      <c r="K177" s="581"/>
      <c r="L177" s="581"/>
      <c r="M177" s="581"/>
      <c r="N177" s="581"/>
      <c r="O177" s="581"/>
      <c r="P177" s="581"/>
      <c r="Q177" s="581"/>
      <c r="R177" s="581"/>
      <c r="S177" s="581"/>
      <c r="T177" s="581"/>
      <c r="U177" s="581"/>
    </row>
    <row r="178" spans="3:21">
      <c r="C178" s="581"/>
      <c r="D178" s="581"/>
      <c r="E178" s="581"/>
      <c r="F178" s="581"/>
      <c r="G178" s="581"/>
      <c r="H178" s="581"/>
      <c r="I178" s="581"/>
      <c r="J178" s="581"/>
      <c r="K178" s="581"/>
      <c r="L178" s="581"/>
      <c r="M178" s="581"/>
      <c r="N178" s="581"/>
      <c r="O178" s="581"/>
      <c r="P178" s="581"/>
      <c r="Q178" s="581"/>
      <c r="R178" s="581"/>
      <c r="S178" s="581"/>
      <c r="T178" s="581"/>
      <c r="U178" s="581"/>
    </row>
    <row r="179" spans="3:21">
      <c r="C179" s="581"/>
      <c r="D179" s="581"/>
      <c r="E179" s="581"/>
      <c r="F179" s="581"/>
      <c r="G179" s="581"/>
      <c r="H179" s="581"/>
      <c r="I179" s="581"/>
      <c r="J179" s="581"/>
      <c r="K179" s="581"/>
      <c r="L179" s="581"/>
      <c r="M179" s="581"/>
      <c r="N179" s="581"/>
      <c r="O179" s="581"/>
      <c r="P179" s="581"/>
      <c r="Q179" s="581"/>
      <c r="R179" s="581"/>
      <c r="S179" s="581"/>
      <c r="T179" s="581"/>
      <c r="U179" s="581"/>
    </row>
    <row r="180" spans="3:21">
      <c r="C180" s="581"/>
      <c r="D180" s="581"/>
      <c r="E180" s="581"/>
      <c r="F180" s="581"/>
      <c r="G180" s="581"/>
      <c r="H180" s="581"/>
      <c r="I180" s="581"/>
      <c r="J180" s="581"/>
      <c r="K180" s="581"/>
      <c r="L180" s="581"/>
      <c r="M180" s="581"/>
      <c r="N180" s="581"/>
      <c r="O180" s="581"/>
      <c r="P180" s="581"/>
      <c r="Q180" s="581"/>
      <c r="R180" s="581"/>
      <c r="S180" s="581"/>
      <c r="T180" s="581"/>
      <c r="U180" s="581"/>
    </row>
    <row r="181" spans="3:21">
      <c r="C181" s="581"/>
      <c r="D181" s="581"/>
      <c r="E181" s="581"/>
      <c r="F181" s="581"/>
      <c r="G181" s="581"/>
      <c r="H181" s="581"/>
      <c r="I181" s="581"/>
      <c r="J181" s="581"/>
      <c r="K181" s="581"/>
      <c r="L181" s="581"/>
      <c r="M181" s="581"/>
      <c r="N181" s="581"/>
      <c r="O181" s="581"/>
      <c r="P181" s="581"/>
      <c r="Q181" s="581"/>
      <c r="R181" s="581"/>
      <c r="S181" s="581"/>
      <c r="T181" s="581"/>
      <c r="U181" s="581"/>
    </row>
    <row r="182" spans="3:21">
      <c r="C182" s="581"/>
      <c r="D182" s="581"/>
      <c r="E182" s="581"/>
      <c r="F182" s="581"/>
      <c r="G182" s="581"/>
      <c r="H182" s="581"/>
      <c r="I182" s="581"/>
      <c r="J182" s="581"/>
      <c r="K182" s="581"/>
      <c r="L182" s="581"/>
      <c r="M182" s="581"/>
      <c r="N182" s="581"/>
      <c r="O182" s="581"/>
      <c r="P182" s="581"/>
      <c r="Q182" s="581"/>
      <c r="R182" s="581"/>
      <c r="S182" s="581"/>
      <c r="T182" s="581"/>
      <c r="U182" s="581"/>
    </row>
    <row r="183" spans="3:21">
      <c r="C183" s="581"/>
      <c r="D183" s="581"/>
      <c r="E183" s="581"/>
      <c r="F183" s="581"/>
      <c r="G183" s="581"/>
      <c r="H183" s="581"/>
      <c r="I183" s="581"/>
      <c r="J183" s="581"/>
      <c r="K183" s="581"/>
      <c r="L183" s="581"/>
      <c r="M183" s="581"/>
      <c r="N183" s="581"/>
      <c r="O183" s="581"/>
      <c r="P183" s="581"/>
      <c r="Q183" s="581"/>
      <c r="R183" s="581"/>
      <c r="S183" s="581"/>
      <c r="T183" s="581"/>
      <c r="U183" s="581"/>
    </row>
    <row r="184" spans="3:21">
      <c r="C184" s="581"/>
      <c r="D184" s="581"/>
      <c r="E184" s="581"/>
      <c r="F184" s="581"/>
      <c r="G184" s="581"/>
      <c r="H184" s="581"/>
      <c r="I184" s="581"/>
      <c r="J184" s="581"/>
      <c r="K184" s="581"/>
      <c r="L184" s="581"/>
      <c r="M184" s="581"/>
      <c r="N184" s="581"/>
      <c r="O184" s="581"/>
      <c r="P184" s="581"/>
      <c r="Q184" s="581"/>
      <c r="R184" s="581"/>
      <c r="S184" s="581"/>
      <c r="T184" s="581"/>
      <c r="U184" s="581"/>
    </row>
    <row r="185" spans="3:21">
      <c r="C185" s="581"/>
      <c r="D185" s="581"/>
      <c r="E185" s="581"/>
      <c r="F185" s="581"/>
      <c r="G185" s="581"/>
      <c r="H185" s="581"/>
      <c r="I185" s="581"/>
      <c r="J185" s="581"/>
      <c r="K185" s="581"/>
      <c r="L185" s="581"/>
      <c r="M185" s="581"/>
      <c r="N185" s="581"/>
      <c r="O185" s="581"/>
      <c r="P185" s="581"/>
      <c r="Q185" s="581"/>
      <c r="R185" s="581"/>
      <c r="S185" s="581"/>
      <c r="T185" s="581"/>
      <c r="U185" s="581"/>
    </row>
    <row r="186" spans="3:21">
      <c r="C186" s="581"/>
      <c r="D186" s="581"/>
      <c r="E186" s="581"/>
      <c r="F186" s="581"/>
      <c r="G186" s="581"/>
      <c r="H186" s="581"/>
      <c r="I186" s="581"/>
      <c r="J186" s="581"/>
      <c r="K186" s="581"/>
      <c r="L186" s="581"/>
      <c r="M186" s="581"/>
      <c r="N186" s="581"/>
      <c r="O186" s="581"/>
      <c r="P186" s="581"/>
      <c r="Q186" s="581"/>
      <c r="R186" s="581"/>
      <c r="S186" s="581"/>
      <c r="T186" s="581"/>
      <c r="U186" s="581"/>
    </row>
    <row r="187" spans="3:21">
      <c r="C187" s="581"/>
      <c r="D187" s="581"/>
      <c r="E187" s="581"/>
      <c r="F187" s="581"/>
      <c r="G187" s="581"/>
      <c r="H187" s="581"/>
      <c r="I187" s="581"/>
      <c r="J187" s="581"/>
      <c r="K187" s="581"/>
      <c r="L187" s="581"/>
      <c r="M187" s="581"/>
      <c r="N187" s="581"/>
      <c r="O187" s="581"/>
      <c r="P187" s="581"/>
      <c r="Q187" s="581"/>
      <c r="R187" s="581"/>
      <c r="S187" s="581"/>
      <c r="T187" s="581"/>
      <c r="U187" s="581"/>
    </row>
    <row r="188" spans="3:21">
      <c r="C188" s="581"/>
      <c r="D188" s="581"/>
      <c r="E188" s="581"/>
      <c r="F188" s="581"/>
      <c r="G188" s="581"/>
      <c r="H188" s="581"/>
      <c r="I188" s="581"/>
      <c r="J188" s="581"/>
      <c r="K188" s="581"/>
      <c r="L188" s="581"/>
      <c r="M188" s="581"/>
      <c r="N188" s="581"/>
      <c r="O188" s="581"/>
      <c r="P188" s="581"/>
      <c r="Q188" s="581"/>
      <c r="R188" s="581"/>
      <c r="S188" s="581"/>
      <c r="T188" s="581"/>
      <c r="U188" s="581"/>
    </row>
    <row r="189" spans="3:21">
      <c r="C189" s="581"/>
      <c r="D189" s="581"/>
      <c r="E189" s="581"/>
      <c r="F189" s="581"/>
      <c r="G189" s="581"/>
      <c r="H189" s="581"/>
      <c r="I189" s="581"/>
      <c r="J189" s="581"/>
      <c r="K189" s="581"/>
      <c r="L189" s="581"/>
      <c r="M189" s="581"/>
      <c r="N189" s="581"/>
      <c r="O189" s="581"/>
      <c r="P189" s="581"/>
      <c r="Q189" s="581"/>
      <c r="R189" s="581"/>
      <c r="S189" s="581"/>
      <c r="T189" s="581"/>
      <c r="U189" s="581"/>
    </row>
    <row r="190" spans="3:21">
      <c r="C190" s="581"/>
      <c r="D190" s="581"/>
      <c r="E190" s="581"/>
      <c r="F190" s="581"/>
      <c r="G190" s="581"/>
      <c r="H190" s="581"/>
      <c r="I190" s="581"/>
      <c r="J190" s="581"/>
      <c r="K190" s="581"/>
      <c r="L190" s="581"/>
      <c r="M190" s="581"/>
      <c r="N190" s="581"/>
      <c r="O190" s="581"/>
      <c r="P190" s="581"/>
      <c r="Q190" s="581"/>
      <c r="R190" s="581"/>
      <c r="S190" s="581"/>
      <c r="T190" s="581"/>
      <c r="U190" s="581"/>
    </row>
    <row r="191" spans="3:21">
      <c r="C191" s="581"/>
      <c r="D191" s="581"/>
      <c r="E191" s="581"/>
      <c r="F191" s="581"/>
      <c r="G191" s="581"/>
      <c r="H191" s="581"/>
      <c r="I191" s="581"/>
      <c r="J191" s="581"/>
      <c r="K191" s="581"/>
      <c r="L191" s="581"/>
      <c r="M191" s="581"/>
      <c r="N191" s="581"/>
      <c r="O191" s="581"/>
      <c r="P191" s="581"/>
      <c r="Q191" s="581"/>
      <c r="R191" s="581"/>
      <c r="S191" s="581"/>
      <c r="T191" s="581"/>
      <c r="U191" s="581"/>
    </row>
    <row r="192" spans="3:21">
      <c r="C192" s="581"/>
      <c r="D192" s="581"/>
      <c r="E192" s="581"/>
      <c r="F192" s="581"/>
      <c r="G192" s="581"/>
      <c r="H192" s="581"/>
      <c r="I192" s="581"/>
      <c r="J192" s="581"/>
      <c r="K192" s="581"/>
      <c r="L192" s="581"/>
      <c r="M192" s="581"/>
      <c r="N192" s="581"/>
      <c r="O192" s="581"/>
      <c r="P192" s="581"/>
      <c r="Q192" s="581"/>
      <c r="R192" s="581"/>
      <c r="S192" s="581"/>
      <c r="T192" s="581"/>
      <c r="U192" s="581"/>
    </row>
    <row r="193" spans="3:21">
      <c r="C193" s="581"/>
      <c r="D193" s="581"/>
      <c r="E193" s="581"/>
      <c r="F193" s="581"/>
      <c r="G193" s="581"/>
      <c r="H193" s="581"/>
      <c r="I193" s="581"/>
      <c r="J193" s="581"/>
      <c r="K193" s="581"/>
      <c r="L193" s="581"/>
      <c r="M193" s="581"/>
      <c r="N193" s="581"/>
      <c r="O193" s="581"/>
      <c r="P193" s="581"/>
      <c r="Q193" s="581"/>
      <c r="R193" s="581"/>
      <c r="S193" s="581"/>
      <c r="T193" s="581"/>
      <c r="U193" s="581"/>
    </row>
    <row r="194" spans="3:21">
      <c r="C194" s="581"/>
      <c r="D194" s="581"/>
      <c r="E194" s="581"/>
      <c r="F194" s="581"/>
      <c r="G194" s="581"/>
      <c r="H194" s="581"/>
      <c r="I194" s="581"/>
      <c r="J194" s="581"/>
      <c r="K194" s="581"/>
      <c r="L194" s="581"/>
      <c r="M194" s="581"/>
      <c r="N194" s="581"/>
      <c r="O194" s="581"/>
      <c r="P194" s="581"/>
      <c r="Q194" s="581"/>
      <c r="R194" s="581"/>
      <c r="S194" s="581"/>
      <c r="T194" s="581"/>
      <c r="U194" s="581"/>
    </row>
    <row r="195" spans="3:21">
      <c r="C195" s="581"/>
      <c r="D195" s="581"/>
      <c r="E195" s="581"/>
      <c r="F195" s="581"/>
      <c r="G195" s="581"/>
      <c r="H195" s="581"/>
      <c r="I195" s="581"/>
      <c r="J195" s="581"/>
      <c r="K195" s="581"/>
      <c r="L195" s="581"/>
      <c r="M195" s="581"/>
      <c r="N195" s="581"/>
      <c r="O195" s="581"/>
      <c r="P195" s="581"/>
      <c r="Q195" s="581"/>
      <c r="R195" s="581"/>
      <c r="S195" s="581"/>
      <c r="T195" s="581"/>
      <c r="U195" s="581"/>
    </row>
    <row r="196" spans="3:21">
      <c r="C196" s="581"/>
      <c r="D196" s="581"/>
      <c r="E196" s="581"/>
      <c r="F196" s="581"/>
      <c r="G196" s="581"/>
      <c r="H196" s="581"/>
      <c r="I196" s="581"/>
      <c r="J196" s="581"/>
      <c r="K196" s="581"/>
      <c r="L196" s="581"/>
      <c r="M196" s="581"/>
      <c r="N196" s="581"/>
      <c r="O196" s="581"/>
      <c r="P196" s="581"/>
      <c r="Q196" s="581"/>
      <c r="R196" s="581"/>
      <c r="S196" s="581"/>
      <c r="T196" s="581"/>
      <c r="U196" s="581"/>
    </row>
    <row r="197" spans="3:21">
      <c r="C197" s="581"/>
      <c r="D197" s="581"/>
      <c r="E197" s="581"/>
      <c r="F197" s="581"/>
      <c r="G197" s="581"/>
      <c r="H197" s="581"/>
      <c r="I197" s="581"/>
      <c r="J197" s="581"/>
      <c r="K197" s="581"/>
      <c r="L197" s="581"/>
      <c r="M197" s="581"/>
      <c r="N197" s="581"/>
      <c r="O197" s="581"/>
      <c r="P197" s="581"/>
      <c r="Q197" s="581"/>
      <c r="R197" s="581"/>
      <c r="S197" s="581"/>
      <c r="T197" s="581"/>
      <c r="U197" s="581"/>
    </row>
    <row r="198" spans="3:21">
      <c r="C198" s="581"/>
      <c r="D198" s="581"/>
      <c r="E198" s="581"/>
      <c r="F198" s="581"/>
      <c r="G198" s="581"/>
      <c r="H198" s="581"/>
      <c r="I198" s="581"/>
      <c r="J198" s="581"/>
      <c r="K198" s="581"/>
      <c r="L198" s="581"/>
      <c r="M198" s="581"/>
      <c r="N198" s="581"/>
      <c r="O198" s="581"/>
      <c r="P198" s="581"/>
      <c r="Q198" s="581"/>
      <c r="R198" s="581"/>
      <c r="S198" s="581"/>
      <c r="T198" s="581"/>
      <c r="U198" s="581"/>
    </row>
    <row r="199" spans="3:21">
      <c r="C199" s="581"/>
      <c r="D199" s="581"/>
      <c r="E199" s="581"/>
      <c r="F199" s="581"/>
      <c r="G199" s="581"/>
      <c r="H199" s="581"/>
      <c r="I199" s="581"/>
      <c r="J199" s="581"/>
      <c r="K199" s="581"/>
      <c r="L199" s="581"/>
      <c r="M199" s="581"/>
      <c r="N199" s="581"/>
      <c r="O199" s="581"/>
      <c r="P199" s="581"/>
      <c r="Q199" s="581"/>
      <c r="R199" s="581"/>
      <c r="S199" s="581"/>
      <c r="T199" s="581"/>
      <c r="U199" s="581"/>
    </row>
    <row r="200" spans="3:21">
      <c r="C200" s="581"/>
      <c r="D200" s="581"/>
      <c r="E200" s="581"/>
      <c r="F200" s="581"/>
      <c r="G200" s="581"/>
      <c r="H200" s="581"/>
      <c r="I200" s="581"/>
      <c r="J200" s="581"/>
      <c r="K200" s="581"/>
      <c r="L200" s="581"/>
      <c r="M200" s="581"/>
      <c r="N200" s="581"/>
      <c r="O200" s="581"/>
      <c r="P200" s="581"/>
      <c r="Q200" s="581"/>
      <c r="R200" s="581"/>
      <c r="S200" s="581"/>
      <c r="T200" s="581"/>
      <c r="U200" s="581"/>
    </row>
    <row r="201" spans="3:21">
      <c r="C201" s="581"/>
      <c r="D201" s="581"/>
      <c r="E201" s="581"/>
      <c r="F201" s="581"/>
      <c r="G201" s="581"/>
      <c r="H201" s="581"/>
      <c r="I201" s="581"/>
      <c r="J201" s="581"/>
      <c r="K201" s="581"/>
      <c r="L201" s="581"/>
      <c r="M201" s="581"/>
      <c r="N201" s="581"/>
      <c r="O201" s="581"/>
      <c r="P201" s="581"/>
      <c r="Q201" s="581"/>
      <c r="R201" s="581"/>
      <c r="S201" s="581"/>
      <c r="T201" s="581"/>
      <c r="U201" s="581"/>
    </row>
    <row r="202" spans="3:21">
      <c r="C202" s="581"/>
      <c r="D202" s="581"/>
      <c r="E202" s="581"/>
      <c r="F202" s="581"/>
      <c r="G202" s="581"/>
      <c r="H202" s="581"/>
      <c r="I202" s="581"/>
      <c r="J202" s="581"/>
      <c r="K202" s="581"/>
      <c r="L202" s="581"/>
      <c r="M202" s="581"/>
      <c r="N202" s="581"/>
      <c r="O202" s="581"/>
      <c r="P202" s="581"/>
      <c r="Q202" s="581"/>
      <c r="R202" s="581"/>
      <c r="S202" s="581"/>
      <c r="T202" s="581"/>
      <c r="U202" s="581"/>
    </row>
    <row r="203" spans="3:21">
      <c r="C203" s="581"/>
      <c r="D203" s="581"/>
      <c r="E203" s="581"/>
      <c r="F203" s="581"/>
      <c r="G203" s="581"/>
      <c r="H203" s="581"/>
      <c r="I203" s="581"/>
      <c r="J203" s="581"/>
      <c r="K203" s="581"/>
      <c r="L203" s="581"/>
      <c r="M203" s="581"/>
      <c r="N203" s="581"/>
      <c r="O203" s="581"/>
      <c r="P203" s="581"/>
      <c r="Q203" s="581"/>
      <c r="R203" s="581"/>
      <c r="S203" s="581"/>
      <c r="T203" s="581"/>
      <c r="U203" s="581"/>
    </row>
    <row r="204" spans="3:21">
      <c r="C204" s="581"/>
      <c r="D204" s="581"/>
      <c r="E204" s="581"/>
      <c r="F204" s="581"/>
      <c r="G204" s="581"/>
      <c r="H204" s="581"/>
      <c r="I204" s="581"/>
      <c r="J204" s="581"/>
      <c r="K204" s="581"/>
      <c r="L204" s="581"/>
      <c r="M204" s="581"/>
      <c r="N204" s="581"/>
      <c r="O204" s="581"/>
      <c r="P204" s="581"/>
      <c r="Q204" s="581"/>
      <c r="R204" s="581"/>
      <c r="S204" s="581"/>
      <c r="T204" s="581"/>
      <c r="U204" s="581"/>
    </row>
    <row r="205" spans="3:21">
      <c r="C205" s="581"/>
      <c r="D205" s="581"/>
      <c r="E205" s="581"/>
      <c r="F205" s="581"/>
      <c r="G205" s="581"/>
      <c r="H205" s="581"/>
      <c r="I205" s="581"/>
      <c r="J205" s="581"/>
      <c r="K205" s="581"/>
      <c r="L205" s="581"/>
      <c r="M205" s="581"/>
      <c r="N205" s="581"/>
      <c r="O205" s="581"/>
      <c r="P205" s="581"/>
      <c r="Q205" s="581"/>
      <c r="R205" s="581"/>
      <c r="S205" s="581"/>
      <c r="T205" s="581"/>
      <c r="U205" s="581"/>
    </row>
    <row r="206" spans="3:21">
      <c r="C206" s="581"/>
      <c r="D206" s="581"/>
      <c r="E206" s="581"/>
      <c r="F206" s="581"/>
      <c r="G206" s="581"/>
      <c r="H206" s="581"/>
      <c r="I206" s="581"/>
      <c r="J206" s="581"/>
      <c r="K206" s="581"/>
      <c r="L206" s="581"/>
      <c r="M206" s="581"/>
      <c r="N206" s="581"/>
      <c r="O206" s="581"/>
      <c r="P206" s="581"/>
      <c r="Q206" s="581"/>
      <c r="R206" s="581"/>
      <c r="S206" s="581"/>
      <c r="T206" s="581"/>
      <c r="U206" s="581"/>
    </row>
    <row r="207" spans="3:21">
      <c r="C207" s="581"/>
      <c r="D207" s="581"/>
      <c r="E207" s="581"/>
      <c r="F207" s="581"/>
      <c r="G207" s="581"/>
      <c r="H207" s="581"/>
      <c r="I207" s="581"/>
      <c r="J207" s="581"/>
      <c r="K207" s="581"/>
      <c r="L207" s="581"/>
      <c r="M207" s="581"/>
      <c r="N207" s="581"/>
      <c r="O207" s="581"/>
      <c r="P207" s="581"/>
      <c r="Q207" s="581"/>
      <c r="R207" s="581"/>
      <c r="S207" s="581"/>
      <c r="T207" s="581"/>
      <c r="U207" s="581"/>
    </row>
    <row r="208" spans="3:21">
      <c r="C208" s="581"/>
      <c r="D208" s="581"/>
      <c r="E208" s="581"/>
      <c r="F208" s="581"/>
      <c r="G208" s="581"/>
      <c r="H208" s="581"/>
      <c r="I208" s="581"/>
      <c r="J208" s="581"/>
      <c r="K208" s="581"/>
      <c r="L208" s="581"/>
      <c r="M208" s="581"/>
      <c r="N208" s="581"/>
      <c r="O208" s="581"/>
      <c r="P208" s="581"/>
      <c r="Q208" s="581"/>
      <c r="R208" s="581"/>
      <c r="S208" s="581"/>
      <c r="T208" s="581"/>
      <c r="U208" s="581"/>
    </row>
    <row r="209" spans="3:21">
      <c r="C209" s="581"/>
      <c r="D209" s="581"/>
      <c r="E209" s="581"/>
      <c r="F209" s="581"/>
      <c r="G209" s="581"/>
      <c r="H209" s="581"/>
      <c r="I209" s="581"/>
      <c r="J209" s="581"/>
      <c r="K209" s="581"/>
      <c r="L209" s="581"/>
      <c r="M209" s="581"/>
      <c r="N209" s="581"/>
      <c r="O209" s="581"/>
      <c r="P209" s="581"/>
      <c r="Q209" s="581"/>
      <c r="R209" s="581"/>
      <c r="S209" s="581"/>
      <c r="T209" s="581"/>
      <c r="U209" s="581"/>
    </row>
    <row r="210" spans="3:21">
      <c r="C210" s="581"/>
      <c r="D210" s="581"/>
      <c r="E210" s="581"/>
      <c r="F210" s="581"/>
      <c r="G210" s="581"/>
      <c r="H210" s="581"/>
      <c r="I210" s="581"/>
      <c r="J210" s="581"/>
      <c r="K210" s="581"/>
      <c r="L210" s="581"/>
      <c r="M210" s="581"/>
      <c r="N210" s="581"/>
      <c r="O210" s="581"/>
      <c r="P210" s="581"/>
      <c r="Q210" s="581"/>
      <c r="R210" s="581"/>
      <c r="S210" s="581"/>
      <c r="T210" s="581"/>
      <c r="U210" s="581"/>
    </row>
    <row r="211" spans="3:21">
      <c r="C211" s="581"/>
      <c r="D211" s="581"/>
      <c r="E211" s="581"/>
      <c r="F211" s="581"/>
      <c r="G211" s="581"/>
      <c r="H211" s="581"/>
      <c r="I211" s="581"/>
      <c r="J211" s="581"/>
      <c r="K211" s="581"/>
      <c r="L211" s="581"/>
      <c r="M211" s="581"/>
      <c r="N211" s="581"/>
      <c r="O211" s="581"/>
      <c r="P211" s="581"/>
      <c r="Q211" s="581"/>
      <c r="R211" s="581"/>
      <c r="S211" s="581"/>
      <c r="T211" s="581"/>
      <c r="U211" s="581"/>
    </row>
    <row r="212" spans="3:21">
      <c r="C212" s="581"/>
      <c r="D212" s="581"/>
      <c r="E212" s="581"/>
      <c r="F212" s="581"/>
      <c r="G212" s="581"/>
      <c r="H212" s="581"/>
      <c r="I212" s="581"/>
      <c r="J212" s="581"/>
      <c r="K212" s="581"/>
      <c r="L212" s="581"/>
      <c r="M212" s="581"/>
      <c r="N212" s="581"/>
      <c r="O212" s="581"/>
      <c r="P212" s="581"/>
      <c r="Q212" s="581"/>
      <c r="R212" s="581"/>
      <c r="S212" s="581"/>
      <c r="T212" s="581"/>
      <c r="U212" s="581"/>
    </row>
    <row r="213" spans="3:21">
      <c r="C213" s="581"/>
      <c r="D213" s="581"/>
      <c r="E213" s="581"/>
      <c r="F213" s="581"/>
      <c r="G213" s="581"/>
      <c r="H213" s="581"/>
      <c r="I213" s="581"/>
      <c r="J213" s="581"/>
      <c r="K213" s="581"/>
      <c r="L213" s="581"/>
      <c r="M213" s="581"/>
      <c r="N213" s="581"/>
      <c r="O213" s="581"/>
      <c r="P213" s="581"/>
      <c r="Q213" s="581"/>
      <c r="R213" s="581"/>
      <c r="S213" s="581"/>
      <c r="T213" s="581"/>
      <c r="U213" s="581"/>
    </row>
    <row r="214" spans="3:21">
      <c r="C214" s="581"/>
      <c r="D214" s="581"/>
      <c r="E214" s="581"/>
      <c r="F214" s="581"/>
      <c r="G214" s="581"/>
      <c r="H214" s="581"/>
      <c r="I214" s="581"/>
      <c r="J214" s="581"/>
      <c r="K214" s="581"/>
      <c r="L214" s="581"/>
      <c r="M214" s="581"/>
      <c r="N214" s="581"/>
      <c r="O214" s="581"/>
      <c r="P214" s="581"/>
      <c r="Q214" s="581"/>
      <c r="R214" s="581"/>
      <c r="S214" s="581"/>
      <c r="T214" s="581"/>
      <c r="U214" s="581"/>
    </row>
    <row r="215" spans="3:21">
      <c r="C215" s="581"/>
      <c r="D215" s="581"/>
      <c r="E215" s="581"/>
      <c r="F215" s="581"/>
      <c r="G215" s="581"/>
      <c r="H215" s="581"/>
      <c r="I215" s="581"/>
      <c r="J215" s="581"/>
      <c r="K215" s="581"/>
      <c r="L215" s="581"/>
      <c r="M215" s="581"/>
      <c r="N215" s="581"/>
      <c r="O215" s="581"/>
      <c r="P215" s="581"/>
      <c r="Q215" s="581"/>
      <c r="R215" s="581"/>
      <c r="S215" s="581"/>
      <c r="T215" s="581"/>
      <c r="U215" s="581"/>
    </row>
    <row r="216" spans="3:21">
      <c r="C216" s="581"/>
      <c r="D216" s="581"/>
      <c r="E216" s="581"/>
      <c r="F216" s="581"/>
      <c r="G216" s="581"/>
      <c r="H216" s="581"/>
      <c r="I216" s="581"/>
      <c r="J216" s="581"/>
      <c r="K216" s="581"/>
      <c r="L216" s="581"/>
      <c r="M216" s="581"/>
      <c r="N216" s="581"/>
      <c r="O216" s="581"/>
      <c r="P216" s="581"/>
      <c r="Q216" s="581"/>
      <c r="R216" s="581"/>
      <c r="S216" s="581"/>
      <c r="T216" s="581"/>
      <c r="U216" s="581"/>
    </row>
    <row r="217" spans="3:21">
      <c r="C217" s="581"/>
      <c r="D217" s="581"/>
      <c r="E217" s="581"/>
      <c r="F217" s="581"/>
      <c r="G217" s="581"/>
      <c r="H217" s="581"/>
      <c r="I217" s="581"/>
      <c r="J217" s="581"/>
      <c r="K217" s="581"/>
      <c r="L217" s="581"/>
      <c r="M217" s="581"/>
      <c r="N217" s="581"/>
      <c r="O217" s="581"/>
      <c r="P217" s="581"/>
      <c r="Q217" s="581"/>
      <c r="R217" s="581"/>
      <c r="S217" s="581"/>
      <c r="T217" s="581"/>
      <c r="U217" s="581"/>
    </row>
    <row r="218" spans="3:21">
      <c r="C218" s="581"/>
      <c r="D218" s="581"/>
      <c r="E218" s="581"/>
      <c r="F218" s="581"/>
      <c r="G218" s="581"/>
      <c r="H218" s="581"/>
      <c r="I218" s="581"/>
      <c r="J218" s="581"/>
      <c r="K218" s="581"/>
      <c r="L218" s="581"/>
      <c r="M218" s="581"/>
      <c r="N218" s="581"/>
      <c r="O218" s="581"/>
      <c r="P218" s="581"/>
      <c r="Q218" s="581"/>
      <c r="R218" s="581"/>
      <c r="S218" s="581"/>
      <c r="T218" s="581"/>
      <c r="U218" s="581"/>
    </row>
    <row r="219" spans="3:21">
      <c r="C219" s="581"/>
      <c r="D219" s="581"/>
      <c r="E219" s="581"/>
      <c r="F219" s="581"/>
      <c r="G219" s="581"/>
      <c r="H219" s="581"/>
      <c r="I219" s="581"/>
      <c r="J219" s="581"/>
      <c r="K219" s="581"/>
      <c r="L219" s="581"/>
      <c r="M219" s="581"/>
      <c r="N219" s="581"/>
      <c r="O219" s="581"/>
      <c r="P219" s="581"/>
      <c r="Q219" s="581"/>
      <c r="R219" s="581"/>
      <c r="S219" s="581"/>
      <c r="T219" s="581"/>
      <c r="U219" s="581"/>
    </row>
    <row r="220" spans="3:21">
      <c r="C220" s="581"/>
      <c r="D220" s="581"/>
      <c r="E220" s="581"/>
      <c r="F220" s="581"/>
      <c r="G220" s="581"/>
      <c r="H220" s="581"/>
      <c r="I220" s="581"/>
      <c r="J220" s="581"/>
      <c r="K220" s="581"/>
      <c r="L220" s="581"/>
      <c r="M220" s="581"/>
      <c r="N220" s="581"/>
      <c r="O220" s="581"/>
      <c r="P220" s="581"/>
      <c r="Q220" s="581"/>
      <c r="R220" s="581"/>
      <c r="S220" s="581"/>
      <c r="T220" s="581"/>
      <c r="U220" s="581"/>
    </row>
    <row r="221" spans="3:21">
      <c r="C221" s="581"/>
      <c r="D221" s="581"/>
      <c r="E221" s="581"/>
      <c r="F221" s="581"/>
      <c r="G221" s="581"/>
      <c r="H221" s="581"/>
      <c r="I221" s="581"/>
      <c r="J221" s="581"/>
      <c r="K221" s="581"/>
      <c r="L221" s="581"/>
      <c r="M221" s="581"/>
      <c r="N221" s="581"/>
      <c r="O221" s="581"/>
      <c r="P221" s="581"/>
      <c r="Q221" s="581"/>
      <c r="R221" s="581"/>
      <c r="S221" s="581"/>
      <c r="T221" s="581"/>
      <c r="U221" s="581"/>
    </row>
    <row r="222" spans="3:21">
      <c r="C222" s="581"/>
      <c r="D222" s="581"/>
      <c r="E222" s="581"/>
      <c r="F222" s="581"/>
      <c r="G222" s="581"/>
      <c r="H222" s="581"/>
      <c r="I222" s="581"/>
      <c r="J222" s="581"/>
      <c r="K222" s="581"/>
      <c r="L222" s="581"/>
      <c r="M222" s="581"/>
      <c r="N222" s="581"/>
      <c r="O222" s="581"/>
      <c r="P222" s="581"/>
      <c r="Q222" s="581"/>
      <c r="R222" s="581"/>
      <c r="S222" s="581"/>
      <c r="T222" s="581"/>
      <c r="U222" s="581"/>
    </row>
    <row r="223" spans="3:21">
      <c r="C223" s="581"/>
      <c r="D223" s="581"/>
      <c r="E223" s="581"/>
      <c r="F223" s="581"/>
      <c r="G223" s="581"/>
      <c r="H223" s="581"/>
      <c r="I223" s="581"/>
      <c r="J223" s="581"/>
      <c r="K223" s="581"/>
      <c r="L223" s="581"/>
      <c r="M223" s="581"/>
      <c r="N223" s="581"/>
      <c r="O223" s="581"/>
      <c r="P223" s="581"/>
      <c r="Q223" s="581"/>
      <c r="R223" s="581"/>
      <c r="S223" s="581"/>
      <c r="T223" s="581"/>
      <c r="U223" s="581"/>
    </row>
    <row r="224" spans="3:21">
      <c r="C224" s="581"/>
      <c r="D224" s="581"/>
      <c r="E224" s="581"/>
      <c r="F224" s="581"/>
      <c r="G224" s="581"/>
      <c r="H224" s="581"/>
      <c r="I224" s="581"/>
      <c r="J224" s="581"/>
      <c r="K224" s="581"/>
      <c r="L224" s="581"/>
      <c r="M224" s="581"/>
      <c r="N224" s="581"/>
      <c r="O224" s="581"/>
      <c r="P224" s="581"/>
      <c r="Q224" s="581"/>
      <c r="R224" s="581"/>
      <c r="S224" s="581"/>
      <c r="T224" s="581"/>
      <c r="U224" s="581"/>
    </row>
    <row r="225" spans="3:21">
      <c r="C225" s="581"/>
      <c r="D225" s="581"/>
      <c r="E225" s="581"/>
      <c r="F225" s="581"/>
      <c r="G225" s="581"/>
      <c r="H225" s="581"/>
      <c r="I225" s="581"/>
      <c r="J225" s="581"/>
      <c r="K225" s="581"/>
      <c r="L225" s="581"/>
      <c r="M225" s="581"/>
      <c r="N225" s="581"/>
      <c r="O225" s="581"/>
      <c r="P225" s="581"/>
      <c r="Q225" s="581"/>
      <c r="R225" s="581"/>
      <c r="S225" s="581"/>
      <c r="T225" s="581"/>
      <c r="U225" s="581"/>
    </row>
    <row r="226" spans="3:21">
      <c r="C226" s="581"/>
      <c r="D226" s="581"/>
      <c r="E226" s="581"/>
      <c r="F226" s="581"/>
      <c r="G226" s="581"/>
      <c r="H226" s="581"/>
      <c r="I226" s="581"/>
      <c r="J226" s="581"/>
      <c r="K226" s="581"/>
      <c r="L226" s="581"/>
      <c r="M226" s="581"/>
      <c r="N226" s="581"/>
      <c r="O226" s="581"/>
      <c r="P226" s="581"/>
      <c r="Q226" s="581"/>
      <c r="R226" s="581"/>
      <c r="S226" s="581"/>
      <c r="T226" s="581"/>
      <c r="U226" s="581"/>
    </row>
    <row r="227" spans="3:21">
      <c r="C227" s="581"/>
      <c r="D227" s="581"/>
      <c r="E227" s="581"/>
      <c r="F227" s="581"/>
      <c r="G227" s="581"/>
      <c r="H227" s="581"/>
      <c r="I227" s="581"/>
      <c r="J227" s="581"/>
      <c r="K227" s="581"/>
      <c r="L227" s="581"/>
      <c r="M227" s="581"/>
      <c r="N227" s="581"/>
      <c r="O227" s="581"/>
      <c r="P227" s="581"/>
      <c r="Q227" s="581"/>
      <c r="R227" s="581"/>
      <c r="S227" s="581"/>
      <c r="T227" s="581"/>
      <c r="U227" s="581"/>
    </row>
    <row r="228" spans="3:21">
      <c r="C228" s="581"/>
      <c r="D228" s="581"/>
      <c r="E228" s="581"/>
      <c r="F228" s="581"/>
      <c r="G228" s="581"/>
      <c r="H228" s="581"/>
      <c r="I228" s="581"/>
      <c r="J228" s="581"/>
      <c r="K228" s="581"/>
      <c r="L228" s="581"/>
      <c r="M228" s="581"/>
      <c r="N228" s="581"/>
      <c r="O228" s="581"/>
      <c r="P228" s="581"/>
      <c r="Q228" s="581"/>
      <c r="R228" s="581"/>
      <c r="S228" s="581"/>
      <c r="T228" s="581"/>
      <c r="U228" s="581"/>
    </row>
    <row r="229" spans="3:21">
      <c r="C229" s="581"/>
      <c r="D229" s="581"/>
      <c r="E229" s="581"/>
      <c r="F229" s="581"/>
      <c r="G229" s="581"/>
      <c r="H229" s="581"/>
      <c r="I229" s="581"/>
      <c r="J229" s="581"/>
      <c r="K229" s="581"/>
      <c r="L229" s="581"/>
      <c r="M229" s="581"/>
      <c r="N229" s="581"/>
      <c r="O229" s="581"/>
      <c r="P229" s="581"/>
      <c r="Q229" s="581"/>
      <c r="R229" s="581"/>
      <c r="S229" s="581"/>
      <c r="T229" s="581"/>
      <c r="U229" s="581"/>
    </row>
    <row r="230" spans="3:21">
      <c r="C230" s="581"/>
      <c r="D230" s="581"/>
      <c r="E230" s="581"/>
      <c r="F230" s="581"/>
      <c r="G230" s="581"/>
      <c r="H230" s="581"/>
      <c r="I230" s="581"/>
      <c r="J230" s="581"/>
      <c r="K230" s="581"/>
      <c r="L230" s="581"/>
      <c r="M230" s="581"/>
      <c r="N230" s="581"/>
      <c r="O230" s="581"/>
      <c r="P230" s="581"/>
      <c r="Q230" s="581"/>
      <c r="R230" s="581"/>
      <c r="S230" s="581"/>
      <c r="T230" s="581"/>
      <c r="U230" s="581"/>
    </row>
    <row r="231" spans="3:21">
      <c r="C231" s="581"/>
      <c r="D231" s="581"/>
      <c r="E231" s="581"/>
      <c r="F231" s="581"/>
      <c r="G231" s="581"/>
      <c r="H231" s="581"/>
      <c r="I231" s="581"/>
      <c r="J231" s="581"/>
      <c r="K231" s="581"/>
      <c r="L231" s="581"/>
      <c r="M231" s="581"/>
      <c r="N231" s="581"/>
      <c r="O231" s="581"/>
      <c r="P231" s="581"/>
      <c r="Q231" s="581"/>
      <c r="R231" s="581"/>
      <c r="S231" s="581"/>
      <c r="T231" s="581"/>
      <c r="U231" s="581"/>
    </row>
    <row r="232" spans="3:21">
      <c r="C232" s="581"/>
      <c r="D232" s="581"/>
      <c r="E232" s="581"/>
      <c r="F232" s="581"/>
      <c r="G232" s="581"/>
      <c r="H232" s="581"/>
      <c r="I232" s="581"/>
      <c r="J232" s="581"/>
      <c r="K232" s="581"/>
      <c r="L232" s="581"/>
      <c r="M232" s="581"/>
      <c r="N232" s="581"/>
      <c r="O232" s="581"/>
      <c r="P232" s="581"/>
      <c r="Q232" s="581"/>
      <c r="R232" s="581"/>
      <c r="S232" s="581"/>
      <c r="T232" s="581"/>
      <c r="U232" s="581"/>
    </row>
    <row r="233" spans="3:21">
      <c r="C233" s="581"/>
      <c r="D233" s="581"/>
      <c r="E233" s="581"/>
      <c r="F233" s="581"/>
      <c r="G233" s="581"/>
      <c r="H233" s="581"/>
      <c r="I233" s="581"/>
      <c r="J233" s="581"/>
      <c r="K233" s="581"/>
      <c r="L233" s="581"/>
      <c r="M233" s="581"/>
      <c r="N233" s="581"/>
      <c r="O233" s="581"/>
      <c r="P233" s="581"/>
      <c r="Q233" s="581"/>
      <c r="R233" s="581"/>
      <c r="S233" s="581"/>
      <c r="T233" s="581"/>
      <c r="U233" s="581"/>
    </row>
    <row r="234" spans="3:21">
      <c r="C234" s="581"/>
      <c r="D234" s="581"/>
      <c r="E234" s="581"/>
      <c r="F234" s="581"/>
      <c r="G234" s="581"/>
      <c r="H234" s="581"/>
      <c r="I234" s="581"/>
      <c r="J234" s="581"/>
      <c r="K234" s="581"/>
      <c r="L234" s="581"/>
      <c r="M234" s="581"/>
      <c r="N234" s="581"/>
      <c r="O234" s="581"/>
      <c r="P234" s="581"/>
      <c r="Q234" s="581"/>
      <c r="R234" s="581"/>
      <c r="S234" s="581"/>
      <c r="T234" s="581"/>
      <c r="U234" s="581"/>
    </row>
    <row r="235" spans="3:21">
      <c r="C235" s="581"/>
      <c r="D235" s="581"/>
      <c r="E235" s="581"/>
      <c r="F235" s="581"/>
      <c r="G235" s="581"/>
      <c r="H235" s="581"/>
      <c r="I235" s="581"/>
      <c r="J235" s="581"/>
      <c r="K235" s="581"/>
      <c r="L235" s="581"/>
      <c r="M235" s="581"/>
      <c r="N235" s="581"/>
      <c r="O235" s="581"/>
      <c r="P235" s="581"/>
      <c r="Q235" s="581"/>
      <c r="R235" s="581"/>
      <c r="S235" s="581"/>
      <c r="T235" s="581"/>
      <c r="U235" s="581"/>
    </row>
    <row r="236" spans="3:21">
      <c r="C236" s="581"/>
      <c r="D236" s="581"/>
      <c r="E236" s="581"/>
      <c r="F236" s="581"/>
      <c r="G236" s="581"/>
      <c r="H236" s="581"/>
      <c r="I236" s="581"/>
      <c r="J236" s="581"/>
      <c r="K236" s="581"/>
      <c r="L236" s="581"/>
      <c r="M236" s="581"/>
      <c r="N236" s="581"/>
      <c r="O236" s="581"/>
      <c r="P236" s="581"/>
      <c r="Q236" s="581"/>
      <c r="R236" s="581"/>
      <c r="S236" s="581"/>
      <c r="T236" s="581"/>
      <c r="U236" s="581"/>
    </row>
    <row r="237" spans="3:21">
      <c r="C237" s="581"/>
      <c r="D237" s="581"/>
      <c r="E237" s="581"/>
      <c r="F237" s="581"/>
      <c r="G237" s="581"/>
      <c r="H237" s="581"/>
      <c r="I237" s="581"/>
      <c r="J237" s="581"/>
      <c r="K237" s="581"/>
      <c r="L237" s="581"/>
      <c r="M237" s="581"/>
      <c r="N237" s="581"/>
      <c r="O237" s="581"/>
      <c r="P237" s="581"/>
      <c r="Q237" s="581"/>
      <c r="R237" s="581"/>
      <c r="S237" s="581"/>
      <c r="T237" s="581"/>
      <c r="U237" s="581"/>
    </row>
    <row r="238" spans="3:21">
      <c r="C238" s="581"/>
      <c r="D238" s="581"/>
      <c r="E238" s="581"/>
      <c r="F238" s="581"/>
      <c r="G238" s="581"/>
      <c r="H238" s="581"/>
      <c r="I238" s="581"/>
      <c r="J238" s="581"/>
      <c r="K238" s="581"/>
      <c r="L238" s="581"/>
      <c r="M238" s="581"/>
      <c r="N238" s="581"/>
      <c r="O238" s="581"/>
      <c r="P238" s="581"/>
      <c r="Q238" s="581"/>
      <c r="R238" s="581"/>
      <c r="S238" s="581"/>
      <c r="T238" s="581"/>
      <c r="U238" s="581"/>
    </row>
    <row r="239" spans="3:21">
      <c r="C239" s="581"/>
      <c r="D239" s="581"/>
      <c r="E239" s="581"/>
      <c r="F239" s="581"/>
      <c r="G239" s="581"/>
      <c r="H239" s="581"/>
      <c r="I239" s="581"/>
      <c r="J239" s="581"/>
      <c r="K239" s="581"/>
      <c r="L239" s="581"/>
      <c r="M239" s="581"/>
      <c r="N239" s="581"/>
      <c r="O239" s="581"/>
      <c r="P239" s="581"/>
      <c r="Q239" s="581"/>
      <c r="R239" s="581"/>
      <c r="S239" s="581"/>
      <c r="T239" s="581"/>
      <c r="U239" s="581"/>
    </row>
    <row r="240" spans="3:21">
      <c r="C240" s="581"/>
      <c r="D240" s="581"/>
      <c r="E240" s="581"/>
      <c r="F240" s="581"/>
      <c r="G240" s="581"/>
      <c r="H240" s="581"/>
      <c r="I240" s="581"/>
      <c r="J240" s="581"/>
      <c r="K240" s="581"/>
      <c r="L240" s="581"/>
      <c r="M240" s="581"/>
      <c r="N240" s="581"/>
      <c r="O240" s="581"/>
      <c r="P240" s="581"/>
      <c r="Q240" s="581"/>
      <c r="R240" s="581"/>
      <c r="S240" s="581"/>
      <c r="T240" s="581"/>
      <c r="U240" s="581"/>
    </row>
    <row r="241" spans="3:21">
      <c r="C241" s="581"/>
      <c r="D241" s="581"/>
      <c r="E241" s="581"/>
      <c r="F241" s="581"/>
      <c r="G241" s="581"/>
      <c r="H241" s="581"/>
      <c r="I241" s="581"/>
      <c r="J241" s="581"/>
      <c r="K241" s="581"/>
      <c r="L241" s="581"/>
      <c r="M241" s="581"/>
      <c r="N241" s="581"/>
      <c r="O241" s="581"/>
      <c r="P241" s="581"/>
      <c r="Q241" s="581"/>
      <c r="R241" s="581"/>
      <c r="S241" s="581"/>
      <c r="T241" s="581"/>
      <c r="U241" s="581"/>
    </row>
    <row r="242" spans="3:21">
      <c r="C242" s="581"/>
      <c r="D242" s="581"/>
      <c r="E242" s="581"/>
      <c r="F242" s="581"/>
      <c r="G242" s="581"/>
      <c r="H242" s="581"/>
      <c r="I242" s="581"/>
      <c r="J242" s="581"/>
      <c r="K242" s="581"/>
      <c r="L242" s="581"/>
      <c r="M242" s="581"/>
      <c r="N242" s="581"/>
      <c r="O242" s="581"/>
      <c r="P242" s="581"/>
      <c r="Q242" s="581"/>
      <c r="R242" s="581"/>
      <c r="S242" s="581"/>
      <c r="T242" s="581"/>
      <c r="U242" s="581"/>
    </row>
    <row r="243" spans="3:21">
      <c r="C243" s="581"/>
      <c r="D243" s="581"/>
      <c r="E243" s="581"/>
      <c r="F243" s="581"/>
      <c r="G243" s="581"/>
      <c r="H243" s="581"/>
      <c r="I243" s="581"/>
      <c r="J243" s="581"/>
      <c r="K243" s="581"/>
      <c r="L243" s="581"/>
      <c r="M243" s="581"/>
      <c r="N243" s="581"/>
      <c r="O243" s="581"/>
      <c r="P243" s="581"/>
      <c r="Q243" s="581"/>
      <c r="R243" s="581"/>
      <c r="S243" s="581"/>
      <c r="T243" s="581"/>
      <c r="U243" s="581"/>
    </row>
    <row r="244" spans="3:21">
      <c r="C244" s="581"/>
      <c r="D244" s="581"/>
      <c r="E244" s="581"/>
      <c r="F244" s="581"/>
      <c r="G244" s="581"/>
      <c r="H244" s="581"/>
      <c r="I244" s="581"/>
      <c r="J244" s="581"/>
      <c r="K244" s="581"/>
      <c r="L244" s="581"/>
      <c r="M244" s="581"/>
      <c r="N244" s="581"/>
      <c r="O244" s="581"/>
      <c r="P244" s="581"/>
      <c r="Q244" s="581"/>
      <c r="R244" s="581"/>
      <c r="S244" s="581"/>
      <c r="T244" s="581"/>
      <c r="U244" s="581"/>
    </row>
    <row r="245" spans="3:21">
      <c r="C245" s="581"/>
      <c r="D245" s="581"/>
      <c r="E245" s="581"/>
      <c r="F245" s="581"/>
      <c r="G245" s="581"/>
      <c r="H245" s="581"/>
      <c r="I245" s="581"/>
      <c r="J245" s="581"/>
      <c r="K245" s="581"/>
      <c r="L245" s="581"/>
      <c r="M245" s="581"/>
      <c r="N245" s="581"/>
      <c r="O245" s="581"/>
      <c r="P245" s="581"/>
      <c r="Q245" s="581"/>
      <c r="R245" s="581"/>
      <c r="S245" s="581"/>
      <c r="T245" s="581"/>
      <c r="U245" s="581"/>
    </row>
    <row r="246" spans="3:21">
      <c r="C246" s="581"/>
      <c r="D246" s="581"/>
      <c r="E246" s="581"/>
      <c r="F246" s="581"/>
      <c r="G246" s="581"/>
      <c r="H246" s="581"/>
      <c r="I246" s="581"/>
      <c r="J246" s="581"/>
      <c r="K246" s="581"/>
      <c r="L246" s="581"/>
      <c r="M246" s="581"/>
      <c r="N246" s="581"/>
      <c r="O246" s="581"/>
      <c r="P246" s="581"/>
      <c r="Q246" s="581"/>
      <c r="R246" s="581"/>
      <c r="S246" s="581"/>
      <c r="T246" s="581"/>
      <c r="U246" s="581"/>
    </row>
    <row r="247" spans="3:21">
      <c r="C247" s="581"/>
      <c r="D247" s="581"/>
      <c r="E247" s="581"/>
      <c r="F247" s="581"/>
      <c r="G247" s="581"/>
      <c r="H247" s="581"/>
      <c r="I247" s="581"/>
      <c r="J247" s="581"/>
      <c r="K247" s="581"/>
      <c r="L247" s="581"/>
      <c r="M247" s="581"/>
      <c r="N247" s="581"/>
      <c r="O247" s="581"/>
      <c r="P247" s="581"/>
      <c r="Q247" s="581"/>
      <c r="R247" s="581"/>
      <c r="S247" s="581"/>
      <c r="T247" s="581"/>
      <c r="U247" s="581"/>
    </row>
    <row r="248" spans="3:21">
      <c r="C248" s="581"/>
      <c r="D248" s="581"/>
      <c r="E248" s="581"/>
      <c r="F248" s="581"/>
      <c r="G248" s="581"/>
      <c r="H248" s="581"/>
      <c r="I248" s="581"/>
      <c r="J248" s="581"/>
      <c r="K248" s="581"/>
      <c r="L248" s="581"/>
      <c r="M248" s="581"/>
      <c r="N248" s="581"/>
      <c r="O248" s="581"/>
      <c r="P248" s="581"/>
      <c r="Q248" s="581"/>
      <c r="R248" s="581"/>
      <c r="S248" s="581"/>
      <c r="T248" s="581"/>
      <c r="U248" s="581"/>
    </row>
    <row r="249" spans="3:21">
      <c r="C249" s="581"/>
      <c r="D249" s="581"/>
      <c r="E249" s="581"/>
      <c r="F249" s="581"/>
      <c r="G249" s="581"/>
      <c r="H249" s="581"/>
      <c r="I249" s="581"/>
      <c r="J249" s="581"/>
      <c r="K249" s="581"/>
      <c r="L249" s="581"/>
      <c r="M249" s="581"/>
      <c r="N249" s="581"/>
      <c r="O249" s="581"/>
      <c r="P249" s="581"/>
      <c r="Q249" s="581"/>
      <c r="R249" s="581"/>
      <c r="S249" s="581"/>
      <c r="T249" s="581"/>
      <c r="U249" s="581"/>
    </row>
    <row r="250" spans="3:21">
      <c r="C250" s="581"/>
      <c r="D250" s="581"/>
      <c r="E250" s="581"/>
      <c r="F250" s="581"/>
      <c r="G250" s="581"/>
      <c r="H250" s="581"/>
      <c r="I250" s="581"/>
      <c r="J250" s="581"/>
      <c r="K250" s="581"/>
      <c r="L250" s="581"/>
      <c r="M250" s="581"/>
      <c r="N250" s="581"/>
      <c r="O250" s="581"/>
      <c r="P250" s="581"/>
      <c r="Q250" s="581"/>
      <c r="R250" s="581"/>
      <c r="S250" s="581"/>
      <c r="T250" s="581"/>
      <c r="U250" s="581"/>
    </row>
    <row r="251" spans="3:21">
      <c r="C251" s="581"/>
      <c r="D251" s="581"/>
      <c r="E251" s="581"/>
      <c r="F251" s="581"/>
      <c r="G251" s="581"/>
      <c r="H251" s="581"/>
      <c r="I251" s="581"/>
      <c r="J251" s="581"/>
      <c r="K251" s="581"/>
      <c r="L251" s="581"/>
      <c r="M251" s="581"/>
      <c r="N251" s="581"/>
      <c r="O251" s="581"/>
      <c r="P251" s="581"/>
      <c r="Q251" s="581"/>
      <c r="R251" s="581"/>
      <c r="S251" s="581"/>
      <c r="T251" s="581"/>
      <c r="U251" s="581"/>
    </row>
    <row r="252" spans="3:21">
      <c r="C252" s="581"/>
      <c r="D252" s="581"/>
      <c r="E252" s="581"/>
      <c r="F252" s="581"/>
      <c r="G252" s="581"/>
      <c r="H252" s="581"/>
      <c r="I252" s="581"/>
      <c r="J252" s="581"/>
      <c r="K252" s="581"/>
      <c r="L252" s="581"/>
      <c r="M252" s="581"/>
      <c r="N252" s="581"/>
      <c r="O252" s="581"/>
      <c r="P252" s="581"/>
      <c r="Q252" s="581"/>
      <c r="R252" s="581"/>
      <c r="S252" s="581"/>
      <c r="T252" s="581"/>
      <c r="U252" s="581"/>
    </row>
    <row r="253" spans="3:21">
      <c r="C253" s="581"/>
      <c r="D253" s="581"/>
      <c r="E253" s="581"/>
      <c r="F253" s="581"/>
      <c r="G253" s="581"/>
      <c r="H253" s="581"/>
      <c r="I253" s="581"/>
      <c r="J253" s="581"/>
      <c r="K253" s="581"/>
      <c r="L253" s="581"/>
      <c r="M253" s="581"/>
      <c r="N253" s="581"/>
      <c r="O253" s="581"/>
      <c r="P253" s="581"/>
      <c r="Q253" s="581"/>
      <c r="R253" s="581"/>
      <c r="S253" s="581"/>
      <c r="T253" s="581"/>
      <c r="U253" s="581"/>
    </row>
    <row r="254" spans="3:21">
      <c r="C254" s="581"/>
      <c r="D254" s="581"/>
      <c r="E254" s="581"/>
      <c r="F254" s="581"/>
      <c r="G254" s="581"/>
      <c r="H254" s="581"/>
      <c r="I254" s="581"/>
      <c r="J254" s="581"/>
      <c r="K254" s="581"/>
      <c r="L254" s="581"/>
      <c r="M254" s="581"/>
      <c r="N254" s="581"/>
      <c r="O254" s="581"/>
      <c r="P254" s="581"/>
      <c r="Q254" s="581"/>
      <c r="R254" s="581"/>
      <c r="S254" s="581"/>
      <c r="T254" s="581"/>
      <c r="U254" s="581"/>
    </row>
    <row r="255" spans="3:21">
      <c r="C255" s="581"/>
      <c r="D255" s="581"/>
      <c r="E255" s="581"/>
      <c r="F255" s="581"/>
      <c r="G255" s="581"/>
      <c r="H255" s="581"/>
      <c r="I255" s="581"/>
      <c r="J255" s="581"/>
      <c r="K255" s="581"/>
      <c r="L255" s="581"/>
      <c r="M255" s="581"/>
      <c r="N255" s="581"/>
      <c r="O255" s="581"/>
      <c r="P255" s="581"/>
      <c r="Q255" s="581"/>
      <c r="R255" s="581"/>
      <c r="S255" s="581"/>
      <c r="T255" s="581"/>
      <c r="U255" s="581"/>
    </row>
    <row r="256" spans="3:21">
      <c r="C256" s="581"/>
      <c r="D256" s="581"/>
      <c r="E256" s="581"/>
      <c r="F256" s="581"/>
      <c r="G256" s="581"/>
      <c r="H256" s="581"/>
      <c r="I256" s="581"/>
      <c r="J256" s="581"/>
      <c r="K256" s="581"/>
      <c r="L256" s="581"/>
      <c r="M256" s="581"/>
      <c r="N256" s="581"/>
      <c r="O256" s="581"/>
      <c r="P256" s="581"/>
      <c r="Q256" s="581"/>
      <c r="R256" s="581"/>
      <c r="S256" s="581"/>
      <c r="T256" s="581"/>
      <c r="U256" s="581"/>
    </row>
    <row r="257" spans="3:21">
      <c r="C257" s="581"/>
      <c r="D257" s="581"/>
      <c r="E257" s="581"/>
      <c r="F257" s="581"/>
      <c r="G257" s="581"/>
      <c r="H257" s="581"/>
      <c r="I257" s="581"/>
      <c r="J257" s="581"/>
      <c r="K257" s="581"/>
      <c r="L257" s="581"/>
      <c r="M257" s="581"/>
      <c r="N257" s="581"/>
      <c r="O257" s="581"/>
      <c r="P257" s="581"/>
      <c r="Q257" s="581"/>
      <c r="R257" s="581"/>
      <c r="S257" s="581"/>
      <c r="T257" s="581"/>
      <c r="U257" s="581"/>
    </row>
    <row r="258" spans="3:21">
      <c r="C258" s="581"/>
      <c r="D258" s="581"/>
      <c r="E258" s="581"/>
      <c r="F258" s="581"/>
      <c r="G258" s="581"/>
      <c r="H258" s="581"/>
      <c r="I258" s="581"/>
      <c r="J258" s="581"/>
      <c r="K258" s="581"/>
      <c r="L258" s="581"/>
      <c r="M258" s="581"/>
      <c r="N258" s="581"/>
      <c r="O258" s="581"/>
      <c r="P258" s="581"/>
      <c r="Q258" s="581"/>
      <c r="R258" s="581"/>
      <c r="S258" s="581"/>
      <c r="T258" s="581"/>
      <c r="U258" s="581"/>
    </row>
    <row r="259" spans="3:21">
      <c r="C259" s="581"/>
      <c r="D259" s="581"/>
      <c r="E259" s="581"/>
      <c r="F259" s="581"/>
      <c r="G259" s="581"/>
      <c r="H259" s="581"/>
      <c r="I259" s="581"/>
      <c r="J259" s="581"/>
      <c r="K259" s="581"/>
      <c r="L259" s="581"/>
      <c r="M259" s="581"/>
      <c r="N259" s="581"/>
      <c r="O259" s="581"/>
      <c r="P259" s="581"/>
      <c r="Q259" s="581"/>
      <c r="R259" s="581"/>
      <c r="S259" s="581"/>
      <c r="T259" s="581"/>
      <c r="U259" s="581"/>
    </row>
    <row r="260" spans="3:21">
      <c r="C260" s="581"/>
      <c r="D260" s="581"/>
      <c r="E260" s="581"/>
      <c r="F260" s="581"/>
      <c r="G260" s="581"/>
      <c r="H260" s="581"/>
      <c r="I260" s="581"/>
      <c r="J260" s="581"/>
      <c r="K260" s="581"/>
      <c r="L260" s="581"/>
      <c r="M260" s="581"/>
      <c r="N260" s="581"/>
      <c r="O260" s="581"/>
      <c r="P260" s="581"/>
      <c r="Q260" s="581"/>
      <c r="R260" s="581"/>
      <c r="S260" s="581"/>
      <c r="T260" s="581"/>
      <c r="U260" s="581"/>
    </row>
    <row r="261" spans="3:21">
      <c r="C261" s="581"/>
      <c r="D261" s="581"/>
      <c r="E261" s="581"/>
      <c r="F261" s="581"/>
      <c r="G261" s="581"/>
      <c r="H261" s="581"/>
      <c r="I261" s="581"/>
      <c r="J261" s="581"/>
      <c r="K261" s="581"/>
      <c r="L261" s="581"/>
      <c r="M261" s="581"/>
      <c r="N261" s="581"/>
      <c r="O261" s="581"/>
      <c r="P261" s="581"/>
      <c r="Q261" s="581"/>
      <c r="R261" s="581"/>
      <c r="S261" s="581"/>
      <c r="T261" s="581"/>
      <c r="U261" s="581"/>
    </row>
    <row r="262" spans="3:21">
      <c r="C262" s="581"/>
      <c r="D262" s="581"/>
      <c r="E262" s="581"/>
      <c r="F262" s="581"/>
      <c r="G262" s="581"/>
      <c r="H262" s="581"/>
      <c r="I262" s="581"/>
      <c r="J262" s="581"/>
      <c r="K262" s="581"/>
      <c r="L262" s="581"/>
      <c r="M262" s="581"/>
      <c r="N262" s="581"/>
      <c r="O262" s="581"/>
      <c r="P262" s="581"/>
      <c r="Q262" s="581"/>
      <c r="R262" s="581"/>
      <c r="S262" s="581"/>
      <c r="T262" s="581"/>
      <c r="U262" s="581"/>
    </row>
    <row r="263" spans="3:21">
      <c r="C263" s="581"/>
      <c r="D263" s="581"/>
      <c r="E263" s="581"/>
      <c r="F263" s="581"/>
      <c r="G263" s="581"/>
      <c r="H263" s="581"/>
      <c r="I263" s="581"/>
      <c r="J263" s="581"/>
      <c r="K263" s="581"/>
      <c r="L263" s="581"/>
      <c r="M263" s="581"/>
      <c r="N263" s="581"/>
      <c r="O263" s="581"/>
      <c r="P263" s="581"/>
      <c r="Q263" s="581"/>
      <c r="R263" s="581"/>
      <c r="S263" s="581"/>
      <c r="T263" s="581"/>
      <c r="U263" s="581"/>
    </row>
    <row r="264" spans="3:21">
      <c r="C264" s="581"/>
      <c r="D264" s="581"/>
      <c r="E264" s="581"/>
      <c r="F264" s="581"/>
      <c r="G264" s="581"/>
      <c r="H264" s="581"/>
      <c r="I264" s="581"/>
      <c r="J264" s="581"/>
      <c r="K264" s="581"/>
      <c r="L264" s="581"/>
      <c r="M264" s="581"/>
      <c r="N264" s="581"/>
      <c r="O264" s="581"/>
      <c r="P264" s="581"/>
      <c r="Q264" s="581"/>
      <c r="R264" s="581"/>
      <c r="S264" s="581"/>
      <c r="T264" s="581"/>
      <c r="U264" s="581"/>
    </row>
    <row r="265" spans="3:21">
      <c r="C265" s="581"/>
      <c r="D265" s="581"/>
      <c r="E265" s="581"/>
      <c r="F265" s="581"/>
      <c r="G265" s="581"/>
      <c r="H265" s="581"/>
      <c r="I265" s="581"/>
      <c r="J265" s="581"/>
      <c r="K265" s="581"/>
      <c r="L265" s="581"/>
      <c r="M265" s="581"/>
      <c r="N265" s="581"/>
      <c r="O265" s="581"/>
      <c r="P265" s="581"/>
      <c r="Q265" s="581"/>
      <c r="R265" s="581"/>
      <c r="S265" s="581"/>
      <c r="T265" s="581"/>
      <c r="U265" s="581"/>
    </row>
    <row r="266" spans="3:21">
      <c r="C266" s="581"/>
      <c r="D266" s="581"/>
      <c r="E266" s="581"/>
      <c r="F266" s="581"/>
      <c r="G266" s="581"/>
      <c r="H266" s="581"/>
      <c r="I266" s="581"/>
      <c r="J266" s="581"/>
      <c r="K266" s="581"/>
      <c r="L266" s="581"/>
      <c r="M266" s="581"/>
      <c r="N266" s="581"/>
      <c r="O266" s="581"/>
      <c r="P266" s="581"/>
      <c r="Q266" s="581"/>
      <c r="R266" s="581"/>
      <c r="S266" s="581"/>
      <c r="T266" s="581"/>
      <c r="U266" s="581"/>
    </row>
    <row r="267" spans="3:21">
      <c r="C267" s="581"/>
      <c r="D267" s="581"/>
      <c r="E267" s="581"/>
      <c r="F267" s="581"/>
      <c r="G267" s="581"/>
      <c r="H267" s="581"/>
      <c r="I267" s="581"/>
      <c r="J267" s="581"/>
      <c r="K267" s="581"/>
      <c r="L267" s="581"/>
      <c r="M267" s="581"/>
      <c r="N267" s="581"/>
      <c r="O267" s="581"/>
      <c r="P267" s="581"/>
      <c r="Q267" s="581"/>
      <c r="R267" s="581"/>
      <c r="S267" s="581"/>
      <c r="T267" s="581"/>
      <c r="U267" s="581"/>
    </row>
    <row r="268" spans="3:21">
      <c r="C268" s="581"/>
      <c r="D268" s="581"/>
      <c r="E268" s="581"/>
      <c r="F268" s="581"/>
      <c r="G268" s="581"/>
      <c r="H268" s="581"/>
      <c r="I268" s="581"/>
      <c r="J268" s="581"/>
      <c r="K268" s="581"/>
      <c r="L268" s="581"/>
      <c r="M268" s="581"/>
      <c r="N268" s="581"/>
      <c r="O268" s="581"/>
      <c r="P268" s="581"/>
      <c r="Q268" s="581"/>
      <c r="R268" s="581"/>
      <c r="S268" s="581"/>
      <c r="T268" s="581"/>
      <c r="U268" s="581"/>
    </row>
    <row r="269" spans="3:21">
      <c r="C269" s="581"/>
      <c r="D269" s="581"/>
      <c r="E269" s="581"/>
      <c r="F269" s="581"/>
      <c r="G269" s="581"/>
      <c r="H269" s="581"/>
      <c r="I269" s="581"/>
      <c r="J269" s="581"/>
      <c r="K269" s="581"/>
      <c r="L269" s="581"/>
      <c r="M269" s="581"/>
      <c r="N269" s="581"/>
      <c r="O269" s="581"/>
      <c r="P269" s="581"/>
      <c r="Q269" s="581"/>
      <c r="R269" s="581"/>
      <c r="S269" s="581"/>
      <c r="T269" s="581"/>
      <c r="U269" s="581"/>
    </row>
    <row r="270" spans="3:21">
      <c r="C270" s="581"/>
      <c r="D270" s="581"/>
      <c r="E270" s="581"/>
      <c r="F270" s="581"/>
      <c r="G270" s="581"/>
      <c r="H270" s="581"/>
      <c r="I270" s="581"/>
      <c r="J270" s="581"/>
      <c r="K270" s="581"/>
      <c r="L270" s="581"/>
      <c r="M270" s="581"/>
      <c r="N270" s="581"/>
      <c r="O270" s="581"/>
      <c r="P270" s="581"/>
      <c r="Q270" s="581"/>
      <c r="R270" s="581"/>
      <c r="S270" s="581"/>
      <c r="T270" s="581"/>
      <c r="U270" s="581"/>
    </row>
    <row r="271" spans="3:21">
      <c r="C271" s="581"/>
      <c r="D271" s="581"/>
      <c r="E271" s="581"/>
      <c r="F271" s="581"/>
      <c r="G271" s="581"/>
      <c r="H271" s="581"/>
      <c r="I271" s="581"/>
      <c r="J271" s="581"/>
      <c r="K271" s="581"/>
      <c r="L271" s="581"/>
      <c r="M271" s="581"/>
      <c r="N271" s="581"/>
      <c r="O271" s="581"/>
      <c r="P271" s="581"/>
      <c r="Q271" s="581"/>
      <c r="R271" s="581"/>
      <c r="S271" s="581"/>
      <c r="T271" s="581"/>
      <c r="U271" s="581"/>
    </row>
    <row r="272" spans="3:21">
      <c r="C272" s="581"/>
      <c r="D272" s="581"/>
      <c r="E272" s="581"/>
      <c r="F272" s="581"/>
      <c r="G272" s="581"/>
      <c r="H272" s="581"/>
      <c r="I272" s="581"/>
      <c r="J272" s="581"/>
      <c r="K272" s="581"/>
      <c r="L272" s="581"/>
      <c r="M272" s="581"/>
      <c r="N272" s="581"/>
      <c r="O272" s="581"/>
      <c r="P272" s="581"/>
      <c r="Q272" s="581"/>
      <c r="R272" s="581"/>
      <c r="S272" s="581"/>
      <c r="T272" s="581"/>
      <c r="U272" s="581"/>
    </row>
    <row r="273" spans="3:21">
      <c r="C273" s="581"/>
      <c r="D273" s="581"/>
      <c r="E273" s="581"/>
      <c r="F273" s="581"/>
      <c r="G273" s="581"/>
      <c r="H273" s="581"/>
      <c r="I273" s="581"/>
      <c r="J273" s="581"/>
      <c r="K273" s="581"/>
      <c r="L273" s="581"/>
      <c r="M273" s="581"/>
      <c r="N273" s="581"/>
      <c r="O273" s="581"/>
      <c r="P273" s="581"/>
      <c r="Q273" s="581"/>
      <c r="R273" s="581"/>
      <c r="S273" s="581"/>
      <c r="T273" s="581"/>
      <c r="U273" s="581"/>
    </row>
    <row r="274" spans="3:21">
      <c r="C274" s="581"/>
      <c r="D274" s="581"/>
      <c r="E274" s="581"/>
      <c r="F274" s="581"/>
      <c r="G274" s="581"/>
      <c r="H274" s="581"/>
      <c r="I274" s="581"/>
      <c r="J274" s="581"/>
      <c r="K274" s="581"/>
      <c r="L274" s="581"/>
      <c r="M274" s="581"/>
      <c r="N274" s="581"/>
      <c r="O274" s="581"/>
      <c r="P274" s="581"/>
      <c r="Q274" s="581"/>
      <c r="R274" s="581"/>
      <c r="S274" s="581"/>
      <c r="T274" s="581"/>
      <c r="U274" s="581"/>
    </row>
    <row r="275" spans="3:21">
      <c r="C275" s="581"/>
      <c r="D275" s="581"/>
      <c r="E275" s="581"/>
      <c r="F275" s="581"/>
      <c r="G275" s="581"/>
      <c r="H275" s="581"/>
      <c r="I275" s="581"/>
      <c r="J275" s="581"/>
      <c r="K275" s="581"/>
      <c r="L275" s="581"/>
      <c r="M275" s="581"/>
      <c r="N275" s="581"/>
      <c r="O275" s="581"/>
      <c r="P275" s="581"/>
      <c r="Q275" s="581"/>
      <c r="R275" s="581"/>
      <c r="S275" s="581"/>
      <c r="T275" s="581"/>
      <c r="U275" s="581"/>
    </row>
    <row r="276" spans="3:21">
      <c r="C276" s="581"/>
      <c r="D276" s="581"/>
      <c r="E276" s="581"/>
      <c r="F276" s="581"/>
      <c r="G276" s="581"/>
      <c r="H276" s="581"/>
      <c r="I276" s="581"/>
      <c r="J276" s="581"/>
      <c r="K276" s="581"/>
      <c r="L276" s="581"/>
      <c r="M276" s="581"/>
      <c r="N276" s="581"/>
      <c r="O276" s="581"/>
      <c r="P276" s="581"/>
      <c r="Q276" s="581"/>
      <c r="R276" s="581"/>
      <c r="S276" s="581"/>
      <c r="T276" s="581"/>
      <c r="U276" s="581"/>
    </row>
    <row r="277" spans="3:21">
      <c r="C277" s="581"/>
      <c r="D277" s="581"/>
      <c r="E277" s="581"/>
      <c r="F277" s="581"/>
      <c r="G277" s="581"/>
      <c r="H277" s="581"/>
      <c r="I277" s="581"/>
      <c r="J277" s="581"/>
      <c r="K277" s="581"/>
      <c r="L277" s="581"/>
      <c r="M277" s="581"/>
      <c r="N277" s="581"/>
      <c r="O277" s="581"/>
      <c r="P277" s="581"/>
      <c r="Q277" s="581"/>
      <c r="R277" s="581"/>
      <c r="S277" s="581"/>
      <c r="T277" s="581"/>
      <c r="U277" s="581"/>
    </row>
    <row r="278" spans="3:21">
      <c r="C278" s="581"/>
      <c r="D278" s="581"/>
      <c r="E278" s="581"/>
      <c r="F278" s="581"/>
      <c r="G278" s="581"/>
      <c r="H278" s="581"/>
      <c r="I278" s="581"/>
      <c r="J278" s="581"/>
      <c r="K278" s="581"/>
      <c r="L278" s="581"/>
      <c r="M278" s="581"/>
      <c r="N278" s="581"/>
      <c r="O278" s="581"/>
      <c r="P278" s="581"/>
      <c r="Q278" s="581"/>
      <c r="R278" s="581"/>
      <c r="S278" s="581"/>
      <c r="T278" s="581"/>
      <c r="U278" s="581"/>
    </row>
    <row r="279" spans="3:21">
      <c r="C279" s="581"/>
      <c r="D279" s="581"/>
      <c r="E279" s="581"/>
      <c r="F279" s="581"/>
      <c r="G279" s="581"/>
      <c r="H279" s="581"/>
      <c r="I279" s="581"/>
      <c r="J279" s="581"/>
      <c r="K279" s="581"/>
      <c r="L279" s="581"/>
      <c r="M279" s="581"/>
      <c r="N279" s="581"/>
      <c r="O279" s="581"/>
      <c r="P279" s="581"/>
      <c r="Q279" s="581"/>
      <c r="R279" s="581"/>
      <c r="S279" s="581"/>
      <c r="T279" s="581"/>
      <c r="U279" s="581"/>
    </row>
    <row r="280" spans="3:21">
      <c r="C280" s="581"/>
      <c r="D280" s="581"/>
      <c r="E280" s="581"/>
      <c r="F280" s="581"/>
      <c r="G280" s="581"/>
      <c r="H280" s="581"/>
      <c r="I280" s="581"/>
      <c r="J280" s="581"/>
      <c r="K280" s="581"/>
      <c r="L280" s="581"/>
      <c r="M280" s="581"/>
      <c r="N280" s="581"/>
      <c r="O280" s="581"/>
      <c r="P280" s="581"/>
      <c r="Q280" s="581"/>
      <c r="R280" s="581"/>
      <c r="S280" s="581"/>
      <c r="T280" s="581"/>
      <c r="U280" s="581"/>
    </row>
    <row r="281" spans="3:21">
      <c r="C281" s="581"/>
      <c r="D281" s="581"/>
      <c r="E281" s="581"/>
      <c r="F281" s="581"/>
      <c r="G281" s="581"/>
      <c r="H281" s="581"/>
      <c r="I281" s="581"/>
      <c r="J281" s="581"/>
      <c r="K281" s="581"/>
      <c r="L281" s="581"/>
      <c r="M281" s="581"/>
      <c r="N281" s="581"/>
      <c r="O281" s="581"/>
      <c r="P281" s="581"/>
      <c r="Q281" s="581"/>
      <c r="R281" s="581"/>
      <c r="S281" s="581"/>
      <c r="T281" s="581"/>
      <c r="U281" s="581"/>
    </row>
    <row r="282" spans="3:21">
      <c r="C282" s="581"/>
      <c r="D282" s="581"/>
      <c r="E282" s="581"/>
      <c r="F282" s="581"/>
      <c r="G282" s="581"/>
      <c r="H282" s="581"/>
      <c r="I282" s="581"/>
      <c r="J282" s="581"/>
      <c r="K282" s="581"/>
      <c r="L282" s="581"/>
      <c r="M282" s="581"/>
      <c r="N282" s="581"/>
      <c r="O282" s="581"/>
      <c r="P282" s="581"/>
      <c r="Q282" s="581"/>
      <c r="R282" s="581"/>
      <c r="S282" s="581"/>
      <c r="T282" s="581"/>
      <c r="U282" s="581"/>
    </row>
    <row r="283" spans="3:21">
      <c r="C283" s="581"/>
      <c r="D283" s="581"/>
      <c r="E283" s="581"/>
      <c r="F283" s="581"/>
      <c r="G283" s="581"/>
      <c r="H283" s="581"/>
      <c r="I283" s="581"/>
      <c r="J283" s="581"/>
      <c r="K283" s="581"/>
      <c r="L283" s="581"/>
      <c r="M283" s="581"/>
      <c r="N283" s="581"/>
      <c r="O283" s="581"/>
      <c r="P283" s="581"/>
      <c r="Q283" s="581"/>
      <c r="R283" s="581"/>
      <c r="S283" s="581"/>
      <c r="T283" s="581"/>
      <c r="U283" s="581"/>
    </row>
    <row r="284" spans="3:21">
      <c r="C284" s="581"/>
      <c r="D284" s="581"/>
      <c r="E284" s="581"/>
      <c r="F284" s="581"/>
      <c r="G284" s="581"/>
      <c r="H284" s="581"/>
      <c r="I284" s="581"/>
      <c r="J284" s="581"/>
      <c r="K284" s="581"/>
      <c r="L284" s="581"/>
      <c r="M284" s="581"/>
      <c r="N284" s="581"/>
      <c r="O284" s="581"/>
      <c r="P284" s="581"/>
      <c r="Q284" s="581"/>
      <c r="R284" s="581"/>
      <c r="S284" s="581"/>
      <c r="T284" s="581"/>
      <c r="U284" s="581"/>
    </row>
    <row r="285" spans="3:21">
      <c r="C285" s="581"/>
      <c r="D285" s="581"/>
      <c r="E285" s="581"/>
      <c r="F285" s="581"/>
      <c r="G285" s="581"/>
      <c r="H285" s="581"/>
      <c r="I285" s="581"/>
      <c r="J285" s="581"/>
      <c r="K285" s="581"/>
      <c r="L285" s="581"/>
      <c r="M285" s="581"/>
      <c r="N285" s="581"/>
      <c r="O285" s="581"/>
      <c r="P285" s="581"/>
      <c r="Q285" s="581"/>
      <c r="R285" s="581"/>
      <c r="S285" s="581"/>
      <c r="T285" s="581"/>
      <c r="U285" s="581"/>
    </row>
    <row r="286" spans="3:21">
      <c r="C286" s="581"/>
      <c r="D286" s="581"/>
      <c r="E286" s="581"/>
      <c r="F286" s="581"/>
      <c r="G286" s="581"/>
      <c r="H286" s="581"/>
      <c r="I286" s="581"/>
      <c r="J286" s="581"/>
      <c r="K286" s="581"/>
      <c r="L286" s="581"/>
      <c r="M286" s="581"/>
      <c r="N286" s="581"/>
      <c r="O286" s="581"/>
      <c r="P286" s="581"/>
      <c r="Q286" s="581"/>
      <c r="R286" s="581"/>
      <c r="S286" s="581"/>
      <c r="T286" s="581"/>
      <c r="U286" s="581"/>
    </row>
    <row r="287" spans="3:21">
      <c r="C287" s="581"/>
      <c r="D287" s="581"/>
      <c r="E287" s="581"/>
      <c r="F287" s="581"/>
      <c r="G287" s="581"/>
      <c r="H287" s="581"/>
      <c r="I287" s="581"/>
      <c r="J287" s="581"/>
      <c r="K287" s="581"/>
      <c r="L287" s="581"/>
      <c r="M287" s="581"/>
      <c r="N287" s="581"/>
      <c r="O287" s="581"/>
      <c r="P287" s="581"/>
      <c r="Q287" s="581"/>
      <c r="R287" s="581"/>
      <c r="S287" s="581"/>
      <c r="T287" s="581"/>
      <c r="U287" s="581"/>
    </row>
    <row r="288" spans="3:21">
      <c r="C288" s="581"/>
      <c r="D288" s="581"/>
      <c r="E288" s="581"/>
      <c r="F288" s="581"/>
      <c r="G288" s="581"/>
      <c r="H288" s="581"/>
      <c r="I288" s="581"/>
      <c r="J288" s="581"/>
      <c r="K288" s="581"/>
      <c r="L288" s="581"/>
      <c r="M288" s="581"/>
      <c r="N288" s="581"/>
      <c r="O288" s="581"/>
      <c r="P288" s="581"/>
      <c r="Q288" s="581"/>
      <c r="R288" s="581"/>
      <c r="S288" s="581"/>
      <c r="T288" s="581"/>
      <c r="U288" s="581"/>
    </row>
    <row r="289" spans="3:21">
      <c r="C289" s="581"/>
      <c r="D289" s="581"/>
      <c r="E289" s="581"/>
      <c r="F289" s="581"/>
      <c r="G289" s="581"/>
      <c r="H289" s="581"/>
      <c r="I289" s="581"/>
      <c r="J289" s="581"/>
      <c r="K289" s="581"/>
      <c r="L289" s="581"/>
      <c r="M289" s="581"/>
      <c r="N289" s="581"/>
      <c r="O289" s="581"/>
      <c r="P289" s="581"/>
      <c r="Q289" s="581"/>
      <c r="R289" s="581"/>
      <c r="S289" s="581"/>
      <c r="T289" s="581"/>
      <c r="U289" s="581"/>
    </row>
    <row r="290" spans="3:21">
      <c r="C290" s="581"/>
      <c r="D290" s="581"/>
      <c r="E290" s="581"/>
      <c r="F290" s="581"/>
      <c r="G290" s="581"/>
      <c r="H290" s="581"/>
      <c r="I290" s="581"/>
      <c r="J290" s="581"/>
      <c r="K290" s="581"/>
      <c r="L290" s="581"/>
      <c r="M290" s="581"/>
      <c r="N290" s="581"/>
      <c r="O290" s="581"/>
      <c r="P290" s="581"/>
      <c r="Q290" s="581"/>
      <c r="R290" s="581"/>
      <c r="S290" s="581"/>
      <c r="T290" s="581"/>
      <c r="U290" s="581"/>
    </row>
    <row r="291" spans="3:21">
      <c r="C291" s="581"/>
      <c r="D291" s="581"/>
      <c r="E291" s="581"/>
      <c r="F291" s="581"/>
      <c r="G291" s="581"/>
      <c r="H291" s="581"/>
      <c r="I291" s="581"/>
      <c r="J291" s="581"/>
      <c r="K291" s="581"/>
      <c r="L291" s="581"/>
      <c r="M291" s="581"/>
      <c r="N291" s="581"/>
      <c r="O291" s="581"/>
      <c r="P291" s="581"/>
      <c r="Q291" s="581"/>
      <c r="R291" s="581"/>
      <c r="S291" s="581"/>
      <c r="T291" s="581"/>
      <c r="U291" s="581"/>
    </row>
    <row r="292" spans="3:21">
      <c r="C292" s="581"/>
      <c r="D292" s="581"/>
      <c r="E292" s="581"/>
      <c r="F292" s="581"/>
      <c r="G292" s="581"/>
      <c r="H292" s="581"/>
      <c r="I292" s="581"/>
      <c r="J292" s="581"/>
      <c r="K292" s="581"/>
      <c r="L292" s="581"/>
      <c r="M292" s="581"/>
      <c r="N292" s="581"/>
      <c r="O292" s="581"/>
      <c r="P292" s="581"/>
      <c r="Q292" s="581"/>
      <c r="R292" s="581"/>
      <c r="S292" s="581"/>
      <c r="T292" s="581"/>
      <c r="U292" s="581"/>
    </row>
    <row r="293" spans="3:21">
      <c r="C293" s="581"/>
      <c r="D293" s="581"/>
      <c r="E293" s="581"/>
      <c r="F293" s="581"/>
      <c r="G293" s="581"/>
      <c r="H293" s="581"/>
      <c r="I293" s="581"/>
      <c r="J293" s="581"/>
      <c r="K293" s="581"/>
      <c r="L293" s="581"/>
      <c r="M293" s="581"/>
      <c r="N293" s="581"/>
      <c r="O293" s="581"/>
      <c r="P293" s="581"/>
      <c r="Q293" s="581"/>
      <c r="R293" s="581"/>
      <c r="S293" s="581"/>
      <c r="T293" s="581"/>
      <c r="U293" s="581"/>
    </row>
    <row r="294" spans="3:21">
      <c r="C294" s="581"/>
      <c r="D294" s="581"/>
      <c r="E294" s="581"/>
      <c r="F294" s="581"/>
      <c r="G294" s="581"/>
      <c r="H294" s="581"/>
      <c r="I294" s="581"/>
      <c r="J294" s="581"/>
      <c r="K294" s="581"/>
      <c r="L294" s="581"/>
      <c r="M294" s="581"/>
      <c r="N294" s="581"/>
      <c r="O294" s="581"/>
      <c r="P294" s="581"/>
      <c r="Q294" s="581"/>
      <c r="R294" s="581"/>
      <c r="S294" s="581"/>
      <c r="T294" s="581"/>
      <c r="U294" s="581"/>
    </row>
    <row r="295" spans="3:21">
      <c r="C295" s="581"/>
      <c r="D295" s="581"/>
      <c r="E295" s="581"/>
      <c r="F295" s="581"/>
      <c r="G295" s="581"/>
      <c r="H295" s="581"/>
      <c r="I295" s="581"/>
      <c r="J295" s="581"/>
      <c r="K295" s="581"/>
      <c r="L295" s="581"/>
      <c r="M295" s="581"/>
      <c r="N295" s="581"/>
      <c r="O295" s="581"/>
      <c r="P295" s="581"/>
      <c r="Q295" s="581"/>
      <c r="R295" s="581"/>
      <c r="S295" s="581"/>
      <c r="T295" s="581"/>
      <c r="U295" s="581"/>
    </row>
    <row r="296" spans="3:21">
      <c r="C296" s="581"/>
      <c r="D296" s="581"/>
      <c r="E296" s="581"/>
      <c r="F296" s="581"/>
      <c r="G296" s="581"/>
      <c r="H296" s="581"/>
      <c r="I296" s="581"/>
      <c r="J296" s="581"/>
      <c r="K296" s="581"/>
      <c r="L296" s="581"/>
      <c r="M296" s="581"/>
      <c r="N296" s="581"/>
      <c r="O296" s="581"/>
      <c r="P296" s="581"/>
      <c r="Q296" s="581"/>
      <c r="R296" s="581"/>
      <c r="S296" s="581"/>
      <c r="T296" s="581"/>
      <c r="U296" s="581"/>
    </row>
    <row r="297" spans="3:21">
      <c r="C297" s="581"/>
      <c r="D297" s="581"/>
      <c r="E297" s="581"/>
      <c r="F297" s="581"/>
      <c r="G297" s="581"/>
      <c r="H297" s="581"/>
      <c r="I297" s="581"/>
      <c r="J297" s="581"/>
      <c r="K297" s="581"/>
      <c r="L297" s="581"/>
      <c r="M297" s="581"/>
      <c r="N297" s="581"/>
      <c r="O297" s="581"/>
      <c r="P297" s="581"/>
      <c r="Q297" s="581"/>
      <c r="R297" s="581"/>
      <c r="S297" s="581"/>
      <c r="T297" s="581"/>
      <c r="U297" s="581"/>
    </row>
    <row r="298" spans="3:21">
      <c r="C298" s="581"/>
      <c r="D298" s="581"/>
      <c r="E298" s="581"/>
      <c r="F298" s="581"/>
      <c r="G298" s="581"/>
      <c r="H298" s="581"/>
      <c r="I298" s="581"/>
      <c r="J298" s="581"/>
      <c r="K298" s="581"/>
      <c r="L298" s="581"/>
      <c r="M298" s="581"/>
      <c r="N298" s="581"/>
      <c r="O298" s="581"/>
      <c r="P298" s="581"/>
      <c r="Q298" s="581"/>
      <c r="R298" s="581"/>
      <c r="S298" s="581"/>
      <c r="T298" s="581"/>
      <c r="U298" s="581"/>
    </row>
    <row r="299" spans="3:21">
      <c r="C299" s="581"/>
      <c r="D299" s="581"/>
      <c r="E299" s="581"/>
      <c r="F299" s="581"/>
      <c r="G299" s="581"/>
      <c r="H299" s="581"/>
      <c r="I299" s="581"/>
      <c r="J299" s="581"/>
      <c r="K299" s="581"/>
      <c r="L299" s="581"/>
      <c r="M299" s="581"/>
      <c r="N299" s="581"/>
    </row>
    <row r="300" spans="3:21">
      <c r="C300" s="581"/>
      <c r="D300" s="581"/>
      <c r="E300" s="581"/>
      <c r="F300" s="581"/>
      <c r="G300" s="581"/>
      <c r="H300" s="581"/>
      <c r="I300" s="581"/>
      <c r="J300" s="581"/>
      <c r="K300" s="581"/>
      <c r="L300" s="581"/>
      <c r="M300" s="581"/>
      <c r="N300" s="581"/>
    </row>
    <row r="301" spans="3:21">
      <c r="C301" s="581"/>
      <c r="D301" s="581"/>
      <c r="E301" s="581"/>
      <c r="F301" s="581"/>
      <c r="G301" s="581"/>
      <c r="H301" s="581"/>
      <c r="I301" s="581"/>
      <c r="J301" s="581"/>
      <c r="K301" s="581"/>
      <c r="L301" s="581"/>
      <c r="M301" s="581"/>
      <c r="N301" s="581"/>
    </row>
    <row r="302" spans="3:21">
      <c r="C302" s="581"/>
      <c r="D302" s="581"/>
      <c r="E302" s="581"/>
      <c r="F302" s="581"/>
      <c r="G302" s="581"/>
      <c r="H302" s="581"/>
      <c r="I302" s="581"/>
      <c r="J302" s="581"/>
      <c r="K302" s="581"/>
      <c r="L302" s="581"/>
      <c r="M302" s="581"/>
      <c r="N302" s="581"/>
    </row>
    <row r="303" spans="3:21">
      <c r="C303" s="581"/>
      <c r="D303" s="581"/>
      <c r="E303" s="581"/>
      <c r="F303" s="581"/>
      <c r="G303" s="581"/>
      <c r="H303" s="581"/>
      <c r="I303" s="581"/>
      <c r="J303" s="581"/>
      <c r="K303" s="581"/>
      <c r="L303" s="581"/>
      <c r="M303" s="581"/>
      <c r="N303" s="581"/>
    </row>
    <row r="304" spans="3:21">
      <c r="C304" s="581"/>
      <c r="D304" s="581"/>
      <c r="E304" s="581"/>
      <c r="F304" s="581"/>
      <c r="G304" s="581"/>
      <c r="H304" s="581"/>
      <c r="I304" s="581"/>
      <c r="J304" s="581"/>
      <c r="K304" s="581"/>
      <c r="L304" s="581"/>
      <c r="M304" s="581"/>
      <c r="N304" s="581"/>
    </row>
    <row r="305" spans="3:14">
      <c r="C305" s="581"/>
      <c r="D305" s="581"/>
      <c r="E305" s="581"/>
      <c r="F305" s="581"/>
      <c r="G305" s="581"/>
      <c r="H305" s="581"/>
      <c r="I305" s="581"/>
      <c r="J305" s="581"/>
      <c r="K305" s="581"/>
      <c r="L305" s="581"/>
      <c r="M305" s="581"/>
      <c r="N305" s="581"/>
    </row>
    <row r="306" spans="3:14">
      <c r="C306" s="581"/>
      <c r="D306" s="581"/>
      <c r="E306" s="581"/>
      <c r="F306" s="581"/>
      <c r="G306" s="581"/>
      <c r="H306" s="581"/>
      <c r="I306" s="581"/>
      <c r="J306" s="581"/>
      <c r="K306" s="581"/>
      <c r="L306" s="581"/>
      <c r="M306" s="581"/>
      <c r="N306" s="581"/>
    </row>
  </sheetData>
  <mergeCells count="8">
    <mergeCell ref="C106:N106"/>
    <mergeCell ref="C107:N107"/>
    <mergeCell ref="C100:N100"/>
    <mergeCell ref="C101:N101"/>
    <mergeCell ref="C102:N102"/>
    <mergeCell ref="C103:N103"/>
    <mergeCell ref="C104:N104"/>
    <mergeCell ref="C105:N10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76"/>
  <sheetViews>
    <sheetView zoomScale="80" workbookViewId="0">
      <selection sqref="A1:F1"/>
    </sheetView>
  </sheetViews>
  <sheetFormatPr defaultRowHeight="12.75"/>
  <cols>
    <col min="1" max="1" width="5.21875" style="154" customWidth="1"/>
    <col min="2" max="2" width="30.88671875" style="154" customWidth="1"/>
    <col min="3" max="3" width="13" style="154" customWidth="1"/>
    <col min="4" max="4" width="5.21875" style="154" customWidth="1"/>
    <col min="5" max="5" width="30.88671875" style="154" customWidth="1"/>
    <col min="6" max="6" width="13" style="153" customWidth="1"/>
    <col min="7" max="16384" width="8.88671875" style="154"/>
  </cols>
  <sheetData>
    <row r="1" spans="1:6" s="153" customFormat="1" ht="15.75">
      <c r="A1" s="661" t="str">
        <f>Coversheet!B3</f>
        <v>Rochester Public Utilities</v>
      </c>
      <c r="B1" s="661"/>
      <c r="C1" s="661"/>
      <c r="D1" s="661"/>
      <c r="E1" s="661"/>
      <c r="F1" s="661"/>
    </row>
    <row r="2" spans="1:6" s="153" customFormat="1" ht="15">
      <c r="A2" s="662" t="s">
        <v>309</v>
      </c>
      <c r="B2" s="662"/>
      <c r="C2" s="662"/>
      <c r="D2" s="662"/>
      <c r="E2" s="662"/>
      <c r="F2" s="662"/>
    </row>
    <row r="3" spans="1:6" s="153" customFormat="1" ht="15">
      <c r="A3" s="662" t="s">
        <v>310</v>
      </c>
      <c r="B3" s="662"/>
      <c r="C3" s="662"/>
      <c r="D3" s="662"/>
      <c r="E3" s="662"/>
      <c r="F3" s="662"/>
    </row>
    <row r="4" spans="1:6" s="153" customFormat="1" ht="15.75">
      <c r="A4" s="663">
        <v>42369</v>
      </c>
      <c r="B4" s="663"/>
      <c r="C4" s="663"/>
      <c r="D4" s="663"/>
      <c r="E4" s="663"/>
      <c r="F4" s="663"/>
    </row>
    <row r="6" spans="1:6" ht="15">
      <c r="A6" s="664" t="s">
        <v>311</v>
      </c>
      <c r="B6" s="664"/>
      <c r="C6" s="664"/>
      <c r="D6" s="664"/>
      <c r="E6" s="664"/>
      <c r="F6" s="664"/>
    </row>
    <row r="7" spans="1:6">
      <c r="A7" s="155" t="s">
        <v>4</v>
      </c>
      <c r="B7" s="156"/>
      <c r="C7" s="157" t="s">
        <v>312</v>
      </c>
      <c r="D7" s="157" t="s">
        <v>4</v>
      </c>
      <c r="E7" s="156"/>
      <c r="F7" s="265" t="s">
        <v>312</v>
      </c>
    </row>
    <row r="8" spans="1:6">
      <c r="A8" s="158" t="s">
        <v>6</v>
      </c>
      <c r="B8" s="159" t="s">
        <v>313</v>
      </c>
      <c r="C8" s="160" t="s">
        <v>314</v>
      </c>
      <c r="D8" s="160" t="s">
        <v>315</v>
      </c>
      <c r="E8" s="160" t="s">
        <v>316</v>
      </c>
      <c r="F8" s="270" t="s">
        <v>314</v>
      </c>
    </row>
    <row r="9" spans="1:6" ht="15">
      <c r="A9" s="161"/>
      <c r="B9" s="162" t="s">
        <v>317</v>
      </c>
      <c r="C9" s="163"/>
      <c r="D9" s="164"/>
      <c r="E9" s="165" t="s">
        <v>318</v>
      </c>
      <c r="F9" s="271"/>
    </row>
    <row r="10" spans="1:6" ht="15">
      <c r="A10" s="161">
        <v>1</v>
      </c>
      <c r="B10" s="166" t="s">
        <v>319</v>
      </c>
      <c r="C10" s="167"/>
      <c r="D10" s="168"/>
      <c r="E10" s="169"/>
      <c r="F10" s="272"/>
    </row>
    <row r="11" spans="1:6">
      <c r="A11" s="158"/>
      <c r="B11" s="170" t="s">
        <v>320</v>
      </c>
      <c r="C11" s="171">
        <f>ROUND('Plant Sched 4'!G25,0)</f>
        <v>344821446</v>
      </c>
      <c r="D11" s="172">
        <v>29</v>
      </c>
      <c r="E11" s="173" t="s">
        <v>321</v>
      </c>
      <c r="F11" s="171">
        <v>99831741</v>
      </c>
    </row>
    <row r="12" spans="1:6">
      <c r="A12" s="174">
        <v>2</v>
      </c>
      <c r="B12" s="175" t="s">
        <v>322</v>
      </c>
      <c r="C12" s="282">
        <v>19924140</v>
      </c>
      <c r="D12" s="176">
        <v>30</v>
      </c>
      <c r="E12" s="177" t="s">
        <v>323</v>
      </c>
      <c r="F12" s="273">
        <v>0</v>
      </c>
    </row>
    <row r="13" spans="1:6" ht="15">
      <c r="A13" s="161">
        <v>3</v>
      </c>
      <c r="B13" s="166" t="s">
        <v>324</v>
      </c>
      <c r="C13" s="167"/>
      <c r="D13" s="168"/>
      <c r="E13" s="169"/>
      <c r="F13" s="272"/>
    </row>
    <row r="14" spans="1:6" ht="15">
      <c r="A14" s="161"/>
      <c r="B14" s="178" t="s">
        <v>325</v>
      </c>
      <c r="C14" s="167"/>
      <c r="D14" s="168">
        <v>31</v>
      </c>
      <c r="E14" s="169" t="s">
        <v>326</v>
      </c>
      <c r="F14" s="272"/>
    </row>
    <row r="15" spans="1:6" ht="13.5" thickBot="1">
      <c r="A15" s="158"/>
      <c r="B15" s="170" t="s">
        <v>327</v>
      </c>
      <c r="C15" s="179">
        <f>ROUND('Plant Sched 4'!I28,0)</f>
        <v>193534948</v>
      </c>
      <c r="D15" s="172"/>
      <c r="E15" s="180" t="s">
        <v>328</v>
      </c>
      <c r="F15" s="179">
        <v>25742332</v>
      </c>
    </row>
    <row r="16" spans="1:6" ht="13.5" thickBot="1">
      <c r="A16" s="174">
        <v>4</v>
      </c>
      <c r="B16" s="181" t="s">
        <v>329</v>
      </c>
      <c r="C16" s="182">
        <f>+C11+C12-C15</f>
        <v>171210638</v>
      </c>
      <c r="D16" s="183">
        <v>32</v>
      </c>
      <c r="E16" s="184" t="s">
        <v>330</v>
      </c>
      <c r="F16" s="182">
        <f>+F15+F11+F12</f>
        <v>125574073</v>
      </c>
    </row>
    <row r="17" spans="1:6">
      <c r="A17" s="164">
        <v>5</v>
      </c>
      <c r="B17" s="169" t="s">
        <v>331</v>
      </c>
      <c r="C17" s="185">
        <v>0</v>
      </c>
      <c r="D17" s="168"/>
      <c r="E17" s="186" t="s">
        <v>332</v>
      </c>
      <c r="F17" s="272"/>
    </row>
    <row r="18" spans="1:6" ht="15">
      <c r="A18" s="168">
        <v>6</v>
      </c>
      <c r="B18" s="187" t="s">
        <v>324</v>
      </c>
      <c r="C18" s="167"/>
      <c r="D18" s="188"/>
      <c r="E18" s="169"/>
      <c r="F18" s="272"/>
    </row>
    <row r="19" spans="1:6" ht="15">
      <c r="A19" s="161"/>
      <c r="B19" s="178" t="s">
        <v>333</v>
      </c>
      <c r="C19" s="167"/>
      <c r="D19" s="168"/>
      <c r="E19" s="169"/>
      <c r="F19" s="272"/>
    </row>
    <row r="20" spans="1:6">
      <c r="A20" s="161"/>
      <c r="B20" s="178" t="s">
        <v>334</v>
      </c>
      <c r="C20" s="179">
        <v>0</v>
      </c>
      <c r="D20" s="172">
        <v>33</v>
      </c>
      <c r="E20" s="173" t="s">
        <v>335</v>
      </c>
      <c r="F20" s="283">
        <f>ROUND('Capital Structure'!H22,0)</f>
        <v>107660000</v>
      </c>
    </row>
    <row r="21" spans="1:6" ht="13.5" thickBot="1">
      <c r="A21" s="189">
        <v>7</v>
      </c>
      <c r="B21" s="190" t="s">
        <v>336</v>
      </c>
      <c r="C21" s="191"/>
      <c r="D21" s="188">
        <v>34</v>
      </c>
      <c r="E21" s="169" t="s">
        <v>337</v>
      </c>
      <c r="F21" s="272"/>
    </row>
    <row r="22" spans="1:6" ht="13.5" thickBot="1">
      <c r="A22" s="158"/>
      <c r="B22" s="192" t="s">
        <v>338</v>
      </c>
      <c r="C22" s="182">
        <f>+C16+C17-C20</f>
        <v>171210638</v>
      </c>
      <c r="D22" s="160"/>
      <c r="E22" s="180" t="s">
        <v>339</v>
      </c>
      <c r="F22" s="284">
        <v>0</v>
      </c>
    </row>
    <row r="23" spans="1:6" ht="15">
      <c r="A23" s="161"/>
      <c r="B23" s="193" t="s">
        <v>340</v>
      </c>
      <c r="C23" s="167"/>
      <c r="D23" s="168">
        <v>35</v>
      </c>
      <c r="E23" s="169" t="s">
        <v>341</v>
      </c>
      <c r="F23" s="272"/>
    </row>
    <row r="24" spans="1:6">
      <c r="A24" s="158">
        <v>8</v>
      </c>
      <c r="B24" s="194" t="s">
        <v>342</v>
      </c>
      <c r="C24" s="195">
        <v>5866332</v>
      </c>
      <c r="D24" s="172"/>
      <c r="E24" s="180" t="s">
        <v>343</v>
      </c>
      <c r="F24" s="195">
        <f>ROUND('Capital Structure'!I22,0)</f>
        <v>6304788</v>
      </c>
    </row>
    <row r="25" spans="1:6" ht="15">
      <c r="A25" s="161">
        <v>9</v>
      </c>
      <c r="B25" s="166" t="s">
        <v>324</v>
      </c>
      <c r="C25" s="196"/>
      <c r="D25" s="168">
        <v>36</v>
      </c>
      <c r="E25" s="169" t="s">
        <v>344</v>
      </c>
      <c r="F25" s="274"/>
    </row>
    <row r="26" spans="1:6">
      <c r="A26" s="158"/>
      <c r="B26" s="170" t="s">
        <v>345</v>
      </c>
      <c r="C26" s="195">
        <v>2920759</v>
      </c>
      <c r="D26" s="172"/>
      <c r="E26" s="180" t="s">
        <v>346</v>
      </c>
      <c r="F26" s="195">
        <f>ROUND('Capital Structure'!J22,0)</f>
        <v>102460</v>
      </c>
    </row>
    <row r="27" spans="1:6" ht="15.75" thickBot="1">
      <c r="A27" s="161">
        <v>10</v>
      </c>
      <c r="B27" s="166" t="s">
        <v>347</v>
      </c>
      <c r="C27" s="196"/>
      <c r="D27" s="168"/>
      <c r="E27" s="169"/>
      <c r="F27" s="274"/>
    </row>
    <row r="28" spans="1:6" ht="13.5" thickBot="1">
      <c r="A28" s="158"/>
      <c r="B28" s="170" t="s">
        <v>348</v>
      </c>
      <c r="C28" s="179">
        <v>0</v>
      </c>
      <c r="D28" s="172">
        <v>37</v>
      </c>
      <c r="E28" s="197" t="s">
        <v>349</v>
      </c>
      <c r="F28" s="198">
        <f>+F20+F22+F24-F26</f>
        <v>113862328</v>
      </c>
    </row>
    <row r="29" spans="1:6" ht="13.5" thickBot="1">
      <c r="A29" s="174">
        <v>11</v>
      </c>
      <c r="B29" s="175" t="s">
        <v>350</v>
      </c>
      <c r="C29" s="199">
        <v>6372630</v>
      </c>
      <c r="D29" s="172"/>
      <c r="E29" s="173"/>
      <c r="F29" s="275"/>
    </row>
    <row r="30" spans="1:6" ht="13.5" thickBot="1">
      <c r="A30" s="174">
        <v>12</v>
      </c>
      <c r="B30" s="200" t="s">
        <v>351</v>
      </c>
      <c r="C30" s="198">
        <f>+C24-C26+C28+C29</f>
        <v>9318203</v>
      </c>
      <c r="D30" s="160"/>
      <c r="E30" s="201" t="s">
        <v>352</v>
      </c>
      <c r="F30" s="275"/>
    </row>
    <row r="31" spans="1:6" ht="15">
      <c r="A31" s="161"/>
      <c r="B31" s="193" t="s">
        <v>353</v>
      </c>
      <c r="C31" s="196"/>
      <c r="D31" s="176">
        <v>38</v>
      </c>
      <c r="E31" s="177" t="s">
        <v>354</v>
      </c>
      <c r="F31" s="202">
        <v>784331</v>
      </c>
    </row>
    <row r="32" spans="1:6" ht="15.75" thickBot="1">
      <c r="A32" s="161">
        <v>13</v>
      </c>
      <c r="B32" s="166" t="s">
        <v>355</v>
      </c>
      <c r="C32" s="196"/>
      <c r="D32" s="176">
        <v>39</v>
      </c>
      <c r="E32" s="177" t="s">
        <v>356</v>
      </c>
      <c r="F32" s="179">
        <v>0</v>
      </c>
    </row>
    <row r="33" spans="1:6" ht="13.5" thickBot="1">
      <c r="A33" s="158"/>
      <c r="B33" s="170" t="s">
        <v>357</v>
      </c>
      <c r="C33" s="195">
        <v>39537859</v>
      </c>
      <c r="D33" s="172">
        <v>40</v>
      </c>
      <c r="E33" s="197" t="s">
        <v>358</v>
      </c>
      <c r="F33" s="198">
        <f>SUM(F31:F32)</f>
        <v>784331</v>
      </c>
    </row>
    <row r="34" spans="1:6" ht="15">
      <c r="A34" s="161">
        <v>14</v>
      </c>
      <c r="B34" s="166" t="s">
        <v>359</v>
      </c>
      <c r="C34" s="196"/>
      <c r="D34" s="168"/>
      <c r="E34" s="169"/>
      <c r="F34" s="274"/>
    </row>
    <row r="35" spans="1:6">
      <c r="A35" s="158"/>
      <c r="B35" s="170" t="s">
        <v>360</v>
      </c>
      <c r="C35" s="195"/>
      <c r="D35" s="172"/>
      <c r="E35" s="201" t="s">
        <v>361</v>
      </c>
      <c r="F35" s="275"/>
    </row>
    <row r="36" spans="1:6">
      <c r="A36" s="174">
        <v>15</v>
      </c>
      <c r="B36" s="175" t="s">
        <v>362</v>
      </c>
      <c r="C36" s="202">
        <v>7885750</v>
      </c>
      <c r="D36" s="172">
        <v>41</v>
      </c>
      <c r="E36" s="173" t="s">
        <v>363</v>
      </c>
      <c r="F36" s="282">
        <v>0</v>
      </c>
    </row>
    <row r="37" spans="1:6" ht="15">
      <c r="A37" s="161">
        <v>16</v>
      </c>
      <c r="B37" s="166" t="s">
        <v>324</v>
      </c>
      <c r="C37" s="196"/>
      <c r="D37" s="168"/>
      <c r="E37" s="169"/>
      <c r="F37" s="274"/>
    </row>
    <row r="38" spans="1:6">
      <c r="A38" s="158"/>
      <c r="B38" s="170" t="s">
        <v>364</v>
      </c>
      <c r="C38" s="195">
        <v>200000</v>
      </c>
      <c r="D38" s="172">
        <v>42</v>
      </c>
      <c r="E38" s="173" t="s">
        <v>365</v>
      </c>
      <c r="F38" s="195">
        <v>8705716</v>
      </c>
    </row>
    <row r="39" spans="1:6" ht="15">
      <c r="A39" s="161">
        <v>17</v>
      </c>
      <c r="B39" s="166" t="s">
        <v>366</v>
      </c>
      <c r="C39" s="196"/>
      <c r="D39" s="168">
        <v>43</v>
      </c>
      <c r="E39" s="169" t="s">
        <v>367</v>
      </c>
      <c r="F39" s="274"/>
    </row>
    <row r="40" spans="1:6">
      <c r="A40" s="158"/>
      <c r="B40" s="170" t="s">
        <v>368</v>
      </c>
      <c r="C40" s="195">
        <v>162563</v>
      </c>
      <c r="D40" s="172"/>
      <c r="E40" s="180" t="s">
        <v>369</v>
      </c>
      <c r="F40" s="195">
        <v>1852573</v>
      </c>
    </row>
    <row r="41" spans="1:6">
      <c r="A41" s="174">
        <v>18</v>
      </c>
      <c r="B41" s="175" t="s">
        <v>370</v>
      </c>
      <c r="C41" s="202">
        <v>7649187</v>
      </c>
      <c r="D41" s="172">
        <v>44</v>
      </c>
      <c r="E41" s="173" t="s">
        <v>371</v>
      </c>
      <c r="F41" s="195">
        <v>475810</v>
      </c>
    </row>
    <row r="42" spans="1:6">
      <c r="A42" s="174">
        <v>19</v>
      </c>
      <c r="B42" s="175" t="s">
        <v>372</v>
      </c>
      <c r="C42" s="202"/>
      <c r="D42" s="172">
        <v>45</v>
      </c>
      <c r="E42" s="173" t="s">
        <v>373</v>
      </c>
      <c r="F42" s="195"/>
    </row>
    <row r="43" spans="1:6">
      <c r="A43" s="174">
        <v>20</v>
      </c>
      <c r="B43" s="175" t="s">
        <v>374</v>
      </c>
      <c r="C43" s="179">
        <v>0</v>
      </c>
      <c r="D43" s="172">
        <v>46</v>
      </c>
      <c r="E43" s="173" t="s">
        <v>375</v>
      </c>
      <c r="F43" s="195"/>
    </row>
    <row r="44" spans="1:6" ht="13.5" thickBot="1">
      <c r="A44" s="176">
        <v>21</v>
      </c>
      <c r="B44" s="175" t="s">
        <v>376</v>
      </c>
      <c r="C44" s="202">
        <v>5844354</v>
      </c>
      <c r="D44" s="172">
        <v>47</v>
      </c>
      <c r="E44" s="173" t="s">
        <v>377</v>
      </c>
      <c r="F44" s="204">
        <v>2945059</v>
      </c>
    </row>
    <row r="45" spans="1:6" ht="13.5" thickBot="1">
      <c r="A45" s="176">
        <v>22</v>
      </c>
      <c r="B45" s="175" t="s">
        <v>378</v>
      </c>
      <c r="C45" s="179">
        <v>0</v>
      </c>
      <c r="D45" s="172">
        <v>48</v>
      </c>
      <c r="E45" s="197" t="s">
        <v>379</v>
      </c>
      <c r="F45" s="198">
        <f>+F44+F43+F42+F41+F40+F38+F36</f>
        <v>13979158</v>
      </c>
    </row>
    <row r="46" spans="1:6" ht="13.5" thickBot="1">
      <c r="A46" s="176">
        <v>23</v>
      </c>
      <c r="B46" s="200" t="s">
        <v>380</v>
      </c>
      <c r="C46" s="198">
        <f>+C33+C35+C36-C38+C40+C42+C43+C44+C45+C41</f>
        <v>60879713</v>
      </c>
      <c r="D46" s="160"/>
      <c r="E46" s="201" t="s">
        <v>381</v>
      </c>
      <c r="F46" s="275"/>
    </row>
    <row r="47" spans="1:6" ht="15">
      <c r="A47" s="166"/>
      <c r="B47" s="193" t="s">
        <v>382</v>
      </c>
      <c r="C47" s="196"/>
      <c r="D47" s="168">
        <v>49</v>
      </c>
      <c r="E47" s="169" t="s">
        <v>383</v>
      </c>
      <c r="F47" s="274"/>
    </row>
    <row r="48" spans="1:6">
      <c r="A48" s="172">
        <v>24</v>
      </c>
      <c r="B48" s="194" t="s">
        <v>384</v>
      </c>
      <c r="C48" s="283">
        <v>0</v>
      </c>
      <c r="D48" s="172"/>
      <c r="E48" s="205" t="s">
        <v>385</v>
      </c>
      <c r="F48" s="283">
        <v>0</v>
      </c>
    </row>
    <row r="49" spans="1:6" ht="15">
      <c r="A49" s="168">
        <v>25</v>
      </c>
      <c r="B49" s="166" t="s">
        <v>386</v>
      </c>
      <c r="C49" s="196"/>
      <c r="D49" s="168">
        <v>50</v>
      </c>
      <c r="E49" s="169" t="s">
        <v>387</v>
      </c>
      <c r="F49" s="274"/>
    </row>
    <row r="50" spans="1:6">
      <c r="A50" s="194"/>
      <c r="B50" s="170" t="s">
        <v>388</v>
      </c>
      <c r="C50" s="195">
        <v>12295713</v>
      </c>
      <c r="D50" s="172"/>
      <c r="E50" s="180" t="s">
        <v>389</v>
      </c>
      <c r="F50" s="195">
        <v>519735</v>
      </c>
    </row>
    <row r="51" spans="1:6" ht="15">
      <c r="A51" s="168">
        <v>26</v>
      </c>
      <c r="B51" s="166" t="s">
        <v>390</v>
      </c>
      <c r="C51" s="196"/>
      <c r="D51" s="168"/>
      <c r="E51" s="169"/>
      <c r="F51" s="274"/>
    </row>
    <row r="52" spans="1:6" ht="15">
      <c r="A52" s="161"/>
      <c r="B52" s="178" t="s">
        <v>391</v>
      </c>
      <c r="C52" s="196"/>
      <c r="D52" s="168">
        <v>51</v>
      </c>
      <c r="E52" s="169" t="s">
        <v>392</v>
      </c>
      <c r="F52" s="274"/>
    </row>
    <row r="53" spans="1:6" ht="13.5" thickBot="1">
      <c r="A53" s="158"/>
      <c r="B53" s="170" t="s">
        <v>393</v>
      </c>
      <c r="C53" s="477">
        <v>1015358</v>
      </c>
      <c r="D53" s="172"/>
      <c r="E53" s="205" t="s">
        <v>394</v>
      </c>
      <c r="F53" s="487">
        <v>0</v>
      </c>
    </row>
    <row r="54" spans="1:6" ht="13.5" thickBot="1">
      <c r="A54" s="174">
        <v>27</v>
      </c>
      <c r="B54" s="200" t="s">
        <v>395</v>
      </c>
      <c r="C54" s="198">
        <f>C48+C50+C53</f>
        <v>13311071</v>
      </c>
      <c r="D54" s="160">
        <v>52</v>
      </c>
      <c r="E54" s="197" t="s">
        <v>396</v>
      </c>
      <c r="F54" s="198">
        <f>+F53+F50+F48</f>
        <v>519735</v>
      </c>
    </row>
    <row r="55" spans="1:6" ht="13.5" thickBot="1">
      <c r="A55" s="161"/>
      <c r="B55" s="206"/>
      <c r="C55" s="207"/>
      <c r="D55" s="168"/>
      <c r="E55" s="169"/>
      <c r="F55" s="274"/>
    </row>
    <row r="56" spans="1:6" ht="13.5" thickBot="1">
      <c r="A56" s="208">
        <v>28</v>
      </c>
      <c r="B56" s="209" t="s">
        <v>397</v>
      </c>
      <c r="C56" s="210">
        <f>+C54+C46+C21+C22+C30</f>
        <v>254719625</v>
      </c>
      <c r="D56" s="211">
        <v>53</v>
      </c>
      <c r="E56" s="212" t="s">
        <v>398</v>
      </c>
      <c r="F56" s="210">
        <f>+F54+F45+F28+F16+F33</f>
        <v>254719625</v>
      </c>
    </row>
    <row r="57" spans="1:6" ht="15">
      <c r="A57" s="213"/>
      <c r="B57" s="213"/>
      <c r="C57" s="214"/>
      <c r="D57" s="215"/>
      <c r="E57" s="215"/>
      <c r="F57" s="276"/>
    </row>
    <row r="58" spans="1:6" ht="15">
      <c r="A58" s="213"/>
      <c r="B58" s="215"/>
      <c r="C58" s="214"/>
      <c r="D58" s="215"/>
      <c r="E58" s="215"/>
      <c r="F58" s="469">
        <f>ROUND(+C56-F56,0)</f>
        <v>0</v>
      </c>
    </row>
    <row r="59" spans="1:6">
      <c r="A59" s="213"/>
      <c r="B59" s="457" t="s">
        <v>742</v>
      </c>
      <c r="C59" s="216"/>
      <c r="D59" s="215"/>
      <c r="E59" s="215"/>
      <c r="F59" s="277"/>
    </row>
    <row r="60" spans="1:6">
      <c r="A60" s="213"/>
      <c r="B60" s="457" t="s">
        <v>743</v>
      </c>
      <c r="C60" s="217"/>
      <c r="D60" s="213"/>
      <c r="E60" s="213"/>
      <c r="F60" s="278"/>
    </row>
    <row r="61" spans="1:6">
      <c r="A61" s="213"/>
      <c r="B61" s="213"/>
      <c r="C61" s="217"/>
      <c r="D61" s="213"/>
      <c r="E61" s="213"/>
      <c r="F61" s="278"/>
    </row>
    <row r="62" spans="1:6">
      <c r="A62" s="213"/>
      <c r="B62" s="213"/>
      <c r="C62" s="217"/>
      <c r="D62" s="213"/>
      <c r="E62" s="213"/>
      <c r="F62" s="279"/>
    </row>
    <row r="63" spans="1:6">
      <c r="A63" s="213"/>
      <c r="B63" s="213"/>
      <c r="C63" s="217"/>
      <c r="D63" s="213"/>
      <c r="E63" s="213"/>
      <c r="F63" s="279"/>
    </row>
    <row r="64" spans="1:6">
      <c r="A64" s="213"/>
      <c r="B64" s="213"/>
      <c r="C64" s="217"/>
      <c r="D64" s="213"/>
      <c r="E64" s="213"/>
      <c r="F64" s="261"/>
    </row>
    <row r="65" spans="1:6">
      <c r="A65" s="213"/>
      <c r="B65" s="213"/>
      <c r="C65" s="217"/>
      <c r="D65" s="213"/>
      <c r="E65" s="213"/>
      <c r="F65" s="280"/>
    </row>
    <row r="66" spans="1:6">
      <c r="A66" s="213"/>
      <c r="B66" s="213"/>
      <c r="C66" s="217"/>
      <c r="D66" s="213"/>
      <c r="E66" s="213"/>
      <c r="F66" s="261"/>
    </row>
    <row r="67" spans="1:6">
      <c r="A67" s="213"/>
      <c r="B67" s="213"/>
      <c r="C67" s="217"/>
      <c r="D67" s="213"/>
      <c r="E67" s="213"/>
      <c r="F67" s="261"/>
    </row>
    <row r="68" spans="1:6">
      <c r="A68" s="213"/>
      <c r="B68" s="213"/>
      <c r="C68" s="217"/>
      <c r="D68" s="213"/>
      <c r="E68" s="213"/>
      <c r="F68" s="261"/>
    </row>
    <row r="69" spans="1:6">
      <c r="A69" s="213"/>
      <c r="B69" s="213"/>
      <c r="C69" s="213"/>
      <c r="D69" s="213"/>
      <c r="E69" s="213"/>
      <c r="F69" s="261"/>
    </row>
    <row r="70" spans="1:6">
      <c r="A70" s="213"/>
      <c r="B70" s="213"/>
      <c r="C70" s="213"/>
      <c r="D70" s="213"/>
      <c r="E70" s="213"/>
      <c r="F70" s="261"/>
    </row>
    <row r="71" spans="1:6">
      <c r="A71" s="213"/>
      <c r="B71" s="213"/>
      <c r="C71" s="213"/>
      <c r="D71" s="213"/>
      <c r="E71" s="213"/>
      <c r="F71" s="261"/>
    </row>
    <row r="72" spans="1:6">
      <c r="A72" s="213"/>
      <c r="B72" s="213"/>
      <c r="C72" s="213"/>
      <c r="D72" s="213"/>
      <c r="E72" s="213"/>
      <c r="F72" s="261"/>
    </row>
    <row r="73" spans="1:6">
      <c r="A73" s="213"/>
      <c r="B73" s="213"/>
      <c r="C73" s="213"/>
      <c r="D73" s="213"/>
      <c r="E73" s="213"/>
      <c r="F73" s="261"/>
    </row>
    <row r="74" spans="1:6">
      <c r="A74" s="213"/>
      <c r="B74" s="213"/>
      <c r="C74" s="213"/>
      <c r="D74" s="213"/>
      <c r="E74" s="213"/>
      <c r="F74" s="261"/>
    </row>
    <row r="75" spans="1:6">
      <c r="A75" s="213"/>
      <c r="B75" s="213"/>
      <c r="C75" s="213"/>
      <c r="D75" s="213"/>
      <c r="E75" s="213"/>
      <c r="F75" s="261"/>
    </row>
    <row r="76" spans="1:6">
      <c r="A76" s="213"/>
      <c r="B76" s="213"/>
      <c r="C76" s="213"/>
      <c r="D76" s="213"/>
      <c r="E76" s="213"/>
      <c r="F76" s="261"/>
    </row>
  </sheetData>
  <mergeCells count="5">
    <mergeCell ref="A1:F1"/>
    <mergeCell ref="A2:F2"/>
    <mergeCell ref="A3:F3"/>
    <mergeCell ref="A4:F4"/>
    <mergeCell ref="A6:F6"/>
  </mergeCells>
  <pageMargins left="0.47" right="0.45" top="0.75" bottom="0.5" header="0.5" footer="0.5"/>
  <pageSetup scale="82" orientation="portrait" r:id="rId1"/>
  <headerFooter alignWithMargins="0">
    <oddFooter>&amp;L&amp;8&amp;Z&amp;F&amp;A&amp;R&amp;8&amp;D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7"/>
  <sheetViews>
    <sheetView zoomScale="90" zoomScaleNormal="90" workbookViewId="0">
      <selection sqref="A1:C1"/>
    </sheetView>
  </sheetViews>
  <sheetFormatPr defaultRowHeight="12.75"/>
  <cols>
    <col min="1" max="1" width="5.21875" style="154" customWidth="1"/>
    <col min="2" max="2" width="60" style="154" customWidth="1"/>
    <col min="3" max="3" width="13" style="154" customWidth="1"/>
    <col min="4" max="4" width="5.33203125" style="154" bestFit="1" customWidth="1"/>
    <col min="5" max="5" width="10.77734375" style="154" bestFit="1" customWidth="1"/>
    <col min="6" max="6" width="3.6640625" style="154" customWidth="1"/>
    <col min="7" max="7" width="10.77734375" style="154" bestFit="1" customWidth="1"/>
    <col min="8" max="8" width="9" style="154" bestFit="1" customWidth="1"/>
    <col min="9" max="16384" width="8.88671875" style="154"/>
  </cols>
  <sheetData>
    <row r="1" spans="1:8" s="153" customFormat="1" ht="15.75">
      <c r="A1" s="661" t="str">
        <f>Coversheet!B3</f>
        <v>Rochester Public Utilities</v>
      </c>
      <c r="B1" s="661"/>
      <c r="C1" s="661"/>
      <c r="D1" s="218"/>
      <c r="E1" s="218"/>
    </row>
    <row r="2" spans="1:8" s="153" customFormat="1" ht="15">
      <c r="A2" s="662" t="s">
        <v>309</v>
      </c>
      <c r="B2" s="662"/>
      <c r="C2" s="662"/>
      <c r="D2" s="218"/>
      <c r="E2" s="218"/>
    </row>
    <row r="3" spans="1:8" s="153" customFormat="1" ht="15">
      <c r="A3" s="662" t="s">
        <v>399</v>
      </c>
      <c r="B3" s="662"/>
      <c r="C3" s="662"/>
      <c r="D3" s="218"/>
      <c r="E3" s="218"/>
    </row>
    <row r="4" spans="1:8" s="153" customFormat="1" ht="15.75">
      <c r="A4" s="663">
        <f>+'Balance sheet Sched 2'!A4:F4</f>
        <v>42369</v>
      </c>
      <c r="B4" s="663"/>
      <c r="C4" s="663"/>
      <c r="D4" s="219"/>
      <c r="E4" s="219"/>
    </row>
    <row r="5" spans="1:8" s="153" customFormat="1" ht="15">
      <c r="A5" s="220"/>
      <c r="B5" s="220"/>
      <c r="C5" s="220"/>
      <c r="D5" s="342"/>
      <c r="E5" s="220"/>
    </row>
    <row r="6" spans="1:8" ht="15">
      <c r="A6" s="665" t="s">
        <v>400</v>
      </c>
      <c r="B6" s="665"/>
      <c r="C6" s="665"/>
      <c r="D6" s="341"/>
      <c r="E6" s="221"/>
    </row>
    <row r="7" spans="1:8" ht="15">
      <c r="A7" s="222" t="s">
        <v>4</v>
      </c>
      <c r="B7" s="223"/>
      <c r="C7" s="224" t="s">
        <v>7</v>
      </c>
      <c r="D7" s="343"/>
    </row>
    <row r="8" spans="1:8" ht="15">
      <c r="A8" s="173" t="s">
        <v>6</v>
      </c>
      <c r="B8" s="225"/>
      <c r="C8" s="160" t="s">
        <v>314</v>
      </c>
      <c r="D8" s="343"/>
    </row>
    <row r="9" spans="1:8" ht="15">
      <c r="A9" s="172">
        <v>1</v>
      </c>
      <c r="B9" s="225" t="s">
        <v>401</v>
      </c>
      <c r="C9" s="285">
        <v>143890727</v>
      </c>
      <c r="D9" s="343"/>
      <c r="E9" s="650"/>
    </row>
    <row r="10" spans="1:8" ht="15">
      <c r="A10" s="172">
        <v>2</v>
      </c>
      <c r="B10" s="225" t="s">
        <v>402</v>
      </c>
      <c r="C10" s="226">
        <f>ROUND('Op &amp; Maint Sched 7'!D42,0)</f>
        <v>110273905</v>
      </c>
      <c r="D10" s="343"/>
    </row>
    <row r="11" spans="1:8" ht="15">
      <c r="A11" s="172">
        <v>3</v>
      </c>
      <c r="B11" s="225" t="s">
        <v>403</v>
      </c>
      <c r="C11" s="226">
        <f>ROUND('Op &amp; Maint Sched 7'!E42,0)</f>
        <v>5631799</v>
      </c>
      <c r="D11" s="343"/>
      <c r="E11" s="303"/>
      <c r="F11" s="303"/>
      <c r="G11" s="303"/>
      <c r="H11" s="303"/>
    </row>
    <row r="12" spans="1:8" ht="15">
      <c r="A12" s="176">
        <v>4</v>
      </c>
      <c r="B12" s="227" t="s">
        <v>404</v>
      </c>
      <c r="C12" s="628">
        <v>10667341</v>
      </c>
      <c r="D12" s="343"/>
      <c r="E12" s="650"/>
      <c r="F12" s="303"/>
      <c r="G12" s="303"/>
      <c r="H12" s="303"/>
    </row>
    <row r="13" spans="1:8" ht="15">
      <c r="A13" s="172">
        <v>5</v>
      </c>
      <c r="B13" s="225" t="s">
        <v>405</v>
      </c>
      <c r="C13" s="226">
        <v>500000</v>
      </c>
      <c r="D13" s="343"/>
      <c r="E13" s="303"/>
      <c r="F13" s="303"/>
      <c r="G13" s="303"/>
      <c r="H13" s="303"/>
    </row>
    <row r="14" spans="1:8" ht="15.75" thickBot="1">
      <c r="A14" s="168">
        <v>6</v>
      </c>
      <c r="B14" s="229" t="s">
        <v>406</v>
      </c>
      <c r="C14" s="226">
        <v>9702633</v>
      </c>
      <c r="D14" s="343"/>
      <c r="E14" s="303"/>
      <c r="F14" s="303"/>
      <c r="G14" s="303"/>
      <c r="H14" s="303"/>
    </row>
    <row r="15" spans="1:8" ht="15.75" thickBot="1">
      <c r="A15" s="231">
        <v>7</v>
      </c>
      <c r="B15" s="232" t="s">
        <v>407</v>
      </c>
      <c r="C15" s="233">
        <f>SUM(C10:C14)</f>
        <v>136775678</v>
      </c>
      <c r="D15" s="343"/>
      <c r="E15" s="303"/>
      <c r="F15" s="303"/>
      <c r="G15" s="303"/>
      <c r="H15" s="303"/>
    </row>
    <row r="16" spans="1:8" ht="15.75" thickBot="1">
      <c r="A16" s="231">
        <v>8</v>
      </c>
      <c r="B16" s="234" t="s">
        <v>408</v>
      </c>
      <c r="C16" s="233">
        <f>+C9-C15</f>
        <v>7115049</v>
      </c>
      <c r="D16" s="343"/>
      <c r="E16" s="303"/>
      <c r="F16" s="303"/>
      <c r="G16" s="303"/>
      <c r="H16" s="303"/>
    </row>
    <row r="17" spans="1:5" ht="15.75" thickBot="1">
      <c r="A17" s="168">
        <v>9</v>
      </c>
      <c r="B17" s="229" t="s">
        <v>409</v>
      </c>
      <c r="C17" s="230">
        <v>0</v>
      </c>
      <c r="D17" s="343"/>
    </row>
    <row r="18" spans="1:5" ht="15.75" thickBot="1">
      <c r="A18" s="235">
        <v>10</v>
      </c>
      <c r="B18" s="236" t="s">
        <v>410</v>
      </c>
      <c r="C18" s="233">
        <f>+C17+C16</f>
        <v>7115049</v>
      </c>
      <c r="D18" s="343"/>
    </row>
    <row r="19" spans="1:5" ht="15">
      <c r="A19" s="172">
        <v>11</v>
      </c>
      <c r="B19" s="225" t="s">
        <v>411</v>
      </c>
      <c r="C19" s="226">
        <v>922825</v>
      </c>
      <c r="D19" s="343"/>
    </row>
    <row r="20" spans="1:5" ht="15">
      <c r="A20" s="172">
        <v>12</v>
      </c>
      <c r="B20" s="225" t="s">
        <v>412</v>
      </c>
      <c r="C20" s="226">
        <v>1519605</v>
      </c>
      <c r="D20" s="343"/>
    </row>
    <row r="21" spans="1:5" ht="15">
      <c r="A21" s="172">
        <v>13</v>
      </c>
      <c r="B21" s="225" t="s">
        <v>413</v>
      </c>
      <c r="C21" s="226"/>
      <c r="D21" s="343"/>
    </row>
    <row r="22" spans="1:5" ht="15.75" thickBot="1">
      <c r="A22" s="168">
        <v>14</v>
      </c>
      <c r="B22" s="229" t="s">
        <v>414</v>
      </c>
      <c r="C22" s="230">
        <v>0</v>
      </c>
      <c r="D22" s="343"/>
    </row>
    <row r="23" spans="1:5" ht="15.75" thickBot="1">
      <c r="A23" s="231">
        <v>15</v>
      </c>
      <c r="B23" s="232" t="s">
        <v>415</v>
      </c>
      <c r="C23" s="233">
        <f>+C18+C19-C20-C21-C22</f>
        <v>6518269</v>
      </c>
      <c r="D23" s="343"/>
    </row>
    <row r="24" spans="1:5" ht="15">
      <c r="A24" s="172">
        <v>16</v>
      </c>
      <c r="B24" s="225" t="s">
        <v>416</v>
      </c>
      <c r="C24" s="226">
        <v>5077929</v>
      </c>
      <c r="D24" s="343"/>
    </row>
    <row r="25" spans="1:5" ht="15">
      <c r="A25" s="172">
        <v>17</v>
      </c>
      <c r="B25" s="225" t="s">
        <v>417</v>
      </c>
      <c r="C25" s="226">
        <v>-380624</v>
      </c>
      <c r="D25" s="343"/>
    </row>
    <row r="26" spans="1:5" ht="15.75" thickBot="1">
      <c r="A26" s="168">
        <v>18</v>
      </c>
      <c r="B26" s="229" t="s">
        <v>418</v>
      </c>
      <c r="C26" s="230">
        <v>-1161263</v>
      </c>
      <c r="D26" s="343"/>
    </row>
    <row r="27" spans="1:5" ht="15.75" thickBot="1">
      <c r="A27" s="231">
        <v>19</v>
      </c>
      <c r="B27" s="232" t="s">
        <v>419</v>
      </c>
      <c r="C27" s="233">
        <f>SUM(C24:C26)</f>
        <v>3536042</v>
      </c>
      <c r="D27" s="343"/>
    </row>
    <row r="28" spans="1:5" ht="15.75" thickBot="1">
      <c r="A28" s="231">
        <v>20</v>
      </c>
      <c r="B28" s="232" t="s">
        <v>420</v>
      </c>
      <c r="C28" s="233">
        <f>+C23-C27</f>
        <v>2982227</v>
      </c>
      <c r="D28" s="343"/>
    </row>
    <row r="29" spans="1:5" ht="15">
      <c r="A29" s="172">
        <v>21</v>
      </c>
      <c r="B29" s="225" t="s">
        <v>421</v>
      </c>
      <c r="C29" s="226"/>
      <c r="D29" s="343"/>
    </row>
    <row r="30" spans="1:5" ht="15.75" thickBot="1">
      <c r="A30" s="168">
        <v>22</v>
      </c>
      <c r="B30" s="229" t="s">
        <v>422</v>
      </c>
      <c r="C30" s="226">
        <v>0</v>
      </c>
      <c r="D30" s="343"/>
    </row>
    <row r="31" spans="1:5" ht="15.75" thickBot="1">
      <c r="A31" s="231">
        <v>23</v>
      </c>
      <c r="B31" s="234" t="s">
        <v>423</v>
      </c>
      <c r="C31" s="237">
        <f>SUM(C28:C30)</f>
        <v>2982227</v>
      </c>
      <c r="D31" s="343"/>
      <c r="E31" s="650"/>
    </row>
    <row r="32" spans="1:5" ht="15">
      <c r="A32" s="213"/>
      <c r="B32" s="213"/>
      <c r="C32" s="217"/>
      <c r="D32" s="343"/>
    </row>
    <row r="33" spans="1:4" ht="15">
      <c r="A33" s="344"/>
      <c r="B33" s="344"/>
      <c r="C33" s="345"/>
      <c r="D33" s="344"/>
    </row>
    <row r="34" spans="1:4">
      <c r="A34" s="213"/>
      <c r="B34" s="457" t="s">
        <v>744</v>
      </c>
      <c r="C34" s="217"/>
      <c r="D34" s="213"/>
    </row>
    <row r="35" spans="1:4">
      <c r="A35" s="213"/>
      <c r="B35" s="457" t="s">
        <v>745</v>
      </c>
      <c r="C35" s="217"/>
      <c r="D35" s="213"/>
    </row>
    <row r="36" spans="1:4">
      <c r="A36" s="213"/>
      <c r="B36" s="213"/>
      <c r="C36" s="217"/>
      <c r="D36" s="213"/>
    </row>
    <row r="37" spans="1:4">
      <c r="A37" s="213"/>
      <c r="B37" s="213"/>
      <c r="C37" s="217"/>
      <c r="D37" s="213"/>
    </row>
    <row r="38" spans="1:4">
      <c r="C38" s="238"/>
    </row>
    <row r="39" spans="1:4">
      <c r="C39" s="238"/>
    </row>
    <row r="40" spans="1:4">
      <c r="C40" s="238"/>
    </row>
    <row r="41" spans="1:4">
      <c r="C41" s="238"/>
    </row>
    <row r="42" spans="1:4">
      <c r="C42" s="238"/>
    </row>
    <row r="43" spans="1:4">
      <c r="C43" s="238"/>
    </row>
    <row r="44" spans="1:4">
      <c r="C44" s="238"/>
    </row>
    <row r="45" spans="1:4">
      <c r="C45" s="238"/>
    </row>
    <row r="46" spans="1:4">
      <c r="C46" s="238"/>
    </row>
    <row r="47" spans="1:4">
      <c r="C47" s="238"/>
    </row>
  </sheetData>
  <mergeCells count="5">
    <mergeCell ref="A1:C1"/>
    <mergeCell ref="A2:C2"/>
    <mergeCell ref="A3:C3"/>
    <mergeCell ref="A4:C4"/>
    <mergeCell ref="A6:C6"/>
  </mergeCells>
  <pageMargins left="0.75" right="0.75" top="0.75" bottom="0.75" header="0.5" footer="0.5"/>
  <pageSetup scale="88" orientation="landscape" r:id="rId1"/>
  <headerFooter alignWithMargins="0">
    <oddFooter>&amp;L&amp;Z&amp;F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9"/>
  <sheetViews>
    <sheetView zoomScale="90" workbookViewId="0">
      <selection activeCell="D31" sqref="D31"/>
    </sheetView>
  </sheetViews>
  <sheetFormatPr defaultRowHeight="12.75"/>
  <cols>
    <col min="1" max="1" width="5.21875" style="305" customWidth="1"/>
    <col min="2" max="2" width="24.77734375" style="305" customWidth="1"/>
    <col min="3" max="7" width="12.21875" style="305" customWidth="1"/>
    <col min="8" max="8" width="0.77734375" style="305" customWidth="1"/>
    <col min="9" max="9" width="12.77734375" style="305" customWidth="1"/>
    <col min="10" max="10" width="0.77734375" style="305" customWidth="1"/>
    <col min="11" max="11" width="13.44140625" style="305" customWidth="1"/>
    <col min="12" max="12" width="0.77734375" style="305" customWidth="1"/>
    <col min="13" max="13" width="11.6640625" style="305" bestFit="1" customWidth="1"/>
    <col min="14" max="14" width="10.33203125" style="305" bestFit="1" customWidth="1"/>
    <col min="15" max="16" width="11.5546875" style="305" bestFit="1" customWidth="1"/>
    <col min="17" max="17" width="10.77734375" style="305" bestFit="1" customWidth="1"/>
    <col min="18" max="16384" width="8.88671875" style="305"/>
  </cols>
  <sheetData>
    <row r="1" spans="1:12" ht="15.75">
      <c r="A1" s="666" t="str">
        <f>Coversheet!B3</f>
        <v>Rochester Public Utilities</v>
      </c>
      <c r="B1" s="666"/>
      <c r="C1" s="666"/>
      <c r="D1" s="666"/>
      <c r="E1" s="666"/>
      <c r="F1" s="666"/>
      <c r="G1" s="666"/>
    </row>
    <row r="2" spans="1:12" ht="15.75">
      <c r="A2" s="667" t="s">
        <v>309</v>
      </c>
      <c r="B2" s="667"/>
      <c r="C2" s="667"/>
      <c r="D2" s="667"/>
      <c r="E2" s="667"/>
      <c r="F2" s="667"/>
      <c r="G2" s="667"/>
    </row>
    <row r="3" spans="1:12" ht="15.75">
      <c r="A3" s="667" t="s">
        <v>424</v>
      </c>
      <c r="B3" s="667"/>
      <c r="C3" s="667"/>
      <c r="D3" s="667"/>
      <c r="E3" s="667"/>
      <c r="F3" s="667"/>
      <c r="G3" s="667"/>
    </row>
    <row r="4" spans="1:12" ht="15.75">
      <c r="A4" s="668">
        <f>+'Income Sched 3'!A4:C4</f>
        <v>42369</v>
      </c>
      <c r="B4" s="668"/>
      <c r="C4" s="668"/>
      <c r="D4" s="668"/>
      <c r="E4" s="668"/>
      <c r="F4" s="668"/>
      <c r="G4" s="668"/>
    </row>
    <row r="5" spans="1:12">
      <c r="A5" s="306"/>
      <c r="B5" s="306"/>
      <c r="C5" s="306"/>
    </row>
    <row r="6" spans="1:12" ht="15">
      <c r="A6" s="669" t="s">
        <v>317</v>
      </c>
      <c r="B6" s="669"/>
      <c r="C6" s="669"/>
      <c r="D6" s="669"/>
      <c r="E6" s="669"/>
      <c r="F6" s="669"/>
      <c r="G6" s="669"/>
    </row>
    <row r="7" spans="1:12">
      <c r="A7" s="307" t="s">
        <v>4</v>
      </c>
      <c r="B7" s="308"/>
      <c r="C7" s="308" t="s">
        <v>425</v>
      </c>
      <c r="D7" s="308"/>
      <c r="E7" s="308"/>
      <c r="F7" s="308"/>
      <c r="G7" s="308" t="s">
        <v>426</v>
      </c>
      <c r="I7" s="307" t="s">
        <v>427</v>
      </c>
      <c r="K7" s="307" t="s">
        <v>590</v>
      </c>
    </row>
    <row r="8" spans="1:12">
      <c r="A8" s="309" t="s">
        <v>6</v>
      </c>
      <c r="B8" s="310"/>
      <c r="C8" s="310" t="s">
        <v>428</v>
      </c>
      <c r="D8" s="310" t="s">
        <v>429</v>
      </c>
      <c r="E8" s="310" t="s">
        <v>430</v>
      </c>
      <c r="F8" s="310" t="s">
        <v>431</v>
      </c>
      <c r="G8" s="310" t="s">
        <v>428</v>
      </c>
      <c r="I8" s="311" t="s">
        <v>432</v>
      </c>
      <c r="K8" s="311" t="s">
        <v>433</v>
      </c>
    </row>
    <row r="9" spans="1:12" ht="20.100000000000001" customHeight="1">
      <c r="A9" s="312">
        <v>1</v>
      </c>
      <c r="B9" s="313" t="s">
        <v>434</v>
      </c>
      <c r="C9" s="314">
        <v>367762</v>
      </c>
      <c r="D9" s="314">
        <v>0</v>
      </c>
      <c r="E9" s="314">
        <v>0</v>
      </c>
      <c r="F9" s="314">
        <v>0</v>
      </c>
      <c r="G9" s="315">
        <f>+C9+D9-E9+F9</f>
        <v>367762</v>
      </c>
      <c r="I9" s="316">
        <f>ROUND(Plant!M40,0)</f>
        <v>51689</v>
      </c>
      <c r="K9" s="316">
        <f>ROUND(I9-Plant!M28,0)</f>
        <v>12924</v>
      </c>
    </row>
    <row r="10" spans="1:12" ht="12.75" customHeight="1">
      <c r="A10" s="312"/>
      <c r="B10" s="313"/>
      <c r="C10" s="317"/>
      <c r="D10" s="317"/>
      <c r="E10" s="317"/>
      <c r="F10" s="317"/>
      <c r="G10" s="315"/>
      <c r="I10" s="316"/>
      <c r="K10" s="316"/>
    </row>
    <row r="11" spans="1:12" ht="20.100000000000001" customHeight="1">
      <c r="A11" s="312">
        <v>2</v>
      </c>
      <c r="B11" s="313" t="s">
        <v>435</v>
      </c>
      <c r="C11" s="318">
        <v>73943950</v>
      </c>
      <c r="D11" s="318">
        <v>0</v>
      </c>
      <c r="E11" s="318">
        <v>0</v>
      </c>
      <c r="F11" s="318"/>
      <c r="G11" s="319">
        <f>+C11+D11-E11+F11</f>
        <v>73943950</v>
      </c>
      <c r="I11" s="316">
        <v>69480809</v>
      </c>
      <c r="K11" s="316">
        <v>1742682</v>
      </c>
    </row>
    <row r="12" spans="1:12" ht="20.100000000000001" customHeight="1">
      <c r="A12" s="312">
        <v>3</v>
      </c>
      <c r="B12" s="313" t="s">
        <v>436</v>
      </c>
      <c r="C12" s="320">
        <v>0</v>
      </c>
      <c r="D12" s="320">
        <v>0</v>
      </c>
      <c r="E12" s="320">
        <v>0</v>
      </c>
      <c r="F12" s="320">
        <v>0</v>
      </c>
      <c r="G12" s="319">
        <f>+C12+D12-E12+F12</f>
        <v>0</v>
      </c>
      <c r="H12" s="321"/>
      <c r="I12" s="322">
        <v>0</v>
      </c>
      <c r="J12" s="321"/>
      <c r="K12" s="322">
        <v>0</v>
      </c>
      <c r="L12" s="321"/>
    </row>
    <row r="13" spans="1:12" ht="20.100000000000001" customHeight="1">
      <c r="A13" s="312">
        <v>4</v>
      </c>
      <c r="B13" s="313" t="s">
        <v>437</v>
      </c>
      <c r="C13" s="318">
        <v>3624639</v>
      </c>
      <c r="D13" s="320">
        <v>0</v>
      </c>
      <c r="E13" s="320">
        <v>0</v>
      </c>
      <c r="F13" s="320">
        <v>0</v>
      </c>
      <c r="G13" s="319">
        <f>+C13+D13-E13+F13</f>
        <v>3624639</v>
      </c>
      <c r="H13" s="321"/>
      <c r="I13" s="322">
        <v>2655048</v>
      </c>
      <c r="J13" s="321"/>
      <c r="K13" s="322">
        <v>27882</v>
      </c>
      <c r="L13" s="321"/>
    </row>
    <row r="14" spans="1:12" ht="20.100000000000001" customHeight="1" thickBot="1">
      <c r="A14" s="312">
        <v>5</v>
      </c>
      <c r="B14" s="313" t="s">
        <v>438</v>
      </c>
      <c r="C14" s="318">
        <v>33796175</v>
      </c>
      <c r="D14" s="323">
        <v>0</v>
      </c>
      <c r="E14" s="323"/>
      <c r="F14" s="323"/>
      <c r="G14" s="319">
        <f>+C14+D14-E14+F14</f>
        <v>33796175</v>
      </c>
      <c r="H14" s="321"/>
      <c r="I14" s="324">
        <v>16053510</v>
      </c>
      <c r="J14" s="321"/>
      <c r="K14" s="322">
        <v>988670</v>
      </c>
      <c r="L14" s="321"/>
    </row>
    <row r="15" spans="1:12" ht="20.100000000000001" customHeight="1" thickBot="1">
      <c r="A15" s="312">
        <v>6</v>
      </c>
      <c r="B15" s="325" t="s">
        <v>439</v>
      </c>
      <c r="C15" s="326">
        <f>SUM(C11:C14)</f>
        <v>111364764</v>
      </c>
      <c r="D15" s="327">
        <f>SUM(D11:D14)</f>
        <v>0</v>
      </c>
      <c r="E15" s="327">
        <f>SUM(E11:E14)</f>
        <v>0</v>
      </c>
      <c r="F15" s="327">
        <f>SUM(F11:F14)</f>
        <v>0</v>
      </c>
      <c r="G15" s="328">
        <f>+C15+D15-E15+F15</f>
        <v>111364764</v>
      </c>
      <c r="H15" s="321"/>
      <c r="I15" s="329">
        <f>SUM(I11:I14)</f>
        <v>88189367</v>
      </c>
      <c r="J15" s="321"/>
      <c r="K15" s="326">
        <f>SUM(K11:K14)</f>
        <v>2759234</v>
      </c>
      <c r="L15" s="321"/>
    </row>
    <row r="16" spans="1:12" ht="12" customHeight="1">
      <c r="A16" s="312"/>
      <c r="B16" s="330"/>
      <c r="C16" s="331"/>
      <c r="D16" s="331"/>
      <c r="E16" s="331"/>
      <c r="F16" s="331"/>
      <c r="G16" s="331"/>
      <c r="H16" s="321"/>
      <c r="I16" s="332"/>
      <c r="J16" s="321"/>
      <c r="K16" s="347"/>
      <c r="L16" s="321"/>
    </row>
    <row r="17" spans="1:17" ht="20.100000000000001" customHeight="1">
      <c r="A17" s="312">
        <v>7</v>
      </c>
      <c r="B17" s="313" t="s">
        <v>440</v>
      </c>
      <c r="C17" s="318">
        <v>28973763</v>
      </c>
      <c r="D17" s="320">
        <v>5996915</v>
      </c>
      <c r="E17" s="320">
        <v>0</v>
      </c>
      <c r="F17" s="320">
        <v>13176370</v>
      </c>
      <c r="G17" s="319">
        <f t="shared" ref="G17:G19" si="0">+C17+D17-E17+F17</f>
        <v>48147048</v>
      </c>
      <c r="H17" s="321"/>
      <c r="I17" s="322">
        <f>ROUND(Plant!J40,0)</f>
        <v>12581043</v>
      </c>
      <c r="J17" s="321"/>
      <c r="K17" s="322">
        <f>ROUND(I17-Plant!J28,0)</f>
        <v>984253</v>
      </c>
      <c r="L17" s="321"/>
    </row>
    <row r="18" spans="1:17" ht="20.100000000000001" customHeight="1">
      <c r="A18" s="312">
        <v>8</v>
      </c>
      <c r="B18" s="313" t="s">
        <v>441</v>
      </c>
      <c r="C18" s="318">
        <v>135702558</v>
      </c>
      <c r="D18" s="320">
        <v>3833701</v>
      </c>
      <c r="E18" s="320">
        <v>1351294</v>
      </c>
      <c r="F18" s="320">
        <v>0</v>
      </c>
      <c r="G18" s="319">
        <f t="shared" si="0"/>
        <v>138184965</v>
      </c>
      <c r="H18" s="321">
        <v>0</v>
      </c>
      <c r="I18" s="322">
        <f>ROUND(Plant!K40,0)</f>
        <v>65067666</v>
      </c>
      <c r="J18" s="321">
        <v>0</v>
      </c>
      <c r="K18" s="322">
        <f>ROUND(I18-Plant!K28,0)</f>
        <v>4015587</v>
      </c>
      <c r="L18" s="321"/>
      <c r="O18" s="304"/>
      <c r="P18" s="304"/>
      <c r="Q18" s="304"/>
    </row>
    <row r="19" spans="1:17" ht="20.100000000000001" customHeight="1" thickBot="1">
      <c r="A19" s="312">
        <v>9</v>
      </c>
      <c r="B19" s="313" t="s">
        <v>442</v>
      </c>
      <c r="C19" s="318">
        <v>46181702</v>
      </c>
      <c r="D19" s="323">
        <v>5406913</v>
      </c>
      <c r="E19" s="323">
        <v>4831708</v>
      </c>
      <c r="F19" s="323">
        <v>0</v>
      </c>
      <c r="G19" s="319">
        <f t="shared" si="0"/>
        <v>46756907</v>
      </c>
      <c r="H19" s="321"/>
      <c r="I19" s="324">
        <f>ROUND(Plant!L40,0)</f>
        <v>27645183</v>
      </c>
      <c r="J19" s="321"/>
      <c r="K19" s="322">
        <f>ROUND(I19-Plant!L28,0)</f>
        <v>2447013</v>
      </c>
      <c r="L19" s="321"/>
    </row>
    <row r="20" spans="1:17" ht="20.100000000000001" customHeight="1" thickBot="1">
      <c r="A20" s="312">
        <v>10</v>
      </c>
      <c r="B20" s="325" t="s">
        <v>443</v>
      </c>
      <c r="C20" s="326">
        <f>SUM(C15:C19)+C9</f>
        <v>322590549</v>
      </c>
      <c r="D20" s="326">
        <f>SUM(D15:D19)+D9</f>
        <v>15237529</v>
      </c>
      <c r="E20" s="326">
        <f>SUM(E15:E19)+E9</f>
        <v>6183002</v>
      </c>
      <c r="F20" s="326">
        <f>SUM(F15:F19)+F9</f>
        <v>13176370</v>
      </c>
      <c r="G20" s="328">
        <f>+C20+D20-E20+F20</f>
        <v>344821446</v>
      </c>
      <c r="H20" s="321"/>
      <c r="I20" s="326">
        <f>SUM(I15:I19)+I9</f>
        <v>193534948</v>
      </c>
      <c r="J20" s="321"/>
      <c r="K20" s="326">
        <f>SUM(K15:K19)+K9</f>
        <v>10219011</v>
      </c>
      <c r="L20" s="321"/>
      <c r="M20" s="639"/>
      <c r="N20" s="333"/>
    </row>
    <row r="21" spans="1:17" ht="11.25" customHeight="1">
      <c r="A21" s="312"/>
      <c r="B21" s="330"/>
      <c r="C21" s="331"/>
      <c r="D21" s="331"/>
      <c r="E21" s="331"/>
      <c r="F21" s="331"/>
      <c r="G21" s="331"/>
      <c r="H21" s="321"/>
      <c r="I21" s="334"/>
      <c r="J21" s="321"/>
      <c r="K21" s="349"/>
      <c r="L21" s="321"/>
    </row>
    <row r="22" spans="1:17" ht="20.100000000000001" customHeight="1">
      <c r="A22" s="312">
        <v>11</v>
      </c>
      <c r="B22" s="313" t="s">
        <v>444</v>
      </c>
      <c r="C22" s="320">
        <v>0</v>
      </c>
      <c r="D22" s="320">
        <v>0</v>
      </c>
      <c r="E22" s="320">
        <v>0</v>
      </c>
      <c r="F22" s="320">
        <v>0</v>
      </c>
      <c r="G22" s="320">
        <f>+C22+D22+E22+F22</f>
        <v>0</v>
      </c>
      <c r="H22" s="321"/>
      <c r="I22" s="322">
        <v>0</v>
      </c>
      <c r="J22" s="321"/>
      <c r="K22" s="348">
        <v>0</v>
      </c>
      <c r="L22" s="321"/>
    </row>
    <row r="23" spans="1:17" ht="20.100000000000001" customHeight="1">
      <c r="A23" s="312">
        <v>12</v>
      </c>
      <c r="B23" s="313" t="s">
        <v>445</v>
      </c>
      <c r="C23" s="320">
        <v>0</v>
      </c>
      <c r="D23" s="320">
        <v>0</v>
      </c>
      <c r="E23" s="320">
        <v>0</v>
      </c>
      <c r="F23" s="320">
        <v>0</v>
      </c>
      <c r="G23" s="320">
        <f>+C23+D23+E23+F23</f>
        <v>0</v>
      </c>
      <c r="H23" s="321"/>
      <c r="I23" s="322">
        <v>0</v>
      </c>
      <c r="J23" s="321"/>
      <c r="K23" s="348">
        <v>0</v>
      </c>
      <c r="L23" s="321"/>
    </row>
    <row r="24" spans="1:17" ht="20.100000000000001" customHeight="1" thickBot="1">
      <c r="A24" s="312">
        <v>13</v>
      </c>
      <c r="B24" s="313" t="s">
        <v>446</v>
      </c>
      <c r="C24" s="323">
        <v>0</v>
      </c>
      <c r="D24" s="323">
        <v>0</v>
      </c>
      <c r="E24" s="323">
        <v>0</v>
      </c>
      <c r="F24" s="323">
        <v>0</v>
      </c>
      <c r="G24" s="323">
        <f>+C24+D24+E24+F24</f>
        <v>0</v>
      </c>
      <c r="H24" s="321"/>
      <c r="I24" s="324">
        <v>0</v>
      </c>
      <c r="J24" s="321"/>
      <c r="K24" s="346">
        <v>0</v>
      </c>
      <c r="L24" s="321"/>
    </row>
    <row r="25" spans="1:17" ht="20.100000000000001" customHeight="1" thickBot="1">
      <c r="A25" s="312">
        <v>14</v>
      </c>
      <c r="B25" s="325" t="s">
        <v>319</v>
      </c>
      <c r="C25" s="326">
        <f>SUM(C20:C24)</f>
        <v>322590549</v>
      </c>
      <c r="D25" s="327">
        <f>SUM(D20:D24)</f>
        <v>15237529</v>
      </c>
      <c r="E25" s="327">
        <f>SUM(E20:E24)</f>
        <v>6183002</v>
      </c>
      <c r="F25" s="327">
        <f>SUM(F20:F24)</f>
        <v>13176370</v>
      </c>
      <c r="G25" s="328">
        <f>+C25+D25-E25+F25</f>
        <v>344821446</v>
      </c>
      <c r="H25" s="321"/>
      <c r="I25" s="329">
        <f>SUM(I20:I24)</f>
        <v>193534948</v>
      </c>
      <c r="J25" s="321"/>
      <c r="K25" s="326">
        <f>SUM(K20:K24)</f>
        <v>10219011</v>
      </c>
      <c r="L25" s="321"/>
    </row>
    <row r="26" spans="1:17" ht="11.25" customHeight="1" thickBot="1">
      <c r="A26" s="312"/>
      <c r="B26" s="330"/>
      <c r="C26" s="335"/>
      <c r="D26" s="335"/>
      <c r="E26" s="335"/>
      <c r="F26" s="335"/>
      <c r="G26" s="335"/>
      <c r="H26" s="321"/>
      <c r="I26" s="334"/>
      <c r="J26" s="321"/>
      <c r="K26" s="349"/>
      <c r="L26" s="321"/>
    </row>
    <row r="27" spans="1:17" ht="20.100000000000001" customHeight="1" thickBot="1">
      <c r="A27" s="312">
        <v>15</v>
      </c>
      <c r="B27" s="313" t="s">
        <v>447</v>
      </c>
      <c r="C27" s="318">
        <v>19736924</v>
      </c>
      <c r="D27" s="323">
        <v>13363586</v>
      </c>
      <c r="E27" s="323">
        <v>0</v>
      </c>
      <c r="F27" s="323">
        <v>-13176370</v>
      </c>
      <c r="G27" s="328">
        <f>+C27+D27-E27+F27</f>
        <v>19924140</v>
      </c>
      <c r="H27" s="321"/>
      <c r="I27" s="324"/>
      <c r="J27" s="321"/>
      <c r="K27" s="346"/>
      <c r="L27" s="321"/>
      <c r="M27" s="639"/>
    </row>
    <row r="28" spans="1:17" ht="20.100000000000001" customHeight="1" thickBot="1">
      <c r="A28" s="312">
        <v>16</v>
      </c>
      <c r="B28" s="325" t="s">
        <v>448</v>
      </c>
      <c r="C28" s="326">
        <f>SUM(C25:C27)</f>
        <v>342327473</v>
      </c>
      <c r="D28" s="327">
        <f>SUM(D25:D27)</f>
        <v>28601115</v>
      </c>
      <c r="E28" s="327">
        <f>SUM(E25:E27)</f>
        <v>6183002</v>
      </c>
      <c r="F28" s="327">
        <f>SUM(F25:F27)</f>
        <v>0</v>
      </c>
      <c r="G28" s="328">
        <f>+C28+D28-E28+F28</f>
        <v>364745586</v>
      </c>
      <c r="H28" s="321"/>
      <c r="I28" s="329">
        <f>SUM(I25:I27)</f>
        <v>193534948</v>
      </c>
      <c r="J28" s="321"/>
      <c r="K28" s="326">
        <f>SUM(K25:K27)</f>
        <v>10219011</v>
      </c>
      <c r="L28" s="321"/>
      <c r="N28" s="333"/>
    </row>
    <row r="29" spans="1:17" ht="20.100000000000001" customHeight="1">
      <c r="G29" s="336" t="s">
        <v>2</v>
      </c>
    </row>
  </sheetData>
  <mergeCells count="5">
    <mergeCell ref="A1:G1"/>
    <mergeCell ref="A2:G2"/>
    <mergeCell ref="A3:G3"/>
    <mergeCell ref="A4:G4"/>
    <mergeCell ref="A6:G6"/>
  </mergeCells>
  <pageMargins left="0.5" right="0.5" top="0.75" bottom="0.5" header="0.5" footer="0.5"/>
  <pageSetup scale="81" orientation="landscape" r:id="rId1"/>
  <headerFooter alignWithMargins="0">
    <oddFooter>&amp;L&amp;8&amp;Z&amp;F&amp;A&amp;R&amp;8&amp;D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8"/>
  <sheetViews>
    <sheetView zoomScale="80" workbookViewId="0">
      <selection sqref="A1:G1"/>
    </sheetView>
  </sheetViews>
  <sheetFormatPr defaultRowHeight="12.75"/>
  <cols>
    <col min="1" max="1" width="8.88671875" style="154"/>
    <col min="2" max="2" width="35" style="154" customWidth="1"/>
    <col min="3" max="3" width="9.44140625" style="154" customWidth="1"/>
    <col min="4" max="16384" width="8.88671875" style="154"/>
  </cols>
  <sheetData>
    <row r="1" spans="1:7" ht="15.75">
      <c r="A1" s="670" t="str">
        <f>Coversheet!B3</f>
        <v>Rochester Public Utilities</v>
      </c>
      <c r="B1" s="670"/>
      <c r="C1" s="670"/>
      <c r="D1" s="670"/>
      <c r="E1" s="670"/>
      <c r="F1" s="670"/>
      <c r="G1" s="670"/>
    </row>
    <row r="2" spans="1:7" ht="15">
      <c r="A2" s="662" t="s">
        <v>309</v>
      </c>
      <c r="B2" s="662"/>
      <c r="C2" s="662"/>
      <c r="D2" s="662"/>
      <c r="E2" s="662"/>
      <c r="F2" s="662"/>
      <c r="G2" s="662"/>
    </row>
    <row r="3" spans="1:7" ht="15">
      <c r="A3" s="662" t="s">
        <v>480</v>
      </c>
      <c r="B3" s="662"/>
      <c r="C3" s="662"/>
      <c r="D3" s="662"/>
      <c r="E3" s="662"/>
      <c r="F3" s="662"/>
      <c r="G3" s="662"/>
    </row>
    <row r="4" spans="1:7" ht="15.75">
      <c r="A4" s="671">
        <f>+'Balance sheet Sched 2'!A4:F4</f>
        <v>42369</v>
      </c>
      <c r="B4" s="671"/>
      <c r="C4" s="671"/>
      <c r="D4" s="671"/>
      <c r="E4" s="671"/>
      <c r="F4" s="671"/>
      <c r="G4" s="671"/>
    </row>
    <row r="5" spans="1:7">
      <c r="A5" s="455"/>
      <c r="B5" s="455"/>
      <c r="C5" s="455"/>
    </row>
    <row r="6" spans="1:7">
      <c r="A6" s="154" t="s">
        <v>481</v>
      </c>
    </row>
    <row r="7" spans="1:7">
      <c r="A7" s="154" t="s">
        <v>315</v>
      </c>
    </row>
    <row r="8" spans="1:7">
      <c r="A8" s="154">
        <v>1</v>
      </c>
      <c r="B8" s="154" t="s">
        <v>482</v>
      </c>
      <c r="C8" s="238">
        <f>ROUND('Taxes other than inc tax'!E10,0)</f>
        <v>8773263</v>
      </c>
    </row>
  </sheetData>
  <mergeCells count="4">
    <mergeCell ref="A1:G1"/>
    <mergeCell ref="A2:G2"/>
    <mergeCell ref="A3:G3"/>
    <mergeCell ref="A4:G4"/>
  </mergeCells>
  <pageMargins left="0.75" right="0.75" top="1" bottom="1" header="0.5" footer="0.5"/>
  <pageSetup scale="84" orientation="portrait" r:id="rId1"/>
  <headerFooter alignWithMargins="0">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3"/>
  <sheetViews>
    <sheetView topLeftCell="A4" zoomScale="80" zoomScaleNormal="80" workbookViewId="0">
      <selection activeCell="F42" sqref="F42"/>
    </sheetView>
  </sheetViews>
  <sheetFormatPr defaultRowHeight="12.75"/>
  <cols>
    <col min="1" max="1" width="5.21875" style="154" customWidth="1"/>
    <col min="2" max="2" width="24.5546875" style="154" customWidth="1"/>
    <col min="3" max="3" width="12.21875" style="154" customWidth="1"/>
    <col min="4" max="4" width="13.109375" style="154" bestFit="1" customWidth="1"/>
    <col min="5" max="5" width="12.21875" style="154" customWidth="1"/>
    <col min="6" max="6" width="13.109375" style="153" bestFit="1" customWidth="1"/>
    <col min="7" max="7" width="8.88671875" style="154"/>
    <col min="8" max="8" width="12.44140625" style="154" bestFit="1" customWidth="1"/>
    <col min="9" max="9" width="15.6640625" style="154" bestFit="1" customWidth="1"/>
    <col min="10" max="16384" width="8.88671875" style="154"/>
  </cols>
  <sheetData>
    <row r="1" spans="1:8" s="153" customFormat="1" ht="15.75">
      <c r="A1" s="661" t="str">
        <f>Coversheet!B3</f>
        <v>Rochester Public Utilities</v>
      </c>
      <c r="B1" s="661"/>
      <c r="C1" s="661"/>
      <c r="D1" s="661"/>
      <c r="E1" s="661"/>
      <c r="F1" s="661"/>
      <c r="G1" s="239"/>
    </row>
    <row r="2" spans="1:8" s="153" customFormat="1" ht="15">
      <c r="A2" s="662" t="s">
        <v>309</v>
      </c>
      <c r="B2" s="662"/>
      <c r="C2" s="662"/>
      <c r="D2" s="662"/>
      <c r="E2" s="662"/>
      <c r="F2" s="662"/>
      <c r="G2" s="239"/>
      <c r="H2" s="240"/>
    </row>
    <row r="3" spans="1:8" s="153" customFormat="1" ht="15">
      <c r="A3" s="662" t="s">
        <v>449</v>
      </c>
      <c r="B3" s="662"/>
      <c r="C3" s="662"/>
      <c r="D3" s="662"/>
      <c r="E3" s="662"/>
      <c r="F3" s="662"/>
      <c r="G3" s="239"/>
    </row>
    <row r="4" spans="1:8" s="153" customFormat="1" ht="15.75">
      <c r="A4" s="663">
        <f>+'Plant Sched 4'!A4:G4</f>
        <v>42369</v>
      </c>
      <c r="B4" s="663"/>
      <c r="C4" s="663"/>
      <c r="D4" s="663"/>
      <c r="E4" s="663"/>
      <c r="F4" s="663"/>
      <c r="G4" s="241"/>
    </row>
    <row r="5" spans="1:8" s="153" customFormat="1"/>
    <row r="6" spans="1:8">
      <c r="A6" s="674" t="s">
        <v>450</v>
      </c>
      <c r="B6" s="674"/>
      <c r="C6" s="674"/>
      <c r="D6" s="674"/>
      <c r="E6" s="674"/>
      <c r="F6" s="674"/>
    </row>
    <row r="7" spans="1:8">
      <c r="A7" s="155" t="s">
        <v>4</v>
      </c>
      <c r="B7" s="157"/>
      <c r="C7" s="157"/>
      <c r="D7" s="157"/>
      <c r="E7" s="157"/>
      <c r="F7" s="265"/>
    </row>
    <row r="8" spans="1:8">
      <c r="A8" s="158" t="s">
        <v>315</v>
      </c>
      <c r="B8" s="159"/>
      <c r="C8" s="157" t="s">
        <v>451</v>
      </c>
      <c r="D8" s="159" t="s">
        <v>452</v>
      </c>
      <c r="E8" s="159" t="s">
        <v>453</v>
      </c>
      <c r="F8" s="262" t="s">
        <v>9</v>
      </c>
    </row>
    <row r="9" spans="1:8">
      <c r="A9" s="166">
        <v>1</v>
      </c>
      <c r="B9" s="213" t="s">
        <v>454</v>
      </c>
      <c r="C9" s="242"/>
      <c r="D9" s="243"/>
      <c r="E9" s="243"/>
      <c r="F9" s="266"/>
    </row>
    <row r="10" spans="1:8">
      <c r="A10" s="194"/>
      <c r="B10" s="244" t="s">
        <v>455</v>
      </c>
      <c r="C10" s="245">
        <v>166691</v>
      </c>
      <c r="D10" s="246">
        <v>1155083</v>
      </c>
      <c r="E10" s="246">
        <v>1409925</v>
      </c>
      <c r="F10" s="267">
        <f>SUM(C10:E10)</f>
        <v>2731699</v>
      </c>
    </row>
    <row r="11" spans="1:8">
      <c r="A11" s="194">
        <v>2</v>
      </c>
      <c r="B11" s="244" t="s">
        <v>456</v>
      </c>
      <c r="C11" s="247">
        <v>0</v>
      </c>
      <c r="D11" s="248">
        <v>0</v>
      </c>
      <c r="E11" s="248">
        <v>0</v>
      </c>
      <c r="F11" s="268">
        <f>SUM(C11:E11)</f>
        <v>0</v>
      </c>
    </row>
    <row r="12" spans="1:8">
      <c r="A12" s="166">
        <v>3</v>
      </c>
      <c r="B12" s="213" t="s">
        <v>457</v>
      </c>
      <c r="C12" s="249"/>
      <c r="D12" s="250"/>
      <c r="E12" s="250"/>
      <c r="F12" s="269"/>
    </row>
    <row r="13" spans="1:8">
      <c r="A13" s="194"/>
      <c r="B13" s="251" t="s">
        <v>458</v>
      </c>
      <c r="C13" s="195">
        <v>0</v>
      </c>
      <c r="D13" s="226">
        <v>10682</v>
      </c>
      <c r="E13" s="226">
        <v>66378</v>
      </c>
      <c r="F13" s="286">
        <f>SUM(C13:E13)</f>
        <v>77060</v>
      </c>
    </row>
    <row r="14" spans="1:8">
      <c r="A14" s="169">
        <v>4</v>
      </c>
      <c r="B14" s="215" t="s">
        <v>459</v>
      </c>
      <c r="C14" s="204"/>
      <c r="D14" s="230"/>
      <c r="E14" s="230"/>
      <c r="F14" s="287"/>
    </row>
    <row r="15" spans="1:8">
      <c r="A15" s="194"/>
      <c r="B15" s="251" t="s">
        <v>460</v>
      </c>
      <c r="C15" s="195">
        <v>736176</v>
      </c>
      <c r="D15" s="226">
        <v>153322</v>
      </c>
      <c r="E15" s="226">
        <v>277776</v>
      </c>
      <c r="F15" s="286">
        <f>SUM(C15:E15)</f>
        <v>1167274</v>
      </c>
    </row>
    <row r="16" spans="1:8">
      <c r="A16" s="177">
        <v>5</v>
      </c>
      <c r="B16" s="252" t="s">
        <v>461</v>
      </c>
      <c r="C16" s="202">
        <v>0</v>
      </c>
      <c r="D16" s="228">
        <v>83964839</v>
      </c>
      <c r="E16" s="228">
        <v>0</v>
      </c>
      <c r="F16" s="288">
        <f>+C16+D16+E16</f>
        <v>83964839</v>
      </c>
    </row>
    <row r="17" spans="1:9">
      <c r="A17" s="166">
        <v>6</v>
      </c>
      <c r="B17" s="215" t="s">
        <v>462</v>
      </c>
      <c r="C17" s="204"/>
      <c r="D17" s="230"/>
      <c r="E17" s="230"/>
      <c r="F17" s="287"/>
    </row>
    <row r="18" spans="1:9" ht="13.5" thickBot="1">
      <c r="A18" s="194"/>
      <c r="B18" s="251" t="s">
        <v>463</v>
      </c>
      <c r="C18" s="204">
        <v>0</v>
      </c>
      <c r="D18" s="488">
        <v>0</v>
      </c>
      <c r="E18" s="230">
        <v>0</v>
      </c>
      <c r="F18" s="287">
        <f>SUM(C18:E18)</f>
        <v>0</v>
      </c>
    </row>
    <row r="19" spans="1:9" ht="13.5" thickBot="1">
      <c r="A19" s="175">
        <v>7</v>
      </c>
      <c r="B19" s="252" t="s">
        <v>464</v>
      </c>
      <c r="C19" s="253">
        <f>SUM(C10:C18)</f>
        <v>902867</v>
      </c>
      <c r="D19" s="254">
        <f>SUM(D10:D18)</f>
        <v>85283926</v>
      </c>
      <c r="E19" s="254">
        <f>SUM(E10:E18)</f>
        <v>1754079</v>
      </c>
      <c r="F19" s="289">
        <f>SUM(C19:E19)</f>
        <v>87940872</v>
      </c>
    </row>
    <row r="20" spans="1:9">
      <c r="A20" s="166">
        <v>8</v>
      </c>
      <c r="B20" s="229" t="s">
        <v>465</v>
      </c>
      <c r="C20" s="255"/>
      <c r="D20" s="255"/>
      <c r="E20" s="255"/>
      <c r="F20" s="290"/>
    </row>
    <row r="21" spans="1:9">
      <c r="A21" s="194"/>
      <c r="B21" s="291" t="s">
        <v>466</v>
      </c>
      <c r="C21" s="256" t="s">
        <v>467</v>
      </c>
      <c r="D21" s="226">
        <f>'Transmission O&amp;M'!C22</f>
        <v>7821166</v>
      </c>
      <c r="E21" s="226">
        <f>'Transmission O&amp;M'!C34</f>
        <v>89377</v>
      </c>
      <c r="F21" s="292">
        <f>SUM(D21:E21)</f>
        <v>7910543</v>
      </c>
    </row>
    <row r="22" spans="1:9">
      <c r="A22" s="166">
        <v>9</v>
      </c>
      <c r="B22" s="229" t="s">
        <v>468</v>
      </c>
      <c r="C22" s="257"/>
      <c r="D22" s="230"/>
      <c r="E22" s="230"/>
      <c r="F22" s="293"/>
    </row>
    <row r="23" spans="1:9">
      <c r="A23" s="194"/>
      <c r="B23" s="291" t="s">
        <v>469</v>
      </c>
      <c r="C23" s="256" t="s">
        <v>467</v>
      </c>
      <c r="D23" s="226">
        <v>1967092</v>
      </c>
      <c r="E23" s="226">
        <v>2420440</v>
      </c>
      <c r="F23" s="292">
        <f>+D23+E23</f>
        <v>4387532</v>
      </c>
    </row>
    <row r="24" spans="1:9">
      <c r="A24" s="166">
        <v>10</v>
      </c>
      <c r="B24" s="229" t="s">
        <v>470</v>
      </c>
      <c r="C24" s="257"/>
      <c r="D24" s="230"/>
      <c r="E24" s="230"/>
      <c r="F24" s="293"/>
      <c r="I24" s="303"/>
    </row>
    <row r="25" spans="1:9">
      <c r="A25" s="194"/>
      <c r="B25" s="291" t="s">
        <v>471</v>
      </c>
      <c r="C25" s="256" t="s">
        <v>467</v>
      </c>
      <c r="D25" s="226">
        <f>'Admin &amp; General'!C13</f>
        <v>2050064</v>
      </c>
      <c r="E25" s="226">
        <v>0</v>
      </c>
      <c r="F25" s="292">
        <f>+D25+E25</f>
        <v>2050064</v>
      </c>
      <c r="I25" s="303"/>
    </row>
    <row r="26" spans="1:9">
      <c r="A26" s="166">
        <v>11</v>
      </c>
      <c r="B26" s="229" t="s">
        <v>472</v>
      </c>
      <c r="C26" s="257"/>
      <c r="D26" s="230"/>
      <c r="E26" s="230"/>
      <c r="F26" s="293"/>
      <c r="I26" s="303"/>
    </row>
    <row r="27" spans="1:9">
      <c r="A27" s="194"/>
      <c r="B27" s="291" t="s">
        <v>473</v>
      </c>
      <c r="C27" s="256" t="s">
        <v>467</v>
      </c>
      <c r="D27" s="226">
        <f>'Admin &amp; General'!C20</f>
        <v>1457878</v>
      </c>
      <c r="E27" s="226">
        <v>0</v>
      </c>
      <c r="F27" s="292">
        <f>+D27+E27</f>
        <v>1457878</v>
      </c>
      <c r="G27" s="302"/>
      <c r="H27" s="302"/>
      <c r="I27" s="302"/>
    </row>
    <row r="28" spans="1:9">
      <c r="A28" s="175">
        <v>12</v>
      </c>
      <c r="B28" s="227" t="s">
        <v>474</v>
      </c>
      <c r="C28" s="258" t="s">
        <v>467</v>
      </c>
      <c r="D28" s="226">
        <f>'Admin &amp; General'!C27</f>
        <v>389108</v>
      </c>
      <c r="E28" s="228">
        <v>0</v>
      </c>
      <c r="F28" s="292">
        <f>+D28+E28</f>
        <v>389108</v>
      </c>
      <c r="G28" s="302"/>
      <c r="H28" s="302"/>
      <c r="I28" s="302"/>
    </row>
    <row r="29" spans="1:9">
      <c r="A29" s="175">
        <v>13</v>
      </c>
      <c r="B29" s="227" t="s">
        <v>475</v>
      </c>
      <c r="C29" s="258" t="s">
        <v>467</v>
      </c>
      <c r="D29" s="226">
        <f>'Admin &amp; General'!C44-E29</f>
        <v>10298059</v>
      </c>
      <c r="E29" s="228">
        <f>'Admin &amp; General'!C43</f>
        <v>1367903</v>
      </c>
      <c r="F29" s="292">
        <f>+D29+E29</f>
        <v>11665962</v>
      </c>
      <c r="G29" s="302"/>
      <c r="H29" s="302"/>
      <c r="I29" s="302"/>
    </row>
    <row r="30" spans="1:9" ht="13.5" thickBot="1">
      <c r="A30" s="166">
        <v>14</v>
      </c>
      <c r="B30" s="229" t="s">
        <v>476</v>
      </c>
      <c r="C30" s="259"/>
      <c r="D30" s="255"/>
      <c r="E30" s="255"/>
      <c r="F30" s="290"/>
      <c r="G30" s="302"/>
      <c r="H30" s="302"/>
      <c r="I30" s="302"/>
    </row>
    <row r="31" spans="1:9" ht="13.5" thickBot="1">
      <c r="A31" s="194"/>
      <c r="B31" s="251" t="s">
        <v>477</v>
      </c>
      <c r="C31" s="253">
        <f>SUM(C19:C29)</f>
        <v>902867</v>
      </c>
      <c r="D31" s="254">
        <f>SUM(D19:D29)</f>
        <v>109267293</v>
      </c>
      <c r="E31" s="254">
        <f>SUM(E19:E29)</f>
        <v>5631799</v>
      </c>
      <c r="F31" s="289">
        <f>SUM(F19:F30)</f>
        <v>115801959</v>
      </c>
      <c r="G31" s="302"/>
      <c r="H31" s="302"/>
      <c r="I31" s="302"/>
    </row>
    <row r="32" spans="1:9">
      <c r="B32" s="203"/>
      <c r="C32" s="260"/>
      <c r="D32" s="260"/>
      <c r="E32" s="260"/>
      <c r="F32" s="294"/>
      <c r="G32" s="302"/>
      <c r="H32" s="302"/>
      <c r="I32" s="302"/>
    </row>
    <row r="33" spans="2:9">
      <c r="B33" s="672" t="s">
        <v>478</v>
      </c>
      <c r="C33" s="673"/>
      <c r="D33" s="299"/>
      <c r="E33" s="260"/>
      <c r="F33" s="294"/>
      <c r="G33" s="302"/>
      <c r="H33" s="302"/>
      <c r="I33" s="302"/>
    </row>
    <row r="34" spans="2:9">
      <c r="B34" s="295" t="s">
        <v>479</v>
      </c>
      <c r="C34" s="296"/>
      <c r="D34" s="300"/>
      <c r="E34" s="340"/>
      <c r="F34" s="301"/>
      <c r="G34" s="302"/>
      <c r="H34" s="302"/>
      <c r="I34" s="302"/>
    </row>
    <row r="35" spans="2:9">
      <c r="B35" s="203"/>
      <c r="C35" s="260"/>
      <c r="D35" s="260"/>
      <c r="E35" s="260"/>
      <c r="F35" s="294"/>
      <c r="G35" s="302"/>
      <c r="H35" s="302"/>
      <c r="I35" s="302"/>
    </row>
    <row r="36" spans="2:9" ht="15">
      <c r="B36" s="458" t="s">
        <v>746</v>
      </c>
      <c r="C36" s="458"/>
      <c r="D36" s="458"/>
      <c r="E36" s="458"/>
      <c r="F36" s="458"/>
      <c r="G36" s="302"/>
      <c r="H36" s="302"/>
      <c r="I36" s="302"/>
    </row>
    <row r="37" spans="2:9" ht="15">
      <c r="B37" s="458"/>
      <c r="C37" s="458"/>
      <c r="D37" s="458"/>
      <c r="E37" s="458"/>
      <c r="F37" s="458"/>
      <c r="G37" s="302"/>
      <c r="H37" s="302"/>
      <c r="I37" s="302"/>
    </row>
    <row r="38" spans="2:9" ht="15">
      <c r="B38" s="459" t="s">
        <v>741</v>
      </c>
      <c r="C38" s="460" t="s">
        <v>467</v>
      </c>
      <c r="D38" s="461">
        <v>103745</v>
      </c>
      <c r="E38" s="461">
        <v>0</v>
      </c>
      <c r="F38" s="462">
        <f>+D38+E38</f>
        <v>103745</v>
      </c>
      <c r="G38" s="302"/>
      <c r="H38" s="302"/>
      <c r="I38" s="302"/>
    </row>
    <row r="39" spans="2:9" ht="15">
      <c r="B39" s="463" t="s">
        <v>747</v>
      </c>
      <c r="C39" s="463"/>
      <c r="D39" s="463"/>
      <c r="E39" s="463"/>
      <c r="F39" s="464"/>
      <c r="G39" s="302"/>
      <c r="H39" s="302"/>
      <c r="I39" s="302"/>
    </row>
    <row r="40" spans="2:9" ht="15">
      <c r="B40" s="458"/>
      <c r="C40" s="458"/>
      <c r="D40" s="458"/>
      <c r="E40" s="458"/>
      <c r="F40" s="458"/>
      <c r="G40" s="302"/>
      <c r="H40" s="302"/>
      <c r="I40" s="302"/>
    </row>
    <row r="41" spans="2:9" ht="15">
      <c r="B41" s="465" t="s">
        <v>476</v>
      </c>
      <c r="C41" s="458"/>
      <c r="D41" s="458"/>
      <c r="E41" s="458"/>
      <c r="F41" s="458"/>
      <c r="G41" s="302"/>
      <c r="H41" s="302"/>
      <c r="I41" s="302"/>
    </row>
    <row r="42" spans="2:9" ht="15">
      <c r="B42" s="466" t="s">
        <v>477</v>
      </c>
      <c r="C42" s="458"/>
      <c r="D42" s="467">
        <f>C19+D31+D38</f>
        <v>110273905</v>
      </c>
      <c r="E42" s="467">
        <f>E38+E31</f>
        <v>5631799</v>
      </c>
      <c r="F42" s="467">
        <f>F38+F31</f>
        <v>115905704</v>
      </c>
      <c r="G42" s="302"/>
      <c r="H42" s="302"/>
      <c r="I42" s="302"/>
    </row>
    <row r="43" spans="2:9" ht="15">
      <c r="B43" s="458"/>
      <c r="C43" s="458"/>
      <c r="D43" s="468"/>
      <c r="E43" s="468"/>
      <c r="F43" s="458"/>
    </row>
  </sheetData>
  <mergeCells count="6">
    <mergeCell ref="B33:C33"/>
    <mergeCell ref="A1:F1"/>
    <mergeCell ref="A2:F2"/>
    <mergeCell ref="A3:F3"/>
    <mergeCell ref="A4:F4"/>
    <mergeCell ref="A6:F6"/>
  </mergeCells>
  <pageMargins left="0.75" right="0.75" top="1" bottom="1" header="0.5" footer="0.5"/>
  <pageSetup scale="83" orientation="portrait" r:id="rId1"/>
  <headerFooter alignWithMargins="0">
    <oddFooter>&amp;L&amp;8&amp;Z&amp;F&amp;A&amp;R&amp;8&amp;D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3:H27"/>
  <sheetViews>
    <sheetView showGridLines="0" zoomScaleNormal="100" workbookViewId="0"/>
  </sheetViews>
  <sheetFormatPr defaultRowHeight="15"/>
  <cols>
    <col min="1" max="1" width="8.88671875" style="354"/>
    <col min="2" max="2" width="1.33203125" style="354" customWidth="1"/>
    <col min="3" max="3" width="8.88671875" style="354"/>
    <col min="4" max="4" width="21.6640625" style="354" customWidth="1"/>
    <col min="5" max="5" width="6.21875" style="354" customWidth="1"/>
    <col min="6" max="6" width="14.5546875" style="354" customWidth="1"/>
    <col min="7" max="8" width="1.21875" style="354" customWidth="1"/>
    <col min="9" max="16384" width="8.88671875" style="354"/>
  </cols>
  <sheetData>
    <row r="3" spans="3:8" ht="5.25" customHeight="1"/>
    <row r="4" spans="3:8" ht="5.25" customHeight="1"/>
    <row r="5" spans="3:8" ht="15.75">
      <c r="C5" s="355" t="str">
        <f>Coversheet!B3</f>
        <v>Rochester Public Utilities</v>
      </c>
      <c r="D5" s="355"/>
      <c r="E5" s="355"/>
      <c r="F5" s="355"/>
    </row>
    <row r="6" spans="3:8" ht="15.75">
      <c r="C6" s="356">
        <f>Coversheet!C5</f>
        <v>2015</v>
      </c>
      <c r="D6" s="355" t="s">
        <v>500</v>
      </c>
      <c r="E6" s="355"/>
      <c r="F6" s="355"/>
    </row>
    <row r="7" spans="3:8" ht="15.75">
      <c r="C7" s="355" t="s">
        <v>499</v>
      </c>
      <c r="D7" s="355"/>
      <c r="E7" s="355"/>
      <c r="F7" s="355"/>
    </row>
    <row r="8" spans="3:8" ht="15.75">
      <c r="C8" s="355"/>
      <c r="D8" s="355"/>
      <c r="E8" s="355"/>
      <c r="F8" s="355"/>
    </row>
    <row r="9" spans="3:8" s="359" customFormat="1">
      <c r="C9" s="358" t="s">
        <v>501</v>
      </c>
      <c r="D9" s="358" t="s">
        <v>502</v>
      </c>
      <c r="E9" s="358" t="s">
        <v>503</v>
      </c>
      <c r="F9" s="358" t="s">
        <v>589</v>
      </c>
    </row>
    <row r="10" spans="3:8">
      <c r="C10" s="360">
        <v>1</v>
      </c>
      <c r="D10" s="361" t="s">
        <v>486</v>
      </c>
      <c r="E10" s="360">
        <f>C6</f>
        <v>2015</v>
      </c>
      <c r="F10" s="362">
        <v>0</v>
      </c>
      <c r="H10" s="363"/>
    </row>
    <row r="11" spans="3:8" ht="15.75">
      <c r="C11" s="360">
        <v>2</v>
      </c>
      <c r="D11" s="364" t="s">
        <v>487</v>
      </c>
      <c r="E11" s="360">
        <f>E10</f>
        <v>2015</v>
      </c>
      <c r="F11" s="362">
        <v>0</v>
      </c>
    </row>
    <row r="12" spans="3:8" ht="15.75">
      <c r="C12" s="360">
        <v>3</v>
      </c>
      <c r="D12" s="364" t="s">
        <v>488</v>
      </c>
      <c r="E12" s="360">
        <f>E11</f>
        <v>2015</v>
      </c>
      <c r="F12" s="362">
        <v>0</v>
      </c>
    </row>
    <row r="13" spans="3:8" ht="15.75">
      <c r="C13" s="360">
        <v>4</v>
      </c>
      <c r="D13" s="364" t="s">
        <v>489</v>
      </c>
      <c r="E13" s="360">
        <f t="shared" ref="E13:E21" si="0">E12</f>
        <v>2015</v>
      </c>
      <c r="F13" s="362">
        <v>0</v>
      </c>
    </row>
    <row r="14" spans="3:8" ht="15.75">
      <c r="C14" s="360">
        <v>5</v>
      </c>
      <c r="D14" s="364" t="s">
        <v>490</v>
      </c>
      <c r="E14" s="360">
        <f t="shared" si="0"/>
        <v>2015</v>
      </c>
      <c r="F14" s="362">
        <v>0</v>
      </c>
    </row>
    <row r="15" spans="3:8" ht="15.75">
      <c r="C15" s="360">
        <v>6</v>
      </c>
      <c r="D15" s="364" t="s">
        <v>491</v>
      </c>
      <c r="E15" s="360">
        <f t="shared" si="0"/>
        <v>2015</v>
      </c>
      <c r="F15" s="362">
        <v>49676</v>
      </c>
    </row>
    <row r="16" spans="3:8" ht="15.75">
      <c r="C16" s="360">
        <v>7</v>
      </c>
      <c r="D16" s="364" t="s">
        <v>492</v>
      </c>
      <c r="E16" s="360">
        <f t="shared" si="0"/>
        <v>2015</v>
      </c>
      <c r="F16" s="362">
        <v>69651</v>
      </c>
    </row>
    <row r="17" spans="3:6" ht="15.75">
      <c r="C17" s="360">
        <v>8</v>
      </c>
      <c r="D17" s="364" t="s">
        <v>493</v>
      </c>
      <c r="E17" s="360">
        <f t="shared" si="0"/>
        <v>2015</v>
      </c>
      <c r="F17" s="362">
        <v>61752</v>
      </c>
    </row>
    <row r="18" spans="3:6" ht="15.75">
      <c r="C18" s="360">
        <v>9</v>
      </c>
      <c r="D18" s="364" t="s">
        <v>494</v>
      </c>
      <c r="E18" s="360">
        <f t="shared" si="0"/>
        <v>2015</v>
      </c>
      <c r="F18" s="362">
        <v>56833</v>
      </c>
    </row>
    <row r="19" spans="3:6" ht="15.75">
      <c r="C19" s="360">
        <v>10</v>
      </c>
      <c r="D19" s="364" t="s">
        <v>495</v>
      </c>
      <c r="E19" s="360">
        <f t="shared" si="0"/>
        <v>2015</v>
      </c>
      <c r="F19" s="362">
        <v>0</v>
      </c>
    </row>
    <row r="20" spans="3:6" ht="15.75">
      <c r="C20" s="360">
        <v>11</v>
      </c>
      <c r="D20" s="364" t="s">
        <v>496</v>
      </c>
      <c r="E20" s="360">
        <f t="shared" si="0"/>
        <v>2015</v>
      </c>
      <c r="F20" s="362">
        <v>0</v>
      </c>
    </row>
    <row r="21" spans="3:6" ht="15.75">
      <c r="C21" s="360">
        <v>12</v>
      </c>
      <c r="D21" s="364" t="s">
        <v>497</v>
      </c>
      <c r="E21" s="360">
        <f t="shared" si="0"/>
        <v>2015</v>
      </c>
      <c r="F21" s="362">
        <v>0</v>
      </c>
    </row>
    <row r="22" spans="3:6">
      <c r="C22" s="360">
        <v>13</v>
      </c>
      <c r="F22" s="456"/>
    </row>
    <row r="23" spans="3:6" ht="17.25">
      <c r="C23" s="360">
        <v>14</v>
      </c>
      <c r="D23" s="356" t="s">
        <v>504</v>
      </c>
      <c r="E23" s="365"/>
      <c r="F23" s="366">
        <f t="shared" ref="F23" si="1">SUM(F10:F21)/12</f>
        <v>19826</v>
      </c>
    </row>
    <row r="25" spans="3:6">
      <c r="F25" s="367" t="s">
        <v>505</v>
      </c>
    </row>
    <row r="26" spans="3:6" ht="6.75" customHeight="1"/>
    <row r="27" spans="3:6" ht="6.75" customHeight="1"/>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9</vt:i4>
      </vt:variant>
    </vt:vector>
  </HeadingPairs>
  <TitlesOfParts>
    <vt:vector size="31" baseType="lpstr">
      <vt:lpstr>Coversheet</vt:lpstr>
      <vt:lpstr>FLTY Att O_RPU</vt:lpstr>
      <vt:lpstr>2015 Att GG_RPU</vt:lpstr>
      <vt:lpstr>Balance sheet Sched 2</vt:lpstr>
      <vt:lpstr>Income Sched 3</vt:lpstr>
      <vt:lpstr>Plant Sched 4</vt:lpstr>
      <vt:lpstr>Taxes Sched 5</vt:lpstr>
      <vt:lpstr>Op &amp; Maint Sched 7</vt:lpstr>
      <vt:lpstr>Divisor</vt:lpstr>
      <vt:lpstr>Plant</vt:lpstr>
      <vt:lpstr>Adj to Rate Base</vt:lpstr>
      <vt:lpstr>Land Held for Future Use</vt:lpstr>
      <vt:lpstr>Materials and Prepayments</vt:lpstr>
      <vt:lpstr>Capital Structure</vt:lpstr>
      <vt:lpstr>Transmission O&amp;M</vt:lpstr>
      <vt:lpstr>Admin &amp; General</vt:lpstr>
      <vt:lpstr>Wages &amp; Salaries</vt:lpstr>
      <vt:lpstr>FERC Fees</vt:lpstr>
      <vt:lpstr>EPRI Reg Comm Non Safety</vt:lpstr>
      <vt:lpstr>Taxes other than inc tax</vt:lpstr>
      <vt:lpstr>Account 454</vt:lpstr>
      <vt:lpstr>Account 456.1</vt:lpstr>
      <vt:lpstr>'Account 456.1'!Print_Area</vt:lpstr>
      <vt:lpstr>'Adj to Rate Base'!Print_Area</vt:lpstr>
      <vt:lpstr>'Capital Structure'!Print_Area</vt:lpstr>
      <vt:lpstr>Divisor!Print_Area</vt:lpstr>
      <vt:lpstr>'FERC Fees'!Print_Area</vt:lpstr>
      <vt:lpstr>'FLTY Att O_RPU'!Print_Area</vt:lpstr>
      <vt:lpstr>'Income Sched 3'!Print_Area</vt:lpstr>
      <vt:lpstr>Plant!Print_Area</vt:lpstr>
      <vt:lpstr>'Taxes other than inc tax'!Print_Area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Tina Livingston</cp:lastModifiedBy>
  <cp:lastPrinted>2014-10-15T16:25:50Z</cp:lastPrinted>
  <dcterms:created xsi:type="dcterms:W3CDTF">2008-03-20T17:17:49Z</dcterms:created>
  <dcterms:modified xsi:type="dcterms:W3CDTF">2015-01-09T18:59:26Z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2015FLTY Revised.xlsx</vt:lpwstr>
  </property>
</Properties>
</file>