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6Data/Library/2016 Actual/Analysis/"/>
    </mc:Choice>
  </mc:AlternateContent>
  <bookViews>
    <workbookView xWindow="10070" yWindow="-10" windowWidth="10120" windowHeight="9230" tabRatio="805" xr2:uid="{00000000-000D-0000-FFFF-FFFF00000000}"/>
  </bookViews>
  <sheets>
    <sheet name="2016 TU" sheetId="6" r:id="rId1"/>
    <sheet name="2016 GG TU Weighted ROE" sheetId="14" r:id="rId2"/>
    <sheet name="2016 MM TU Weighted ROE" sheetId="15" r:id="rId3"/>
    <sheet name="Interest Rates" sheetId="17" r:id="rId4"/>
    <sheet name="List of ROE by TO" sheetId="16" r:id="rId5"/>
  </sheets>
  <definedNames>
    <definedName name="_xlnm.Print_Area" localSheetId="1">'2016 GG TU Weighted ROE'!$B$1:$L$97</definedName>
    <definedName name="_xlnm.Print_Area" localSheetId="2">'2016 MM TU Weighted ROE'!$B$1:$L$105</definedName>
    <definedName name="_xlnm.Print_Area" localSheetId="0">'2016 TU'!$A$1:$L$115</definedName>
    <definedName name="_xlnm.Print_Area" localSheetId="3">'Interest Rates'!$A$1:$G$38</definedName>
  </definedNames>
  <calcPr calcId="171027" iterate="1" iterateCount="1000"/>
</workbook>
</file>

<file path=xl/calcChain.xml><?xml version="1.0" encoding="utf-8"?>
<calcChain xmlns="http://schemas.openxmlformats.org/spreadsheetml/2006/main">
  <c r="C9" i="6" l="1"/>
  <c r="J97" i="14"/>
  <c r="I84" i="14"/>
  <c r="D55" i="6" l="1"/>
  <c r="C55" i="6"/>
  <c r="F30" i="6"/>
  <c r="E87" i="6" l="1"/>
  <c r="E88" i="6" s="1"/>
  <c r="F35" i="17" l="1"/>
  <c r="I54" i="14" l="1"/>
  <c r="I20" i="14"/>
  <c r="E18" i="14" l="1"/>
  <c r="C58" i="14" l="1"/>
  <c r="C59" i="14"/>
  <c r="C60" i="14"/>
  <c r="F84" i="15" l="1"/>
  <c r="F85" i="15"/>
  <c r="F86" i="15"/>
  <c r="F87" i="15"/>
  <c r="F88" i="15"/>
  <c r="F89" i="15"/>
  <c r="F90" i="15"/>
  <c r="F91" i="15"/>
  <c r="F83" i="15"/>
  <c r="H31" i="6" l="1"/>
  <c r="C1" i="6"/>
  <c r="K31" i="6" l="1"/>
  <c r="K35" i="6" s="1"/>
  <c r="L30" i="6" s="1"/>
  <c r="J68" i="15" s="1"/>
  <c r="H35" i="6"/>
  <c r="I34" i="6" s="1"/>
  <c r="D30" i="6"/>
  <c r="D23" i="6"/>
  <c r="D24" i="6"/>
  <c r="D25" i="6"/>
  <c r="D26" i="6"/>
  <c r="D27" i="6"/>
  <c r="D28" i="6"/>
  <c r="D29" i="6"/>
  <c r="D32" i="6"/>
  <c r="D33" i="6"/>
  <c r="D34" i="6"/>
  <c r="D22" i="6"/>
  <c r="C31" i="6"/>
  <c r="D31" i="6" s="1"/>
  <c r="D79" i="6" l="1"/>
  <c r="J71" i="14"/>
  <c r="I30" i="6"/>
  <c r="C101" i="6"/>
  <c r="L34" i="6"/>
  <c r="E34" i="6"/>
  <c r="E30" i="6"/>
  <c r="C35" i="6"/>
  <c r="J70" i="14" l="1"/>
  <c r="F86" i="14"/>
  <c r="F90" i="14"/>
  <c r="F84" i="14"/>
  <c r="F87" i="14"/>
  <c r="F91" i="14"/>
  <c r="F88" i="14"/>
  <c r="F92" i="14"/>
  <c r="F85" i="14"/>
  <c r="F89" i="14"/>
  <c r="F93" i="14"/>
  <c r="D101" i="6"/>
  <c r="J69" i="15"/>
  <c r="H85" i="14"/>
  <c r="H89" i="14"/>
  <c r="H93" i="14"/>
  <c r="H86" i="14"/>
  <c r="H90" i="14"/>
  <c r="H87" i="14"/>
  <c r="H91" i="14"/>
  <c r="C79" i="6"/>
  <c r="H84" i="14"/>
  <c r="H88" i="14"/>
  <c r="H92" i="14"/>
  <c r="H90" i="15"/>
  <c r="H86" i="15"/>
  <c r="H83" i="15"/>
  <c r="L35" i="6"/>
  <c r="H91" i="15"/>
  <c r="H89" i="15"/>
  <c r="H88" i="15"/>
  <c r="H87" i="15"/>
  <c r="H85" i="15"/>
  <c r="H84" i="15"/>
  <c r="I35" i="6"/>
  <c r="E53" i="6" l="1"/>
  <c r="C55" i="14" l="1"/>
  <c r="C56" i="14"/>
  <c r="C57" i="14"/>
  <c r="C54" i="14"/>
  <c r="D86" i="15" l="1"/>
  <c r="D87" i="15"/>
  <c r="D88" i="15"/>
  <c r="D89" i="15"/>
  <c r="D90" i="15"/>
  <c r="D91" i="15"/>
  <c r="D55" i="15"/>
  <c r="D56" i="15"/>
  <c r="D57" i="15"/>
  <c r="D58" i="15"/>
  <c r="D59" i="15"/>
  <c r="D60" i="15"/>
  <c r="C59" i="15" l="1"/>
  <c r="A12" i="17"/>
  <c r="G35" i="17" l="1"/>
  <c r="D9" i="6" s="1"/>
  <c r="D35" i="17"/>
  <c r="A16" i="17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E35" i="17" l="1"/>
  <c r="D10" i="6" s="1"/>
  <c r="D99" i="6"/>
  <c r="C99" i="6"/>
  <c r="D77" i="6"/>
  <c r="C77" i="6"/>
  <c r="D40" i="6" l="1"/>
  <c r="C40" i="6"/>
  <c r="C84" i="15" l="1"/>
  <c r="C85" i="15"/>
  <c r="C86" i="15"/>
  <c r="C87" i="15"/>
  <c r="C88" i="15"/>
  <c r="C89" i="15"/>
  <c r="C90" i="15"/>
  <c r="C83" i="15"/>
  <c r="C53" i="15"/>
  <c r="C54" i="15"/>
  <c r="C55" i="15"/>
  <c r="C56" i="15"/>
  <c r="C57" i="15"/>
  <c r="C58" i="15"/>
  <c r="C52" i="15"/>
  <c r="F62" i="15" l="1"/>
  <c r="H62" i="15"/>
  <c r="D7" i="15"/>
  <c r="F5" i="15" s="1"/>
  <c r="I68" i="15" s="1"/>
  <c r="D7" i="14"/>
  <c r="F5" i="14" s="1"/>
  <c r="I70" i="14" s="1"/>
  <c r="D85" i="14"/>
  <c r="D86" i="14"/>
  <c r="D87" i="14"/>
  <c r="D88" i="14"/>
  <c r="D89" i="14"/>
  <c r="D90" i="14"/>
  <c r="D91" i="14"/>
  <c r="D92" i="14"/>
  <c r="D93" i="14"/>
  <c r="D84" i="14"/>
  <c r="D84" i="15"/>
  <c r="D85" i="15"/>
  <c r="D83" i="15"/>
  <c r="G55" i="15"/>
  <c r="I55" i="15" s="1"/>
  <c r="G56" i="15"/>
  <c r="I56" i="15" s="1"/>
  <c r="G57" i="15"/>
  <c r="I57" i="15" s="1"/>
  <c r="G58" i="15"/>
  <c r="I58" i="15" s="1"/>
  <c r="G59" i="15"/>
  <c r="I59" i="15" s="1"/>
  <c r="D53" i="15"/>
  <c r="D54" i="15"/>
  <c r="D52" i="15"/>
  <c r="G61" i="14"/>
  <c r="I61" i="14" s="1"/>
  <c r="G62" i="14"/>
  <c r="I62" i="14" s="1"/>
  <c r="G63" i="14"/>
  <c r="I63" i="14" s="1"/>
  <c r="D55" i="14"/>
  <c r="D56" i="14"/>
  <c r="D57" i="14"/>
  <c r="D58" i="14"/>
  <c r="D59" i="14"/>
  <c r="D60" i="14"/>
  <c r="D61" i="14"/>
  <c r="D62" i="14"/>
  <c r="D63" i="14"/>
  <c r="D54" i="14"/>
  <c r="H65" i="14"/>
  <c r="F65" i="14"/>
  <c r="G58" i="14" s="1"/>
  <c r="I58" i="14" s="1"/>
  <c r="E52" i="14"/>
  <c r="G60" i="14" l="1"/>
  <c r="I60" i="14" s="1"/>
  <c r="G59" i="14"/>
  <c r="I59" i="14" s="1"/>
  <c r="G60" i="15"/>
  <c r="I60" i="15" s="1"/>
  <c r="D38" i="15"/>
  <c r="F36" i="15" s="1"/>
  <c r="I69" i="15" s="1"/>
  <c r="D70" i="14"/>
  <c r="E82" i="14"/>
  <c r="D69" i="15"/>
  <c r="F69" i="15" s="1"/>
  <c r="D40" i="14"/>
  <c r="F38" i="14" s="1"/>
  <c r="I71" i="14" s="1"/>
  <c r="G55" i="14"/>
  <c r="I55" i="14" s="1"/>
  <c r="G56" i="14"/>
  <c r="I56" i="14" s="1"/>
  <c r="G57" i="14"/>
  <c r="I57" i="14" s="1"/>
  <c r="G54" i="14"/>
  <c r="D35" i="6"/>
  <c r="C10" i="6"/>
  <c r="F34" i="6" l="1"/>
  <c r="G87" i="15" l="1"/>
  <c r="G91" i="15"/>
  <c r="G93" i="14"/>
  <c r="G91" i="14"/>
  <c r="G88" i="15"/>
  <c r="I88" i="15" s="1"/>
  <c r="G89" i="15"/>
  <c r="G86" i="15"/>
  <c r="G90" i="15"/>
  <c r="I90" i="15" s="1"/>
  <c r="G92" i="14"/>
  <c r="I91" i="15" l="1"/>
  <c r="I92" i="14"/>
  <c r="I86" i="15"/>
  <c r="I93" i="14"/>
  <c r="I91" i="14"/>
  <c r="I87" i="15"/>
  <c r="I89" i="15"/>
  <c r="H93" i="15"/>
  <c r="F95" i="14"/>
  <c r="H95" i="14"/>
  <c r="F93" i="15"/>
  <c r="D80" i="6"/>
  <c r="D46" i="6"/>
  <c r="D47" i="6" s="1"/>
  <c r="D102" i="6"/>
  <c r="D56" i="6"/>
  <c r="D42" i="6"/>
  <c r="D43" i="6" s="1"/>
  <c r="C42" i="6"/>
  <c r="C43" i="6" s="1"/>
  <c r="C80" i="6"/>
  <c r="C46" i="6"/>
  <c r="C47" i="6" s="1"/>
  <c r="C102" i="6"/>
  <c r="C56" i="6"/>
  <c r="F35" i="6"/>
  <c r="G89" i="14" l="1"/>
  <c r="I89" i="14" s="1"/>
  <c r="G90" i="14"/>
  <c r="I90" i="14" s="1"/>
  <c r="G84" i="14"/>
  <c r="G88" i="14"/>
  <c r="I88" i="14" s="1"/>
  <c r="E102" i="6"/>
  <c r="E106" i="6" s="1"/>
  <c r="D49" i="6"/>
  <c r="E47" i="6"/>
  <c r="E43" i="6"/>
  <c r="C49" i="6"/>
  <c r="G85" i="14"/>
  <c r="I85" i="14" s="1"/>
  <c r="G86" i="14"/>
  <c r="I86" i="14" s="1"/>
  <c r="G87" i="14"/>
  <c r="I87" i="14" s="1"/>
  <c r="E18" i="15"/>
  <c r="E50" i="15" s="1"/>
  <c r="G54" i="15" s="1"/>
  <c r="I54" i="15" s="1"/>
  <c r="I96" i="14" l="1"/>
  <c r="E49" i="6"/>
  <c r="G95" i="14"/>
  <c r="E81" i="15"/>
  <c r="G85" i="15" s="1"/>
  <c r="I85" i="15" s="1"/>
  <c r="J84" i="14" l="1"/>
  <c r="J88" i="14"/>
  <c r="K88" i="14" s="1"/>
  <c r="L88" i="14" s="1"/>
  <c r="J92" i="14"/>
  <c r="J89" i="14"/>
  <c r="K89" i="14" s="1"/>
  <c r="L89" i="14" s="1"/>
  <c r="J93" i="14"/>
  <c r="J85" i="14"/>
  <c r="K85" i="14" s="1"/>
  <c r="J86" i="14"/>
  <c r="K86" i="14" s="1"/>
  <c r="L86" i="14" s="1"/>
  <c r="J90" i="14"/>
  <c r="K90" i="14" s="1"/>
  <c r="L90" i="14" s="1"/>
  <c r="J87" i="14"/>
  <c r="J91" i="14"/>
  <c r="K91" i="14" s="1"/>
  <c r="L91" i="14" s="1"/>
  <c r="G83" i="15"/>
  <c r="I83" i="15" s="1"/>
  <c r="G84" i="15"/>
  <c r="I84" i="15" s="1"/>
  <c r="G53" i="15"/>
  <c r="I53" i="15" s="1"/>
  <c r="G52" i="15"/>
  <c r="I52" i="15" s="1"/>
  <c r="K92" i="14" l="1"/>
  <c r="L92" i="14" s="1"/>
  <c r="K87" i="14"/>
  <c r="L87" i="14" s="1"/>
  <c r="K93" i="14"/>
  <c r="L93" i="14" s="1"/>
  <c r="K84" i="14"/>
  <c r="L84" i="14" s="1"/>
  <c r="L85" i="14"/>
  <c r="G62" i="15"/>
  <c r="G93" i="15"/>
  <c r="I63" i="15"/>
  <c r="G27" i="14"/>
  <c r="I27" i="14" s="1"/>
  <c r="G28" i="14"/>
  <c r="I28" i="14" s="1"/>
  <c r="G29" i="14"/>
  <c r="I29" i="14" s="1"/>
  <c r="L96" i="14" l="1"/>
  <c r="G90" i="6" s="1"/>
  <c r="K96" i="14"/>
  <c r="I94" i="15"/>
  <c r="F30" i="15"/>
  <c r="G26" i="15"/>
  <c r="I26" i="15" s="1"/>
  <c r="G25" i="15"/>
  <c r="I25" i="15" s="1"/>
  <c r="G23" i="15"/>
  <c r="I23" i="15" s="1"/>
  <c r="H30" i="15"/>
  <c r="G24" i="15"/>
  <c r="I24" i="15" s="1"/>
  <c r="J90" i="15" l="1"/>
  <c r="K90" i="15" s="1"/>
  <c r="L90" i="15" s="1"/>
  <c r="J87" i="15"/>
  <c r="K87" i="15" s="1"/>
  <c r="L87" i="15" s="1"/>
  <c r="J86" i="15"/>
  <c r="K86" i="15" s="1"/>
  <c r="L86" i="15" s="1"/>
  <c r="J91" i="15"/>
  <c r="K91" i="15" s="1"/>
  <c r="L91" i="15" s="1"/>
  <c r="J88" i="15"/>
  <c r="K88" i="15" s="1"/>
  <c r="L88" i="15" s="1"/>
  <c r="J89" i="15"/>
  <c r="K89" i="15" s="1"/>
  <c r="L89" i="15" s="1"/>
  <c r="J85" i="15"/>
  <c r="K85" i="15" s="1"/>
  <c r="L85" i="15" s="1"/>
  <c r="J83" i="15"/>
  <c r="J84" i="15"/>
  <c r="K84" i="15" s="1"/>
  <c r="L84" i="15" s="1"/>
  <c r="G21" i="15"/>
  <c r="I21" i="15" s="1"/>
  <c r="G28" i="15"/>
  <c r="I28" i="15" s="1"/>
  <c r="G27" i="15"/>
  <c r="I27" i="15" s="1"/>
  <c r="G20" i="15"/>
  <c r="I20" i="15" s="1"/>
  <c r="G22" i="15"/>
  <c r="I22" i="15" s="1"/>
  <c r="H31" i="14"/>
  <c r="F31" i="14"/>
  <c r="G26" i="14" s="1"/>
  <c r="I26" i="14" s="1"/>
  <c r="K83" i="15" l="1"/>
  <c r="L83" i="15" s="1"/>
  <c r="L94" i="15" s="1"/>
  <c r="G111" i="6" s="1"/>
  <c r="G24" i="14"/>
  <c r="I24" i="14" s="1"/>
  <c r="G25" i="14"/>
  <c r="I25" i="14" s="1"/>
  <c r="G21" i="14"/>
  <c r="I21" i="14" s="1"/>
  <c r="G20" i="14"/>
  <c r="G23" i="14"/>
  <c r="I23" i="14" s="1"/>
  <c r="G22" i="14"/>
  <c r="I22" i="14" s="1"/>
  <c r="G30" i="15"/>
  <c r="K94" i="15" l="1"/>
  <c r="G65" i="14"/>
  <c r="G31" i="14"/>
  <c r="I31" i="15"/>
  <c r="I32" i="14"/>
  <c r="I66" i="14" l="1"/>
  <c r="C57" i="6" l="1"/>
  <c r="D57" i="6"/>
  <c r="E57" i="6" l="1"/>
  <c r="E59" i="6" l="1"/>
  <c r="E62" i="6" s="1"/>
  <c r="E64" i="6" s="1"/>
  <c r="E80" i="6"/>
  <c r="E84" i="6" s="1"/>
  <c r="E65" i="6" l="1"/>
  <c r="E67" i="6" l="1"/>
  <c r="E108" i="6"/>
  <c r="E109" i="6" l="1"/>
  <c r="E111" i="6" s="1"/>
  <c r="H111" i="6" s="1"/>
  <c r="E90" i="6"/>
  <c r="H90" i="6" s="1"/>
</calcChain>
</file>

<file path=xl/sharedStrings.xml><?xml version="1.0" encoding="utf-8"?>
<sst xmlns="http://schemas.openxmlformats.org/spreadsheetml/2006/main" count="674" uniqueCount="260">
  <si>
    <t>Difference between Historic &amp; Projected Yr Divisor</t>
  </si>
  <si>
    <t>Prior Year Projected Annual Cost ($ per kw per yr)</t>
  </si>
  <si>
    <t>Total Under/(Over) Recovery</t>
  </si>
  <si>
    <t>Interest For 24 Months</t>
  </si>
  <si>
    <t>Percent of Revenue Received at ROE</t>
  </si>
  <si>
    <t>Revenue</t>
  </si>
  <si>
    <t>In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</si>
  <si>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</si>
  <si>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</si>
  <si>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</si>
  <si>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</si>
  <si>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</si>
  <si>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</si>
  <si>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</si>
  <si>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</si>
  <si>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</si>
  <si>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</si>
  <si>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Effective</t>
  </si>
  <si>
    <t>Total</t>
  </si>
  <si>
    <t>To be completed after the Attachment GG using actual data is completed for the True-Up Year</t>
  </si>
  <si>
    <t xml:space="preserve">Company Name:  </t>
  </si>
  <si>
    <t xml:space="preserve">True-Up Year: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</si>
  <si>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</si>
  <si>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</si>
  <si>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</si>
  <si>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</si>
  <si>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</si>
  <si>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</si>
  <si>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</si>
  <si>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</si>
  <si>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</si>
  <si>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</si>
  <si>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</si>
  <si>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Actual</t>
  </si>
  <si>
    <t>Projected</t>
  </si>
  <si>
    <t>Attachment GG</t>
  </si>
  <si>
    <t>True-Up</t>
  </si>
  <si>
    <t>Applicable</t>
  </si>
  <si>
    <t>MTEP</t>
  </si>
  <si>
    <t>Annual</t>
  </si>
  <si>
    <t>Revenues</t>
  </si>
  <si>
    <t>Adjustment</t>
  </si>
  <si>
    <t>Interest</t>
  </si>
  <si>
    <t>Line</t>
  </si>
  <si>
    <t>Project</t>
  </si>
  <si>
    <t>Allocated</t>
  </si>
  <si>
    <t>Principal</t>
  </si>
  <si>
    <t>Rate on</t>
  </si>
  <si>
    <t>No.</t>
  </si>
  <si>
    <t>Name</t>
  </si>
  <si>
    <t>Number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</si>
  <si>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</si>
  <si>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</si>
  <si>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Under/(Over)</t>
  </si>
  <si>
    <t>[Col. (d), line 1</t>
  </si>
  <si>
    <t>x (Col. (e), line 2x /</t>
  </si>
  <si>
    <t>Col. (h) x Col. (i)</t>
  </si>
  <si>
    <r>
      <t>p 2 of 2, Col. 10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</si>
  <si>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</si>
  <si>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t>Col. (g) - Col. (f)</t>
  </si>
  <si>
    <t>Line 5</t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</si>
  <si>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</si>
  <si>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t>Col. (h) + Col. (j)</t>
  </si>
  <si>
    <r>
      <t xml:space="preserve">Actual Attachment GG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</si>
  <si>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2a</t>
  </si>
  <si>
    <t>2b</t>
  </si>
  <si>
    <t>2c</t>
  </si>
  <si>
    <t>2d</t>
  </si>
  <si>
    <t>Subtotal</t>
  </si>
  <si>
    <t>Under/(Over) Recovery</t>
  </si>
  <si>
    <t>Applicable Interest rate per month (expressed to four decimal places)</t>
  </si>
  <si>
    <t>1</t>
  </si>
  <si>
    <t>2</t>
  </si>
  <si>
    <t>Rounded to whole dollars.</t>
  </si>
  <si>
    <t>project 1</t>
  </si>
  <si>
    <t>project 2</t>
  </si>
  <si>
    <t>project 3</t>
  </si>
  <si>
    <t>project 4</t>
  </si>
  <si>
    <t>To be completed after the Attachment MM using actual data is completed for the True-Up Year</t>
  </si>
  <si>
    <t>Attachment MM</t>
  </si>
  <si>
    <r>
      <t>p 2 of 2, Col. 14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</si>
  <si>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Actual Attachment MM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</si>
  <si>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2e</t>
  </si>
  <si>
    <t>2f</t>
  </si>
  <si>
    <t>2g</t>
  </si>
  <si>
    <t>2h</t>
  </si>
  <si>
    <t>2i</t>
  </si>
  <si>
    <t>2j</t>
  </si>
  <si>
    <t>Amount excludes True-Up Adjustment, as reported in True-Up Year projected Attachment MM, page 2, column 15.</t>
  </si>
  <si>
    <t>Annual Rate</t>
  </si>
  <si>
    <t xml:space="preserve">2016 Weighted Actual Rev Req </t>
  </si>
  <si>
    <t>Attachment O 2016 True-up calculation  (Schedule 9)</t>
  </si>
  <si>
    <t>Attachment GG 2016 True-up ( Schedule 26)</t>
  </si>
  <si>
    <t>Attachment MM 2016 True-up  (Schedule 26-A)</t>
  </si>
  <si>
    <t>Under/(Over) Collection of 2016 Divisor True-up</t>
  </si>
  <si>
    <t>November</t>
  </si>
  <si>
    <t>September 1 - 27</t>
  </si>
  <si>
    <t>September 28 - 30</t>
  </si>
  <si>
    <t>Interest Rates</t>
  </si>
  <si>
    <t>Monthly Rate</t>
  </si>
  <si>
    <t>Int Rate on Over-Recovery (FERC)  (four decimal places)</t>
  </si>
  <si>
    <t>Int Rate on Under-Recovery (ST Debt) (four decimal places)</t>
  </si>
  <si>
    <t>Weighted Net Actual 2016 Rev Requirement</t>
  </si>
  <si>
    <t>Weighted Net Projected 2016 Rev Requirement</t>
  </si>
  <si>
    <t>Under/(Over) Collection of 2016 Weighted Net Rev Req</t>
  </si>
  <si>
    <t>Weighted Prior Yr projected Annual Cost ($ per kw per year)</t>
  </si>
  <si>
    <t>Total 2016 Attachment O True-up Under/(Over) Recovery</t>
  </si>
  <si>
    <t>Calculation of Weighted Rev Req for 2016 True-up</t>
  </si>
  <si>
    <t>Weighted Actual Attachment GG Rev Req for 2016 True-Up</t>
  </si>
  <si>
    <t>Under/(Over) Recovery of 2016 GG Rev Req</t>
  </si>
  <si>
    <t>Total 2016 Attachment GG True-up Under/(Over) Recovery</t>
  </si>
  <si>
    <t>Calculation of Weighted Rev Req for Revised 2016 True-up</t>
  </si>
  <si>
    <t>Weighted Actual Attachment MM Rev Req for 2016 True-Up</t>
  </si>
  <si>
    <t>Under/(Over) Recovery of 2016 MM Rev Req</t>
  </si>
  <si>
    <t>Total 2016 Attachment MM True-up Under/(Over) Recovery</t>
  </si>
  <si>
    <t>Calculation of 2016 Weighted Attachment O Rev Req</t>
  </si>
  <si>
    <t>2016 True-up Calculations</t>
  </si>
  <si>
    <t>Per FERC's 9/28/16 Order in EL14-12, the ROE was revised from 12.38% to 10.32% (plus adders as applicable)</t>
  </si>
  <si>
    <t>effective 9/28/16.  The table below calculates the percentage of the year 2016 applicable to each ROE.  These</t>
  </si>
  <si>
    <r>
      <t xml:space="preserve">2016 Attachment GG True-Up Adjustment - </t>
    </r>
    <r>
      <rPr>
        <b/>
        <sz val="14"/>
        <color rgb="FFFF0000"/>
        <rFont val="Calibri"/>
        <family val="2"/>
        <scheme val="minor"/>
      </rPr>
      <t>Weighted ROE</t>
    </r>
  </si>
  <si>
    <r>
      <t xml:space="preserve">2016 Attachment MM True-Up Adjustment - </t>
    </r>
    <r>
      <rPr>
        <b/>
        <sz val="14"/>
        <color rgb="FFFF0000"/>
        <rFont val="Calibri"/>
        <family val="2"/>
        <scheme val="minor"/>
      </rPr>
      <t>Weighted</t>
    </r>
  </si>
  <si>
    <t>NIPSCO</t>
  </si>
  <si>
    <t>check - should tie to 2016 GG TU weighted ROE</t>
  </si>
  <si>
    <t>check - should tie to 2016 MM TU weighted ROE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</si>
  <si>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Amount excludes True-Up Adjustment, as reported in True-Up Year projected Attachment MM, page 2, column 15.</t>
    </r>
  </si>
  <si>
    <t>Actual Attachment MM Rev Req for True-Up Year (Actual Attach GG, pg 2, col 14)</t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</si>
  <si>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GG by project True-up weighted for the two different ROEs in effect during 2016</t>
    </r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</si>
  <si>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MM by project True-up weighted for the two different ROEs in effect during 2016</t>
    </r>
  </si>
  <si>
    <t>ALLETE (MP)</t>
  </si>
  <si>
    <t>AMIL</t>
  </si>
  <si>
    <t>ATXI</t>
  </si>
  <si>
    <t>ATC</t>
  </si>
  <si>
    <t>ITC</t>
  </si>
  <si>
    <t>ITCM</t>
  </si>
  <si>
    <t>METC</t>
  </si>
  <si>
    <t>MEC</t>
  </si>
  <si>
    <t>MDU</t>
  </si>
  <si>
    <t>OTP</t>
  </si>
  <si>
    <t>SIGECO/Vectren</t>
  </si>
  <si>
    <t>GRE</t>
  </si>
  <si>
    <t>Marshall</t>
  </si>
  <si>
    <t>DPC</t>
  </si>
  <si>
    <t>RPU</t>
  </si>
  <si>
    <t>CMMPA</t>
  </si>
  <si>
    <t>PPI</t>
  </si>
  <si>
    <t>Wilmar</t>
  </si>
  <si>
    <t>MRES</t>
  </si>
  <si>
    <t>Original ROE</t>
  </si>
  <si>
    <t>New ROE</t>
  </si>
  <si>
    <t>Forward looking TOs impacted by September 28, 2016 change in ROE</t>
  </si>
  <si>
    <t>TO</t>
  </si>
  <si>
    <t>Note:  adder effective 2/1/16 - impact for second ROE docket , but not EL14-12</t>
  </si>
  <si>
    <t>2016 Attachment GG True-Up Adjustment</t>
  </si>
  <si>
    <t xml:space="preserve">2016 Attachment GG True-Up Adjustment 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</si>
  <si>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 Inputs are indicated by light yellow highlighted cells with blue bold font</t>
    </r>
  </si>
  <si>
    <t xml:space="preserve">2016 Attachment MM True-Up Adjustment </t>
  </si>
  <si>
    <t>2016 Rev Req at</t>
  </si>
  <si>
    <t xml:space="preserve">2016 Weighted </t>
  </si>
  <si>
    <t>Rev Req</t>
  </si>
  <si>
    <t>2016 Weighted Actual</t>
  </si>
  <si>
    <t>our standard abbreviations or check the last tab titled "List of ROE by TO"</t>
  </si>
  <si>
    <t>Adder effective 2/1/17 = 10.82%</t>
  </si>
  <si>
    <t>Company Name</t>
  </si>
  <si>
    <t>MP= line 7b         GRE = line 7a        MEC = 7b</t>
  </si>
  <si>
    <t>MDU = line 7a      OTP = line 7a</t>
  </si>
  <si>
    <t>Monthly Interest Rate (Over collection = FERC rate, Under collection = company rate)</t>
  </si>
  <si>
    <t>NSP</t>
  </si>
  <si>
    <t>Applicable Interest rate per month (expressed to four decimal places) (See Note 1)</t>
  </si>
  <si>
    <t>Note 1</t>
  </si>
  <si>
    <t>MP</t>
  </si>
  <si>
    <t>WMU</t>
  </si>
  <si>
    <t>Interest rate utilized by the TOs below is based on the aggregate Attachment MM Under/(Over) recovery reported on line 4</t>
  </si>
  <si>
    <t>Interest rate utilized by the TOs listed below is based on each individual project's Attachment MM Under/(Over) recovery reported on line 4</t>
  </si>
  <si>
    <t>Aggregate</t>
  </si>
  <si>
    <t>Individual</t>
  </si>
  <si>
    <t>MM Int Calc</t>
  </si>
  <si>
    <t>Per Attachment MM 4.C different TOs utilize different interest rates.  The formulas in column J have been developed to address this</t>
  </si>
  <si>
    <r>
      <t>Line 5 (</t>
    </r>
    <r>
      <rPr>
        <b/>
        <sz val="11"/>
        <color theme="1"/>
        <rFont val="Calibri"/>
        <family val="2"/>
        <scheme val="minor"/>
      </rPr>
      <t>Note 1</t>
    </r>
    <r>
      <rPr>
        <sz val="11"/>
        <color theme="1"/>
        <rFont val="Calibri"/>
        <family val="2"/>
        <scheme val="minor"/>
      </rPr>
      <t>)</t>
    </r>
  </si>
  <si>
    <t>project 5</t>
  </si>
  <si>
    <t>project 6</t>
  </si>
  <si>
    <t>project 7</t>
  </si>
  <si>
    <t>project 8</t>
  </si>
  <si>
    <t>Historic Year Actual Divisor for Transmission Owner (Attach O, Pg 1, Line 15)</t>
  </si>
  <si>
    <t>Proj'd Yr Divisor for Transmission Owner (Projected Attach O, Pg 1, Line 15)</t>
  </si>
  <si>
    <t>Actual Attachment GG Rev Req for True-Up Year (Actual Attach GG, pg 2, col 10) 1</t>
  </si>
  <si>
    <t>actual revenue collected</t>
  </si>
  <si>
    <t xml:space="preserve">Some TOs incl the True-up Adjustment - that is ok, but assure you are consistent for actual rev req, projected rev req and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</si>
  <si>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Amount excludes True-Up Adjustment, as reported in True-Up Year projected Attachment GG, page 2, column 11. </t>
    </r>
  </si>
  <si>
    <t>Some TOs incl the True-up Adjustment - that is ok, but assure you are consistent for actual rev req, projected rev req and actual revenue collected</t>
  </si>
  <si>
    <r>
      <t>Revenues</t>
    </r>
    <r>
      <rPr>
        <vertAlign val="superscript"/>
        <sz val="11"/>
        <rFont val="Calibri"/>
        <family val="2"/>
        <scheme val="minor"/>
      </rPr>
      <t xml:space="preserve"> 1</t>
    </r>
  </si>
  <si>
    <r>
      <t>Revenues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</si>
  <si>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Revenues</t>
    </r>
    <r>
      <rPr>
        <vertAlign val="superscript"/>
        <sz val="11"/>
        <rFont val="Calibri"/>
        <family val="2"/>
        <scheme val="minor"/>
      </rPr>
      <t>1</t>
    </r>
  </si>
  <si>
    <r>
      <t xml:space="preserve">Revenues 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</si>
  <si>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average interest rates to be applied to the true-up calculations</t>
    </r>
  </si>
  <si>
    <t xml:space="preserve"> - Interest on over recovery will be based on FERC's regulation 18 C.F.R 35.19a</t>
  </si>
  <si>
    <t>-  The interest rate to be applied to the over or under recovery amounts will be determined</t>
  </si>
  <si>
    <t>Short-Term</t>
  </si>
  <si>
    <t>Annualized</t>
  </si>
  <si>
    <t>FERC Rate</t>
  </si>
  <si>
    <t>using the average rate for the nineteen (19) months preceding August of the current year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</si>
  <si>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Short Term debt costs/rates are capped at the applicble FERC refund interest rate</t>
    </r>
  </si>
  <si>
    <r>
      <t xml:space="preserve">Debt Rate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</si>
  <si>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Amount excludes True-Up Adjustment, as reported in True-Up Year projected Attachment GG, page 2, column 11.  </t>
    </r>
    <r>
      <rPr>
        <sz val="11"/>
        <rFont val="Calibri"/>
        <family val="2"/>
        <scheme val="minor"/>
      </rPr>
      <t xml:space="preserve"> Be consistent</t>
    </r>
  </si>
  <si>
    <t>Per Section VII.2 of the Annual True-up, Information Exchange and Challenge Procedures</t>
  </si>
  <si>
    <t>ST Debt Rate</t>
  </si>
  <si>
    <t>at the applicable FERC refund interest rate</t>
  </si>
  <si>
    <t>If you have no Attachment MM projects, you do not need to fill out this tab</t>
  </si>
  <si>
    <t>If you have no Attachment GG projects, you do not need to fill out this tab</t>
  </si>
  <si>
    <t>-  Interest on under recovery will be based on the actual short-term debt costs capped</t>
  </si>
  <si>
    <r>
      <rPr>
        <b/>
        <sz val="11"/>
        <rFont val="Calibri"/>
        <family val="2"/>
        <scheme val="minor"/>
      </rPr>
      <t>Instructions: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 Do not make any changes to this tab  </t>
    </r>
  </si>
  <si>
    <t>This tab provides information to to allow the worksheet to calculate correctly</t>
  </si>
  <si>
    <t>If you note something that appears incorrect, please contact MISO Tariff Pricing</t>
  </si>
  <si>
    <t>If you have no Attachment GG projects you do not need to complete this section</t>
  </si>
  <si>
    <t>If you have no Attachment MM projects you do not need to complete this section</t>
  </si>
  <si>
    <t>Use 2016 revenue - take into consideration 2016</t>
  </si>
  <si>
    <t>impacts of recent ROE refunds processed in 2017</t>
  </si>
  <si>
    <t>that are 2016 related</t>
  </si>
  <si>
    <t>Review FERC rates and notify MISO if any rate appears incorrect</t>
  </si>
  <si>
    <t>Percent of Projected Revenue at ROE</t>
  </si>
  <si>
    <t>Percent of Actual Revenue Requirement at ROE</t>
  </si>
  <si>
    <t>Assure info used includes revised 2014 TU info, if applicable</t>
  </si>
  <si>
    <t>Use 2016 updated projections (incl revised 2014 TU if applicable)</t>
  </si>
  <si>
    <t>Schedule 9</t>
  </si>
  <si>
    <t>Schedule 26-A</t>
  </si>
  <si>
    <t>Percentage</t>
  </si>
  <si>
    <t>percentages are used to prorate the 2016 revenue requirement.  TOs may choose to use days of the month, load, or revenue.</t>
  </si>
  <si>
    <t>2016 ROE Weightings - Schedule 9, 26 &amp; 26A</t>
  </si>
  <si>
    <t>Weighting</t>
  </si>
  <si>
    <t>ROE</t>
  </si>
  <si>
    <t>Percent</t>
  </si>
  <si>
    <t>Schedule 26/37/38</t>
  </si>
  <si>
    <t>Bemidji CapX 2020 Project</t>
  </si>
  <si>
    <t>Fargo CapX 2020 Project</t>
  </si>
  <si>
    <t>Rugby Project - G380</t>
  </si>
  <si>
    <t>Cass Lake - Nary - Helga - Bemidji Project</t>
  </si>
  <si>
    <t xml:space="preserve">Casselton-Buffalo 115kv </t>
  </si>
  <si>
    <t>G645 Spiritwood</t>
  </si>
  <si>
    <t>Courtney Wind</t>
  </si>
  <si>
    <t>Brookings CAPX</t>
  </si>
  <si>
    <t>BSAT - BSS - Ellendale</t>
  </si>
  <si>
    <t>BSAT - BSS - Brookings</t>
  </si>
  <si>
    <t>Feb</t>
  </si>
  <si>
    <t>Jan</t>
  </si>
  <si>
    <t>Dec 2016</t>
  </si>
  <si>
    <t>Nov</t>
  </si>
  <si>
    <t>Oct</t>
  </si>
  <si>
    <t>Sept</t>
  </si>
  <si>
    <t>Aug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</si>
  <si>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Inputs are indicated by light yellow highlighted cells with blue bold font.  For "Company Name" be sure to use</t>
    </r>
  </si>
  <si>
    <r>
      <rPr>
        <b/>
        <sz val="11"/>
        <color theme="1"/>
        <rFont val="Calibri"/>
        <family val="2"/>
        <scheme val="minor"/>
      </rPr>
      <t>Purpose:</t>
    </r>
    <r>
      <rPr>
        <sz val="11"/>
        <color theme="1"/>
        <rFont val="Calibri"/>
        <family val="2"/>
        <scheme val="minor"/>
      </rPr>
      <t xml:space="preserve">  To calculate the 2016 Attachment O, GG, and MM True-up weighted for the two different ROEs in effect during 2016</t>
    </r>
  </si>
  <si>
    <r>
      <t xml:space="preserve">Total </t>
    </r>
    <r>
      <rPr>
        <sz val="11"/>
        <color rgb="FFFF0000"/>
        <rFont val="Calibri"/>
        <family val="2"/>
        <scheme val="minor"/>
      </rPr>
      <t>Load</t>
    </r>
  </si>
  <si>
    <r>
      <t>Days</t>
    </r>
    <r>
      <rPr>
        <sz val="11"/>
        <color rgb="FFFF0000"/>
        <rFont val="Calibri"/>
        <family val="2"/>
        <scheme val="minor"/>
      </rPr>
      <t>/load/revenue</t>
    </r>
    <r>
      <rPr>
        <sz val="11"/>
        <color theme="1"/>
        <rFont val="Calibri"/>
        <family val="2"/>
        <scheme val="minor"/>
      </rPr>
      <t xml:space="preserve"> in Month</t>
    </r>
  </si>
  <si>
    <r>
      <t>Net</t>
    </r>
    <r>
      <rPr>
        <i/>
        <sz val="11"/>
        <color theme="1"/>
        <rFont val="Calibri"/>
        <family val="2"/>
        <scheme val="minor"/>
      </rPr>
      <t xml:space="preserve"> Actual 2016 </t>
    </r>
    <r>
      <rPr>
        <sz val="11"/>
        <color theme="1"/>
        <rFont val="Calibri"/>
        <family val="2"/>
        <scheme val="minor"/>
      </rPr>
      <t>Rev Req (Actual Attach O, Pg 1, Line 7)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</si>
  <si>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Net </t>
    </r>
    <r>
      <rPr>
        <i/>
        <sz val="11"/>
        <color theme="1"/>
        <rFont val="Calibri"/>
        <family val="2"/>
        <scheme val="minor"/>
      </rPr>
      <t>Projected</t>
    </r>
    <r>
      <rPr>
        <sz val="11"/>
        <color theme="1"/>
        <rFont val="Calibri"/>
        <family val="2"/>
        <scheme val="minor"/>
      </rPr>
      <t xml:space="preserve"> 2016 Rev Req (Projected Attach O, Pg 1, Line 7)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</si>
  <si>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Attachment O line reference differs for the following TOs:</t>
    </r>
  </si>
  <si>
    <r>
      <t>Actual Attachment GG Revenues Received for 2016</t>
    </r>
    <r>
      <rPr>
        <vertAlign val="superscript"/>
        <sz val="11"/>
        <color theme="1"/>
        <rFont val="Calibri"/>
        <family val="2"/>
        <scheme val="minor"/>
      </rPr>
      <t>1</t>
    </r>
  </si>
  <si>
    <r>
      <t>Actual Attachment MM Revenues for 2016</t>
    </r>
    <r>
      <rPr>
        <vertAlign val="superscript"/>
        <sz val="11"/>
        <color theme="1"/>
        <rFont val="Calibri"/>
        <family val="2"/>
        <scheme val="minor"/>
      </rPr>
      <t>1</t>
    </r>
  </si>
  <si>
    <t>Jan 2016</t>
  </si>
  <si>
    <t>July 2017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</si>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</sst>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0.000%"/>
    <numFmt numFmtId="169" formatCode="&quot;$&quot;#,##0.0000"/>
    <numFmt numFmtId="170" formatCode="#,##0.00%_);[Red]\(#,##0.00%\);&quot; &quot;"/>
    <numFmt numFmtId="171" formatCode="&quot;$&quot;#,##0.00"/>
    <numFmt numFmtId="172" formatCode="0.00000%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 MT"/>
    </font>
    <font>
      <i/>
      <sz val="11"/>
      <color theme="1"/>
      <name val="Calibri"/>
      <family val="2"/>
      <scheme val="minor"/>
    </font>
    <font>
      <b/>
      <sz val="14"/>
      <color rgb="FF0000FF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2"/>
      <color rgb="FF00B05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22" applyNumberFormat="0" applyAlignment="0" applyProtection="0"/>
    <xf numFmtId="0" fontId="29" fillId="15" borderId="23" applyNumberFormat="0" applyAlignment="0" applyProtection="0"/>
    <xf numFmtId="0" fontId="30" fillId="15" borderId="22" applyNumberFormat="0" applyAlignment="0" applyProtection="0"/>
    <xf numFmtId="0" fontId="31" fillId="0" borderId="24" applyNumberFormat="0" applyFill="0" applyAlignment="0" applyProtection="0"/>
    <xf numFmtId="0" fontId="32" fillId="16" borderId="25" applyNumberFormat="0" applyAlignment="0" applyProtection="0"/>
    <xf numFmtId="0" fontId="33" fillId="0" borderId="0" applyNumberFormat="0" applyFill="0" applyBorder="0" applyAlignment="0" applyProtection="0"/>
    <xf numFmtId="0" fontId="1" fillId="17" borderId="26" applyNumberFormat="0" applyFont="0" applyAlignment="0" applyProtection="0"/>
    <xf numFmtId="0" fontId="34" fillId="0" borderId="0" applyNumberFormat="0" applyFill="0" applyBorder="0" applyAlignment="0" applyProtection="0"/>
    <xf numFmtId="0" fontId="4" fillId="0" borderId="27" applyNumberFormat="0" applyFill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Alignment="0" applyProtection="0"/>
    <xf numFmtId="171" fontId="38" fillId="0" borderId="0" applyProtection="0"/>
  </cellStyleXfs>
  <cellXfs count="394">
    <xf numFmtId="0" fontId="0" fillId="0" borderId="0" xfId="0"/>
    <xf numFmtId="0" fontId="1" fillId="0" borderId="0" xfId="5" applyBorder="1" applyAlignment="1">
      <alignment horizontal="center"/>
    </xf>
    <xf numFmtId="0" fontId="2" fillId="0" borderId="0" xfId="0" applyFont="1" applyBorder="1" applyAlignment="1"/>
    <xf numFmtId="165" fontId="3" fillId="0" borderId="0" xfId="0" applyNumberFormat="1" applyFont="1" applyBorder="1" applyAlignment="1"/>
    <xf numFmtId="0" fontId="6" fillId="0" borderId="0" xfId="8" applyFont="1"/>
    <xf numFmtId="0" fontId="1" fillId="0" borderId="0" xfId="8" applyFont="1"/>
    <xf numFmtId="0" fontId="1" fillId="0" borderId="3" xfId="8" applyFont="1" applyBorder="1"/>
    <xf numFmtId="0" fontId="1" fillId="0" borderId="3" xfId="8" applyFont="1" applyBorder="1" applyAlignment="1">
      <alignment horizontal="center"/>
    </xf>
    <xf numFmtId="0" fontId="1" fillId="0" borderId="0" xfId="8" applyFont="1" applyBorder="1"/>
    <xf numFmtId="0" fontId="1" fillId="0" borderId="0" xfId="8" applyFont="1" applyBorder="1" applyAlignment="1">
      <alignment horizontal="center"/>
    </xf>
    <xf numFmtId="0" fontId="1" fillId="0" borderId="1" xfId="8" applyFont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1" xfId="8" applyFont="1" applyBorder="1"/>
    <xf numFmtId="0" fontId="1" fillId="6" borderId="1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/>
    </xf>
    <xf numFmtId="0" fontId="7" fillId="0" borderId="0" xfId="0" applyFont="1" applyFill="1" applyBorder="1" applyAlignment="1"/>
    <xf numFmtId="166" fontId="7" fillId="0" borderId="0" xfId="10" applyNumberFormat="1" applyFont="1" applyBorder="1"/>
    <xf numFmtId="166" fontId="1" fillId="0" borderId="0" xfId="8" applyNumberFormat="1" applyFont="1" applyBorder="1"/>
    <xf numFmtId="10" fontId="7" fillId="0" borderId="0" xfId="11" applyNumberFormat="1" applyFont="1" applyBorder="1"/>
    <xf numFmtId="166" fontId="7" fillId="0" borderId="0" xfId="10" applyNumberFormat="1" applyFont="1" applyFill="1" applyBorder="1"/>
    <xf numFmtId="0" fontId="1" fillId="0" borderId="0" xfId="8" applyFont="1" applyFill="1"/>
    <xf numFmtId="0" fontId="1" fillId="0" borderId="0" xfId="8" applyFont="1" applyFill="1" applyBorder="1"/>
    <xf numFmtId="10" fontId="1" fillId="0" borderId="0" xfId="8" applyNumberFormat="1" applyFont="1"/>
    <xf numFmtId="43" fontId="1" fillId="0" borderId="0" xfId="8" applyNumberFormat="1" applyFont="1"/>
    <xf numFmtId="167" fontId="7" fillId="0" borderId="0" xfId="9" applyNumberFormat="1" applyFont="1" applyFill="1" applyBorder="1"/>
    <xf numFmtId="0" fontId="1" fillId="0" borderId="0" xfId="5"/>
    <xf numFmtId="0" fontId="1" fillId="0" borderId="0" xfId="5" applyAlignment="1">
      <alignment horizontal="center"/>
    </xf>
    <xf numFmtId="0" fontId="1" fillId="0" borderId="3" xfId="5" applyBorder="1"/>
    <xf numFmtId="0" fontId="1" fillId="0" borderId="3" xfId="5" applyBorder="1" applyAlignment="1">
      <alignment horizontal="center"/>
    </xf>
    <xf numFmtId="0" fontId="1" fillId="0" borderId="0" xfId="5" applyBorder="1"/>
    <xf numFmtId="0" fontId="1" fillId="0" borderId="1" xfId="5" applyBorder="1" applyAlignment="1">
      <alignment horizontal="center"/>
    </xf>
    <xf numFmtId="0" fontId="1" fillId="0" borderId="0" xfId="5" applyFill="1" applyBorder="1" applyAlignment="1">
      <alignment horizontal="center"/>
    </xf>
    <xf numFmtId="0" fontId="1" fillId="0" borderId="1" xfId="5" applyBorder="1"/>
    <xf numFmtId="0" fontId="1" fillId="0" borderId="1" xfId="5" applyFill="1" applyBorder="1" applyAlignment="1">
      <alignment horizontal="center"/>
    </xf>
    <xf numFmtId="0" fontId="0" fillId="0" borderId="0" xfId="0" applyFill="1" applyBorder="1" applyAlignment="1"/>
    <xf numFmtId="166" fontId="0" fillId="0" borderId="0" xfId="10" applyNumberFormat="1" applyFont="1" applyBorder="1"/>
    <xf numFmtId="166" fontId="1" fillId="0" borderId="0" xfId="5" applyNumberFormat="1" applyBorder="1"/>
    <xf numFmtId="10" fontId="0" fillId="0" borderId="0" xfId="11" applyNumberFormat="1" applyFont="1" applyBorder="1"/>
    <xf numFmtId="167" fontId="0" fillId="0" borderId="0" xfId="9" applyNumberFormat="1" applyFont="1"/>
    <xf numFmtId="0" fontId="0" fillId="0" borderId="0" xfId="0" applyBorder="1"/>
    <xf numFmtId="0" fontId="0" fillId="0" borderId="0" xfId="0" applyFill="1" applyBorder="1"/>
    <xf numFmtId="0" fontId="2" fillId="0" borderId="9" xfId="0" applyFont="1" applyBorder="1" applyAlignment="1"/>
    <xf numFmtId="164" fontId="2" fillId="0" borderId="4" xfId="1" applyNumberFormat="1" applyFont="1" applyFill="1" applyBorder="1" applyAlignment="1"/>
    <xf numFmtId="0" fontId="1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11" applyNumberFormat="1" applyFont="1" applyBorder="1"/>
    <xf numFmtId="0" fontId="5" fillId="2" borderId="5" xfId="8" applyFont="1" applyFill="1" applyBorder="1"/>
    <xf numFmtId="0" fontId="6" fillId="2" borderId="6" xfId="8" applyFont="1" applyFill="1" applyBorder="1"/>
    <xf numFmtId="0" fontId="6" fillId="2" borderId="7" xfId="8" applyFont="1" applyFill="1" applyBorder="1"/>
    <xf numFmtId="0" fontId="1" fillId="2" borderId="8" xfId="8" applyFont="1" applyFill="1" applyBorder="1"/>
    <xf numFmtId="0" fontId="1" fillId="2" borderId="0" xfId="8" applyFont="1" applyFill="1" applyBorder="1"/>
    <xf numFmtId="0" fontId="1" fillId="2" borderId="9" xfId="8" applyFont="1" applyFill="1" applyBorder="1"/>
    <xf numFmtId="0" fontId="1" fillId="2" borderId="0" xfId="8" applyFont="1" applyFill="1" applyBorder="1" applyAlignment="1">
      <alignment horizontal="right"/>
    </xf>
    <xf numFmtId="0" fontId="1" fillId="0" borderId="8" xfId="8" applyFont="1" applyBorder="1"/>
    <xf numFmtId="0" fontId="1" fillId="0" borderId="9" xfId="8" applyFont="1" applyBorder="1"/>
    <xf numFmtId="0" fontId="1" fillId="0" borderId="8" xfId="8" applyFont="1" applyBorder="1" applyAlignment="1">
      <alignment horizontal="center"/>
    </xf>
    <xf numFmtId="0" fontId="1" fillId="0" borderId="9" xfId="8" applyFont="1" applyBorder="1" applyAlignment="1">
      <alignment horizontal="center"/>
    </xf>
    <xf numFmtId="0" fontId="1" fillId="0" borderId="14" xfId="8" applyFont="1" applyBorder="1"/>
    <xf numFmtId="0" fontId="1" fillId="0" borderId="15" xfId="8" applyFont="1" applyBorder="1"/>
    <xf numFmtId="0" fontId="1" fillId="0" borderId="16" xfId="8" applyFont="1" applyBorder="1" applyAlignment="1">
      <alignment horizontal="center"/>
    </xf>
    <xf numFmtId="0" fontId="1" fillId="0" borderId="12" xfId="8" applyFont="1" applyFill="1" applyBorder="1" applyAlignment="1">
      <alignment horizontal="center"/>
    </xf>
    <xf numFmtId="0" fontId="1" fillId="0" borderId="16" xfId="8" applyFont="1" applyBorder="1"/>
    <xf numFmtId="0" fontId="1" fillId="0" borderId="8" xfId="8" applyFont="1" applyBorder="1" applyAlignment="1">
      <alignment horizontal="center" vertical="center"/>
    </xf>
    <xf numFmtId="166" fontId="1" fillId="0" borderId="9" xfId="8" applyNumberFormat="1" applyFont="1" applyBorder="1"/>
    <xf numFmtId="0" fontId="1" fillId="0" borderId="8" xfId="5" applyBorder="1" applyAlignment="1">
      <alignment horizontal="center"/>
    </xf>
    <xf numFmtId="0" fontId="1" fillId="0" borderId="12" xfId="8" applyFont="1" applyBorder="1"/>
    <xf numFmtId="167" fontId="7" fillId="0" borderId="0" xfId="9" applyNumberFormat="1" applyFont="1" applyBorder="1"/>
    <xf numFmtId="167" fontId="7" fillId="0" borderId="9" xfId="9" applyNumberFormat="1" applyFont="1" applyBorder="1"/>
    <xf numFmtId="0" fontId="8" fillId="0" borderId="8" xfId="8" quotePrefix="1" applyFont="1" applyBorder="1" applyAlignment="1">
      <alignment horizontal="center"/>
    </xf>
    <xf numFmtId="168" fontId="7" fillId="0" borderId="0" xfId="1" applyNumberFormat="1" applyFont="1" applyFill="1" applyBorder="1" applyAlignment="1"/>
    <xf numFmtId="0" fontId="8" fillId="0" borderId="10" xfId="8" quotePrefix="1" applyFont="1" applyBorder="1" applyAlignment="1">
      <alignment horizontal="center"/>
    </xf>
    <xf numFmtId="0" fontId="1" fillId="0" borderId="4" xfId="8" applyFont="1" applyBorder="1"/>
    <xf numFmtId="0" fontId="1" fillId="0" borderId="11" xfId="8" applyFont="1" applyBorder="1"/>
    <xf numFmtId="0" fontId="5" fillId="8" borderId="5" xfId="8" applyFont="1" applyFill="1" applyBorder="1"/>
    <xf numFmtId="0" fontId="6" fillId="8" borderId="6" xfId="8" applyFont="1" applyFill="1" applyBorder="1"/>
    <xf numFmtId="0" fontId="6" fillId="8" borderId="7" xfId="8" applyFont="1" applyFill="1" applyBorder="1"/>
    <xf numFmtId="0" fontId="1" fillId="8" borderId="8" xfId="8" applyFont="1" applyFill="1" applyBorder="1"/>
    <xf numFmtId="0" fontId="1" fillId="8" borderId="0" xfId="8" applyFont="1" applyFill="1" applyBorder="1"/>
    <xf numFmtId="0" fontId="1" fillId="8" borderId="9" xfId="8" applyFont="1" applyFill="1" applyBorder="1"/>
    <xf numFmtId="0" fontId="1" fillId="8" borderId="0" xfId="8" applyFont="1" applyFill="1" applyBorder="1" applyAlignment="1">
      <alignment horizontal="right"/>
    </xf>
    <xf numFmtId="0" fontId="7" fillId="8" borderId="0" xfId="8" applyFont="1" applyFill="1" applyBorder="1"/>
    <xf numFmtId="0" fontId="1" fillId="0" borderId="10" xfId="8" applyFont="1" applyBorder="1" applyAlignment="1">
      <alignment horizontal="center"/>
    </xf>
    <xf numFmtId="167" fontId="7" fillId="0" borderId="4" xfId="9" applyNumberFormat="1" applyFont="1" applyBorder="1"/>
    <xf numFmtId="167" fontId="7" fillId="0" borderId="11" xfId="9" applyNumberFormat="1" applyFont="1" applyBorder="1"/>
    <xf numFmtId="0" fontId="0" fillId="0" borderId="4" xfId="8" applyFont="1" applyBorder="1"/>
    <xf numFmtId="0" fontId="9" fillId="0" borderId="4" xfId="0" applyFont="1" applyFill="1" applyBorder="1" applyAlignment="1">
      <alignment horizontal="left"/>
    </xf>
    <xf numFmtId="0" fontId="5" fillId="3" borderId="5" xfId="8" applyFont="1" applyFill="1" applyBorder="1"/>
    <xf numFmtId="0" fontId="6" fillId="3" borderId="6" xfId="8" applyFont="1" applyFill="1" applyBorder="1"/>
    <xf numFmtId="0" fontId="6" fillId="3" borderId="7" xfId="8" applyFont="1" applyFill="1" applyBorder="1"/>
    <xf numFmtId="0" fontId="1" fillId="3" borderId="8" xfId="8" applyFont="1" applyFill="1" applyBorder="1"/>
    <xf numFmtId="0" fontId="1" fillId="3" borderId="0" xfId="8" applyFont="1" applyFill="1" applyBorder="1"/>
    <xf numFmtId="0" fontId="1" fillId="3" borderId="9" xfId="8" applyFont="1" applyFill="1" applyBorder="1"/>
    <xf numFmtId="0" fontId="1" fillId="3" borderId="0" xfId="8" applyFont="1" applyFill="1" applyBorder="1" applyAlignment="1">
      <alignment horizontal="right"/>
    </xf>
    <xf numFmtId="0" fontId="7" fillId="3" borderId="0" xfId="8" applyFont="1" applyFill="1" applyBorder="1"/>
    <xf numFmtId="0" fontId="10" fillId="2" borderId="5" xfId="5" applyFont="1" applyFill="1" applyBorder="1"/>
    <xf numFmtId="0" fontId="1" fillId="2" borderId="6" xfId="5" applyFill="1" applyBorder="1"/>
    <xf numFmtId="0" fontId="1" fillId="2" borderId="7" xfId="5" applyFill="1" applyBorder="1"/>
    <xf numFmtId="0" fontId="1" fillId="2" borderId="8" xfId="5" applyFill="1" applyBorder="1"/>
    <xf numFmtId="0" fontId="1" fillId="2" borderId="0" xfId="5" applyFill="1" applyBorder="1"/>
    <xf numFmtId="0" fontId="1" fillId="2" borderId="9" xfId="5" applyFill="1" applyBorder="1"/>
    <xf numFmtId="0" fontId="1" fillId="2" borderId="0" xfId="5" applyFill="1" applyBorder="1" applyAlignment="1">
      <alignment horizontal="right"/>
    </xf>
    <xf numFmtId="0" fontId="1" fillId="0" borderId="9" xfId="5" applyBorder="1" applyAlignment="1">
      <alignment horizontal="center"/>
    </xf>
    <xf numFmtId="0" fontId="1" fillId="0" borderId="14" xfId="5" applyBorder="1"/>
    <xf numFmtId="0" fontId="1" fillId="0" borderId="15" xfId="5" applyBorder="1"/>
    <xf numFmtId="0" fontId="1" fillId="0" borderId="8" xfId="5" applyBorder="1"/>
    <xf numFmtId="0" fontId="1" fillId="0" borderId="9" xfId="5" applyBorder="1"/>
    <xf numFmtId="0" fontId="1" fillId="0" borderId="16" xfId="5" applyBorder="1" applyAlignment="1">
      <alignment horizontal="center"/>
    </xf>
    <xf numFmtId="0" fontId="1" fillId="0" borderId="12" xfId="5" applyFill="1" applyBorder="1" applyAlignment="1">
      <alignment horizontal="center"/>
    </xf>
    <xf numFmtId="0" fontId="1" fillId="0" borderId="16" xfId="5" applyBorder="1"/>
    <xf numFmtId="0" fontId="1" fillId="0" borderId="8" xfId="5" applyBorder="1" applyAlignment="1">
      <alignment horizontal="center" vertical="center"/>
    </xf>
    <xf numFmtId="166" fontId="1" fillId="0" borderId="9" xfId="5" applyNumberFormat="1" applyBorder="1"/>
    <xf numFmtId="0" fontId="1" fillId="0" borderId="12" xfId="5" applyBorder="1"/>
    <xf numFmtId="167" fontId="0" fillId="0" borderId="0" xfId="9" applyNumberFormat="1" applyFont="1" applyBorder="1"/>
    <xf numFmtId="167" fontId="0" fillId="0" borderId="9" xfId="9" applyNumberFormat="1" applyFont="1" applyBorder="1"/>
    <xf numFmtId="0" fontId="8" fillId="0" borderId="8" xfId="5" quotePrefix="1" applyFont="1" applyBorder="1" applyAlignment="1">
      <alignment horizontal="center"/>
    </xf>
    <xf numFmtId="0" fontId="8" fillId="0" borderId="10" xfId="5" quotePrefix="1" applyFont="1" applyBorder="1" applyAlignment="1">
      <alignment horizontal="center"/>
    </xf>
    <xf numFmtId="0" fontId="1" fillId="0" borderId="4" xfId="5" applyBorder="1"/>
    <xf numFmtId="0" fontId="1" fillId="0" borderId="11" xfId="5" applyBorder="1"/>
    <xf numFmtId="0" fontId="10" fillId="8" borderId="5" xfId="5" applyFont="1" applyFill="1" applyBorder="1"/>
    <xf numFmtId="0" fontId="1" fillId="8" borderId="6" xfId="5" applyFill="1" applyBorder="1"/>
    <xf numFmtId="0" fontId="1" fillId="8" borderId="7" xfId="5" applyFill="1" applyBorder="1"/>
    <xf numFmtId="0" fontId="1" fillId="8" borderId="8" xfId="5" applyFill="1" applyBorder="1"/>
    <xf numFmtId="0" fontId="1" fillId="8" borderId="0" xfId="5" applyFill="1" applyBorder="1"/>
    <xf numFmtId="0" fontId="1" fillId="8" borderId="9" xfId="5" applyFill="1" applyBorder="1"/>
    <xf numFmtId="0" fontId="1" fillId="8" borderId="0" xfId="5" applyFill="1" applyBorder="1" applyAlignment="1">
      <alignment horizontal="right"/>
    </xf>
    <xf numFmtId="0" fontId="1" fillId="0" borderId="10" xfId="5" applyBorder="1" applyAlignment="1">
      <alignment horizontal="center"/>
    </xf>
    <xf numFmtId="167" fontId="0" fillId="0" borderId="4" xfId="9" applyNumberFormat="1" applyFont="1" applyBorder="1"/>
    <xf numFmtId="167" fontId="0" fillId="0" borderId="11" xfId="9" applyNumberFormat="1" applyFont="1" applyBorder="1"/>
    <xf numFmtId="0" fontId="10" fillId="3" borderId="5" xfId="5" applyFont="1" applyFill="1" applyBorder="1"/>
    <xf numFmtId="0" fontId="1" fillId="3" borderId="6" xfId="5" applyFill="1" applyBorder="1"/>
    <xf numFmtId="0" fontId="1" fillId="3" borderId="7" xfId="5" applyFill="1" applyBorder="1"/>
    <xf numFmtId="0" fontId="1" fillId="3" borderId="8" xfId="5" applyFill="1" applyBorder="1"/>
    <xf numFmtId="0" fontId="1" fillId="3" borderId="0" xfId="5" applyFill="1" applyBorder="1"/>
    <xf numFmtId="0" fontId="1" fillId="3" borderId="9" xfId="5" applyFill="1" applyBorder="1"/>
    <xf numFmtId="0" fontId="1" fillId="3" borderId="0" xfId="5" applyFill="1" applyBorder="1" applyAlignment="1">
      <alignment horizontal="right"/>
    </xf>
    <xf numFmtId="0" fontId="14" fillId="2" borderId="0" xfId="0" applyNumberFormat="1" applyFont="1" applyFill="1" applyBorder="1"/>
    <xf numFmtId="0" fontId="14" fillId="8" borderId="0" xfId="0" applyNumberFormat="1" applyFont="1" applyFill="1" applyBorder="1"/>
    <xf numFmtId="0" fontId="14" fillId="3" borderId="0" xfId="0" applyNumberFormat="1" applyFont="1" applyFill="1" applyBorder="1"/>
    <xf numFmtId="0" fontId="2" fillId="0" borderId="0" xfId="0" applyFont="1" applyFill="1" applyAlignment="1">
      <alignment horizontal="left"/>
    </xf>
    <xf numFmtId="1" fontId="13" fillId="7" borderId="0" xfId="0" applyNumberFormat="1" applyFont="1" applyFill="1" applyBorder="1" applyAlignment="1"/>
    <xf numFmtId="1" fontId="13" fillId="7" borderId="0" xfId="0" applyNumberFormat="1" applyFont="1" applyFill="1" applyBorder="1" applyAlignment="1">
      <alignment horizontal="right"/>
    </xf>
    <xf numFmtId="166" fontId="13" fillId="7" borderId="0" xfId="10" applyNumberFormat="1" applyFont="1" applyFill="1" applyBorder="1"/>
    <xf numFmtId="1" fontId="7" fillId="0" borderId="0" xfId="0" applyNumberFormat="1" applyFont="1" applyFill="1" applyBorder="1" applyAlignment="1"/>
    <xf numFmtId="1" fontId="7" fillId="0" borderId="0" xfId="0" applyNumberFormat="1" applyFont="1" applyFill="1" applyBorder="1" applyAlignment="1">
      <alignment horizontal="right"/>
    </xf>
    <xf numFmtId="167" fontId="5" fillId="0" borderId="9" xfId="9" applyNumberFormat="1" applyFont="1" applyBorder="1"/>
    <xf numFmtId="0" fontId="6" fillId="0" borderId="0" xfId="8" applyFont="1" applyFill="1" applyBorder="1"/>
    <xf numFmtId="10" fontId="1" fillId="0" borderId="0" xfId="8" applyNumberFormat="1" applyFont="1" applyFill="1" applyBorder="1"/>
    <xf numFmtId="43" fontId="1" fillId="0" borderId="0" xfId="8" applyNumberFormat="1" applyFont="1" applyFill="1" applyBorder="1"/>
    <xf numFmtId="0" fontId="4" fillId="0" borderId="0" xfId="0" applyFont="1"/>
    <xf numFmtId="10" fontId="0" fillId="0" borderId="0" xfId="1" applyNumberFormat="1" applyFont="1"/>
    <xf numFmtId="10" fontId="0" fillId="3" borderId="0" xfId="1" applyNumberFormat="1" applyFont="1" applyFill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0" fontId="11" fillId="2" borderId="6" xfId="1" applyNumberFormat="1" applyFont="1" applyFill="1" applyBorder="1" applyAlignment="1">
      <alignment horizontal="left"/>
    </xf>
    <xf numFmtId="10" fontId="11" fillId="8" borderId="6" xfId="1" applyNumberFormat="1" applyFont="1" applyFill="1" applyBorder="1" applyAlignment="1">
      <alignment horizontal="left"/>
    </xf>
    <xf numFmtId="0" fontId="0" fillId="2" borderId="0" xfId="0" applyFill="1"/>
    <xf numFmtId="0" fontId="0" fillId="0" borderId="4" xfId="5" applyFont="1" applyBorder="1"/>
    <xf numFmtId="0" fontId="0" fillId="0" borderId="0" xfId="5" applyFont="1"/>
    <xf numFmtId="0" fontId="4" fillId="0" borderId="0" xfId="5" applyFont="1"/>
    <xf numFmtId="0" fontId="0" fillId="0" borderId="0" xfId="5" applyFont="1" applyAlignment="1">
      <alignment horizontal="left" indent="1"/>
    </xf>
    <xf numFmtId="0" fontId="0" fillId="0" borderId="0" xfId="5" applyFont="1" applyAlignment="1">
      <alignment horizontal="left" indent="2"/>
    </xf>
    <xf numFmtId="0" fontId="0" fillId="0" borderId="8" xfId="5" applyFont="1" applyBorder="1" applyAlignment="1">
      <alignment horizontal="center"/>
    </xf>
    <xf numFmtId="0" fontId="0" fillId="0" borderId="1" xfId="5" applyFont="1" applyFill="1" applyBorder="1" applyAlignment="1">
      <alignment horizontal="center"/>
    </xf>
    <xf numFmtId="0" fontId="0" fillId="0" borderId="1" xfId="8" applyFont="1" applyBorder="1" applyAlignment="1">
      <alignment horizontal="center"/>
    </xf>
    <xf numFmtId="0" fontId="0" fillId="0" borderId="0" xfId="8" applyFont="1" applyFill="1" applyBorder="1"/>
    <xf numFmtId="0" fontId="0" fillId="0" borderId="1" xfId="5" applyFont="1" applyBorder="1" applyAlignment="1">
      <alignment horizontal="center"/>
    </xf>
    <xf numFmtId="0" fontId="0" fillId="0" borderId="0" xfId="8" applyFont="1" applyFill="1" applyBorder="1" applyAlignment="1">
      <alignment horizontal="left" indent="1"/>
    </xf>
    <xf numFmtId="0" fontId="0" fillId="0" borderId="0" xfId="0" applyFill="1"/>
    <xf numFmtId="0" fontId="4" fillId="0" borderId="1" xfId="0" applyFont="1" applyBorder="1" applyAlignment="1">
      <alignment horizontal="center"/>
    </xf>
    <xf numFmtId="0" fontId="0" fillId="0" borderId="0" xfId="0" quotePrefix="1" applyFont="1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17" fontId="0" fillId="0" borderId="0" xfId="0" applyNumberFormat="1"/>
    <xf numFmtId="10" fontId="13" fillId="7" borderId="0" xfId="1" applyNumberFormat="1" applyFont="1" applyFill="1"/>
    <xf numFmtId="10" fontId="13" fillId="0" borderId="0" xfId="1" applyNumberFormat="1" applyFont="1" applyFill="1"/>
    <xf numFmtId="10" fontId="0" fillId="0" borderId="0" xfId="0" applyNumberFormat="1"/>
    <xf numFmtId="0" fontId="4" fillId="0" borderId="0" xfId="0" applyFont="1" applyAlignment="1">
      <alignment horizontal="center"/>
    </xf>
    <xf numFmtId="10" fontId="0" fillId="0" borderId="0" xfId="0" applyNumberForma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 wrapText="1"/>
    </xf>
    <xf numFmtId="167" fontId="16" fillId="0" borderId="9" xfId="12" applyNumberFormat="1" applyFont="1" applyBorder="1"/>
    <xf numFmtId="0" fontId="4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left" indent="9"/>
    </xf>
    <xf numFmtId="164" fontId="0" fillId="0" borderId="0" xfId="0" applyNumberFormat="1"/>
    <xf numFmtId="164" fontId="0" fillId="0" borderId="17" xfId="1" applyNumberFormat="1" applyFont="1" applyBorder="1"/>
    <xf numFmtId="164" fontId="0" fillId="0" borderId="17" xfId="0" applyNumberFormat="1" applyBorder="1"/>
    <xf numFmtId="0" fontId="0" fillId="0" borderId="0" xfId="0" quotePrefix="1" applyFont="1" applyAlignment="1">
      <alignment horizontal="left" indent="2"/>
    </xf>
    <xf numFmtId="0" fontId="18" fillId="0" borderId="0" xfId="0" applyFont="1"/>
    <xf numFmtId="0" fontId="18" fillId="0" borderId="0" xfId="0" applyFont="1" applyAlignment="1">
      <alignment horizontal="left" indent="8"/>
    </xf>
    <xf numFmtId="0" fontId="18" fillId="0" borderId="0" xfId="0" applyFont="1" applyAlignment="1">
      <alignment horizontal="left" indent="2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 indent="9"/>
    </xf>
    <xf numFmtId="0" fontId="20" fillId="3" borderId="0" xfId="8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10" fontId="1" fillId="3" borderId="0" xfId="5" applyNumberFormat="1" applyFill="1" applyBorder="1" applyAlignment="1">
      <alignment horizontal="center"/>
    </xf>
    <xf numFmtId="10" fontId="1" fillId="3" borderId="0" xfId="8" applyNumberFormat="1" applyFont="1" applyFill="1" applyBorder="1" applyAlignment="1">
      <alignment horizontal="center"/>
    </xf>
    <xf numFmtId="170" fontId="36" fillId="0" borderId="0" xfId="0" applyNumberFormat="1" applyFont="1" applyAlignment="1">
      <alignment horizontal="right"/>
    </xf>
    <xf numFmtId="170" fontId="36" fillId="0" borderId="0" xfId="0" applyNumberFormat="1" applyFont="1" applyAlignment="1">
      <alignment horizontal="right"/>
    </xf>
    <xf numFmtId="170" fontId="36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/>
    </xf>
    <xf numFmtId="170" fontId="37" fillId="0" borderId="0" xfId="0" applyNumberFormat="1" applyFont="1" applyAlignment="1">
      <alignment horizontal="right"/>
    </xf>
    <xf numFmtId="43" fontId="0" fillId="0" borderId="0" xfId="6" applyFont="1"/>
    <xf numFmtId="17" fontId="0" fillId="0" borderId="0" xfId="6" quotePrefix="1" applyNumberFormat="1" applyFont="1"/>
    <xf numFmtId="43" fontId="0" fillId="0" borderId="0" xfId="6" quotePrefix="1" applyFont="1"/>
    <xf numFmtId="0" fontId="40" fillId="7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42" fillId="0" borderId="0" xfId="0" applyFont="1" applyAlignment="1"/>
    <xf numFmtId="0" fontId="43" fillId="0" borderId="0" xfId="0" applyFont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/>
    <xf numFmtId="0" fontId="43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Fill="1" applyAlignment="1">
      <alignment horizontal="left" indent="1"/>
    </xf>
    <xf numFmtId="0" fontId="43" fillId="0" borderId="5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8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2" fillId="0" borderId="8" xfId="0" applyFont="1" applyBorder="1" applyAlignment="1">
      <alignment horizontal="left" indent="1"/>
    </xf>
    <xf numFmtId="0" fontId="42" fillId="0" borderId="0" xfId="0" applyFont="1" applyBorder="1" applyAlignment="1"/>
    <xf numFmtId="164" fontId="42" fillId="0" borderId="0" xfId="1" applyNumberFormat="1" applyFont="1" applyFill="1" applyBorder="1" applyAlignment="1"/>
    <xf numFmtId="164" fontId="45" fillId="0" borderId="0" xfId="1" applyNumberFormat="1" applyFont="1" applyFill="1" applyBorder="1" applyAlignment="1"/>
    <xf numFmtId="164" fontId="46" fillId="0" borderId="9" xfId="1" quotePrefix="1" applyNumberFormat="1" applyFont="1" applyBorder="1" applyAlignment="1"/>
    <xf numFmtId="0" fontId="42" fillId="0" borderId="0" xfId="0" quotePrefix="1" applyFont="1" applyAlignment="1"/>
    <xf numFmtId="0" fontId="43" fillId="0" borderId="10" xfId="0" applyFont="1" applyBorder="1" applyAlignment="1">
      <alignment horizontal="center"/>
    </xf>
    <xf numFmtId="0" fontId="42" fillId="0" borderId="4" xfId="0" applyFont="1" applyBorder="1" applyAlignment="1"/>
    <xf numFmtId="164" fontId="42" fillId="0" borderId="4" xfId="1" applyNumberFormat="1" applyFont="1" applyFill="1" applyBorder="1" applyAlignment="1"/>
    <xf numFmtId="0" fontId="42" fillId="0" borderId="4" xfId="0" applyFont="1" applyFill="1" applyBorder="1" applyAlignment="1">
      <alignment horizontal="center"/>
    </xf>
    <xf numFmtId="164" fontId="46" fillId="0" borderId="11" xfId="1" applyNumberFormat="1" applyFont="1" applyBorder="1" applyAlignment="1"/>
    <xf numFmtId="0" fontId="42" fillId="0" borderId="0" xfId="0" applyFont="1" applyFill="1" applyAlignment="1">
      <alignment horizontal="center"/>
    </xf>
    <xf numFmtId="164" fontId="46" fillId="0" borderId="0" xfId="1" applyNumberFormat="1" applyFont="1" applyBorder="1" applyAlignment="1"/>
    <xf numFmtId="0" fontId="47" fillId="0" borderId="5" xfId="0" applyFont="1" applyBorder="1" applyAlignment="1"/>
    <xf numFmtId="0" fontId="45" fillId="0" borderId="6" xfId="0" applyFont="1" applyBorder="1" applyAlignment="1"/>
    <xf numFmtId="0" fontId="48" fillId="0" borderId="6" xfId="0" applyFont="1" applyBorder="1"/>
    <xf numFmtId="0" fontId="42" fillId="0" borderId="6" xfId="0" applyFont="1" applyBorder="1" applyAlignment="1"/>
    <xf numFmtId="0" fontId="42" fillId="0" borderId="7" xfId="0" applyFont="1" applyBorder="1" applyAlignment="1"/>
    <xf numFmtId="0" fontId="49" fillId="0" borderId="8" xfId="0" applyFont="1" applyBorder="1" applyAlignment="1">
      <alignment horizontal="left" indent="1"/>
    </xf>
    <xf numFmtId="0" fontId="45" fillId="0" borderId="0" xfId="0" applyFont="1" applyBorder="1" applyAlignment="1"/>
    <xf numFmtId="0" fontId="48" fillId="0" borderId="0" xfId="0" applyFont="1" applyBorder="1"/>
    <xf numFmtId="0" fontId="42" fillId="0" borderId="9" xfId="0" applyFont="1" applyBorder="1" applyAlignment="1"/>
    <xf numFmtId="0" fontId="49" fillId="0" borderId="8" xfId="0" applyFont="1" applyBorder="1" applyAlignment="1"/>
    <xf numFmtId="0" fontId="42" fillId="0" borderId="0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2" fillId="0" borderId="8" xfId="0" applyFont="1" applyBorder="1" applyAlignment="1"/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left" indent="17"/>
    </xf>
    <xf numFmtId="166" fontId="54" fillId="7" borderId="0" xfId="6" applyNumberFormat="1" applyFont="1" applyFill="1" applyBorder="1"/>
    <xf numFmtId="166" fontId="48" fillId="0" borderId="0" xfId="6" applyNumberFormat="1" applyFont="1" applyFill="1" applyBorder="1"/>
    <xf numFmtId="10" fontId="48" fillId="0" borderId="0" xfId="1" applyNumberFormat="1" applyFont="1" applyBorder="1"/>
    <xf numFmtId="10" fontId="42" fillId="0" borderId="0" xfId="1" applyNumberFormat="1" applyFont="1" applyBorder="1" applyAlignment="1"/>
    <xf numFmtId="10" fontId="42" fillId="0" borderId="9" xfId="1" applyNumberFormat="1" applyFont="1" applyBorder="1" applyAlignment="1"/>
    <xf numFmtId="0" fontId="48" fillId="0" borderId="0" xfId="0" applyFont="1" applyBorder="1" applyAlignment="1">
      <alignment horizontal="left" indent="17"/>
    </xf>
    <xf numFmtId="9" fontId="42" fillId="0" borderId="0" xfId="1" applyFont="1" applyBorder="1" applyAlignment="1"/>
    <xf numFmtId="166" fontId="48" fillId="0" borderId="0" xfId="6" applyNumberFormat="1" applyFont="1" applyBorder="1"/>
    <xf numFmtId="10" fontId="48" fillId="10" borderId="0" xfId="1" applyNumberFormat="1" applyFont="1" applyFill="1" applyBorder="1"/>
    <xf numFmtId="10" fontId="42" fillId="10" borderId="0" xfId="1" applyNumberFormat="1" applyFont="1" applyFill="1" applyBorder="1" applyAlignment="1"/>
    <xf numFmtId="10" fontId="42" fillId="10" borderId="9" xfId="1" applyNumberFormat="1" applyFont="1" applyFill="1" applyBorder="1" applyAlignment="1"/>
    <xf numFmtId="166" fontId="42" fillId="0" borderId="0" xfId="6" applyNumberFormat="1" applyFont="1" applyFill="1" applyBorder="1"/>
    <xf numFmtId="166" fontId="54" fillId="7" borderId="0" xfId="6" applyNumberFormat="1" applyFont="1" applyFill="1" applyBorder="1" applyAlignment="1"/>
    <xf numFmtId="10" fontId="42" fillId="0" borderId="0" xfId="0" applyNumberFormat="1" applyFont="1" applyBorder="1" applyAlignment="1"/>
    <xf numFmtId="0" fontId="42" fillId="0" borderId="10" xfId="0" applyFont="1" applyBorder="1" applyAlignment="1"/>
    <xf numFmtId="0" fontId="48" fillId="0" borderId="4" xfId="0" applyFont="1" applyBorder="1"/>
    <xf numFmtId="166" fontId="48" fillId="0" borderId="4" xfId="6" applyNumberFormat="1" applyFont="1" applyBorder="1"/>
    <xf numFmtId="10" fontId="48" fillId="0" borderId="4" xfId="1" applyNumberFormat="1" applyFont="1" applyBorder="1"/>
    <xf numFmtId="166" fontId="42" fillId="0" borderId="4" xfId="0" applyNumberFormat="1" applyFont="1" applyBorder="1" applyAlignment="1"/>
    <xf numFmtId="10" fontId="42" fillId="0" borderId="4" xfId="1" applyNumberFormat="1" applyFont="1" applyBorder="1" applyAlignment="1"/>
    <xf numFmtId="10" fontId="42" fillId="0" borderId="4" xfId="0" applyNumberFormat="1" applyFont="1" applyBorder="1" applyAlignment="1"/>
    <xf numFmtId="10" fontId="42" fillId="0" borderId="11" xfId="1" applyNumberFormat="1" applyFont="1" applyBorder="1" applyAlignment="1"/>
    <xf numFmtId="0" fontId="47" fillId="5" borderId="5" xfId="0" applyFont="1" applyFill="1" applyBorder="1" applyAlignment="1"/>
    <xf numFmtId="0" fontId="45" fillId="5" borderId="6" xfId="0" applyFont="1" applyFill="1" applyBorder="1" applyAlignment="1"/>
    <xf numFmtId="0" fontId="42" fillId="5" borderId="6" xfId="0" applyFont="1" applyFill="1" applyBorder="1" applyAlignment="1"/>
    <xf numFmtId="0" fontId="42" fillId="5" borderId="7" xfId="0" applyFont="1" applyFill="1" applyBorder="1" applyAlignment="1"/>
    <xf numFmtId="0" fontId="42" fillId="0" borderId="0" xfId="0" applyFont="1" applyFill="1" applyBorder="1" applyAlignment="1"/>
    <xf numFmtId="0" fontId="45" fillId="0" borderId="0" xfId="0" applyFont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9" xfId="0" applyFont="1" applyBorder="1" applyAlignment="1">
      <alignment horizontal="center" wrapText="1"/>
    </xf>
    <xf numFmtId="0" fontId="46" fillId="0" borderId="0" xfId="0" applyFont="1" applyAlignment="1"/>
    <xf numFmtId="10" fontId="45" fillId="0" borderId="0" xfId="1" applyNumberFormat="1" applyFont="1" applyFill="1" applyBorder="1" applyAlignment="1">
      <alignment horizontal="center" wrapText="1"/>
    </xf>
    <xf numFmtId="0" fontId="45" fillId="0" borderId="8" xfId="0" applyFont="1" applyBorder="1" applyAlignment="1"/>
    <xf numFmtId="10" fontId="45" fillId="0" borderId="1" xfId="1" applyNumberFormat="1" applyFont="1" applyBorder="1" applyAlignment="1">
      <alignment horizontal="center" wrapText="1"/>
    </xf>
    <xf numFmtId="166" fontId="42" fillId="0" borderId="0" xfId="6" applyNumberFormat="1" applyFont="1" applyFill="1" applyBorder="1" applyAlignment="1"/>
    <xf numFmtId="0" fontId="42" fillId="0" borderId="0" xfId="0" applyFont="1" applyBorder="1" applyAlignment="1">
      <alignment horizontal="left" indent="1"/>
    </xf>
    <xf numFmtId="165" fontId="54" fillId="7" borderId="0" xfId="3" quotePrefix="1" applyNumberFormat="1" applyFont="1" applyFill="1" applyBorder="1" applyAlignment="1"/>
    <xf numFmtId="10" fontId="42" fillId="0" borderId="0" xfId="1" applyNumberFormat="1" applyFont="1" applyFill="1" applyBorder="1" applyAlignment="1"/>
    <xf numFmtId="166" fontId="55" fillId="0" borderId="0" xfId="0" applyNumberFormat="1" applyFont="1" applyFill="1" applyBorder="1" applyAlignment="1"/>
    <xf numFmtId="0" fontId="42" fillId="0" borderId="8" xfId="0" applyFont="1" applyBorder="1" applyAlignment="1">
      <alignment horizontal="left" indent="3"/>
    </xf>
    <xf numFmtId="0" fontId="45" fillId="0" borderId="0" xfId="0" applyFont="1" applyBorder="1" applyAlignment="1">
      <alignment horizontal="left" indent="1"/>
    </xf>
    <xf numFmtId="165" fontId="42" fillId="0" borderId="2" xfId="0" applyNumberFormat="1" applyFont="1" applyFill="1" applyBorder="1" applyAlignment="1"/>
    <xf numFmtId="165" fontId="42" fillId="0" borderId="13" xfId="0" applyNumberFormat="1" applyFont="1" applyFill="1" applyBorder="1" applyAlignment="1"/>
    <xf numFmtId="165" fontId="54" fillId="7" borderId="0" xfId="3" applyNumberFormat="1" applyFont="1" applyFill="1" applyBorder="1" applyAlignment="1"/>
    <xf numFmtId="165" fontId="42" fillId="0" borderId="0" xfId="0" applyNumberFormat="1" applyFont="1" applyFill="1" applyBorder="1" applyAlignment="1"/>
    <xf numFmtId="165" fontId="45" fillId="0" borderId="9" xfId="0" applyNumberFormat="1" applyFont="1" applyFill="1" applyBorder="1" applyAlignment="1"/>
    <xf numFmtId="3" fontId="56" fillId="0" borderId="0" xfId="54" applyNumberFormat="1" applyFont="1" applyFill="1" applyBorder="1" applyAlignment="1" applyProtection="1"/>
    <xf numFmtId="166" fontId="42" fillId="0" borderId="2" xfId="6" applyNumberFormat="1" applyFont="1" applyFill="1" applyBorder="1" applyAlignment="1"/>
    <xf numFmtId="165" fontId="42" fillId="0" borderId="0" xfId="0" applyNumberFormat="1" applyFont="1" applyAlignment="1"/>
    <xf numFmtId="0" fontId="57" fillId="0" borderId="8" xfId="4" applyFont="1" applyBorder="1"/>
    <xf numFmtId="0" fontId="57" fillId="0" borderId="0" xfId="4" applyFont="1" applyBorder="1"/>
    <xf numFmtId="166" fontId="46" fillId="0" borderId="0" xfId="6" applyNumberFormat="1" applyFont="1" applyFill="1" applyBorder="1" applyAlignment="1"/>
    <xf numFmtId="166" fontId="54" fillId="7" borderId="9" xfId="6" applyNumberFormat="1" applyFont="1" applyFill="1" applyBorder="1" applyAlignment="1"/>
    <xf numFmtId="166" fontId="54" fillId="7" borderId="12" xfId="6" applyNumberFormat="1" applyFont="1" applyFill="1" applyBorder="1" applyAlignment="1"/>
    <xf numFmtId="166" fontId="42" fillId="0" borderId="9" xfId="6" applyNumberFormat="1" applyFont="1" applyFill="1" applyBorder="1" applyAlignment="1"/>
    <xf numFmtId="169" fontId="42" fillId="0" borderId="0" xfId="0" applyNumberFormat="1" applyFont="1" applyFill="1" applyBorder="1" applyAlignment="1"/>
    <xf numFmtId="10" fontId="57" fillId="0" borderId="0" xfId="4" applyNumberFormat="1" applyFont="1" applyBorder="1"/>
    <xf numFmtId="169" fontId="42" fillId="0" borderId="9" xfId="0" applyNumberFormat="1" applyFont="1" applyFill="1" applyBorder="1" applyAlignment="1"/>
    <xf numFmtId="169" fontId="45" fillId="0" borderId="9" xfId="0" applyNumberFormat="1" applyFont="1" applyFill="1" applyBorder="1" applyAlignment="1"/>
    <xf numFmtId="0" fontId="58" fillId="0" borderId="8" xfId="4" applyFont="1" applyBorder="1"/>
    <xf numFmtId="0" fontId="58" fillId="0" borderId="0" xfId="4" applyFont="1" applyBorder="1"/>
    <xf numFmtId="5" fontId="42" fillId="0" borderId="2" xfId="12" applyNumberFormat="1" applyFont="1" applyFill="1" applyBorder="1" applyAlignment="1"/>
    <xf numFmtId="164" fontId="42" fillId="0" borderId="9" xfId="1" applyNumberFormat="1" applyFont="1" applyFill="1" applyBorder="1" applyAlignment="1"/>
    <xf numFmtId="5" fontId="45" fillId="0" borderId="9" xfId="0" applyNumberFormat="1" applyFont="1" applyFill="1" applyBorder="1" applyAlignment="1"/>
    <xf numFmtId="5" fontId="47" fillId="0" borderId="9" xfId="0" applyNumberFormat="1" applyFont="1" applyFill="1" applyBorder="1" applyAlignment="1"/>
    <xf numFmtId="165" fontId="42" fillId="0" borderId="4" xfId="0" applyNumberFormat="1" applyFont="1" applyFill="1" applyBorder="1" applyAlignment="1"/>
    <xf numFmtId="165" fontId="45" fillId="0" borderId="11" xfId="0" applyNumberFormat="1" applyFont="1" applyFill="1" applyBorder="1" applyAlignment="1"/>
    <xf numFmtId="165" fontId="45" fillId="0" borderId="0" xfId="0" applyNumberFormat="1" applyFont="1" applyFill="1" applyBorder="1" applyAlignment="1"/>
    <xf numFmtId="0" fontId="43" fillId="3" borderId="5" xfId="0" applyFont="1" applyFill="1" applyBorder="1" applyAlignment="1"/>
    <xf numFmtId="0" fontId="45" fillId="3" borderId="6" xfId="0" applyFont="1" applyFill="1" applyBorder="1" applyAlignment="1"/>
    <xf numFmtId="0" fontId="42" fillId="3" borderId="6" xfId="0" applyFont="1" applyFill="1" applyBorder="1" applyAlignment="1"/>
    <xf numFmtId="0" fontId="42" fillId="3" borderId="7" xfId="0" applyFont="1" applyFill="1" applyBorder="1" applyAlignment="1"/>
    <xf numFmtId="10" fontId="45" fillId="0" borderId="0" xfId="1" applyNumberFormat="1" applyFont="1" applyBorder="1" applyAlignment="1">
      <alignment horizontal="center" wrapText="1"/>
    </xf>
    <xf numFmtId="0" fontId="42" fillId="0" borderId="8" xfId="0" applyFont="1" applyBorder="1" applyAlignment="1">
      <alignment horizontal="left" indent="2"/>
    </xf>
    <xf numFmtId="165" fontId="42" fillId="0" borderId="9" xfId="0" applyNumberFormat="1" applyFont="1" applyFill="1" applyBorder="1" applyAlignment="1"/>
    <xf numFmtId="43" fontId="42" fillId="0" borderId="0" xfId="0" applyNumberFormat="1" applyFont="1" applyFill="1" applyBorder="1" applyAlignment="1"/>
    <xf numFmtId="165" fontId="59" fillId="0" borderId="0" xfId="3" applyNumberFormat="1" applyFont="1" applyFill="1" applyBorder="1" applyAlignment="1"/>
    <xf numFmtId="5" fontId="54" fillId="7" borderId="9" xfId="6" applyNumberFormat="1" applyFont="1" applyFill="1" applyBorder="1" applyAlignment="1"/>
    <xf numFmtId="165" fontId="45" fillId="0" borderId="0" xfId="0" applyNumberFormat="1" applyFont="1" applyBorder="1" applyAlignment="1"/>
    <xf numFmtId="5" fontId="42" fillId="0" borderId="9" xfId="0" applyNumberFormat="1" applyFont="1" applyBorder="1" applyAlignment="1"/>
    <xf numFmtId="5" fontId="47" fillId="0" borderId="9" xfId="0" applyNumberFormat="1" applyFont="1" applyBorder="1" applyAlignment="1"/>
    <xf numFmtId="166" fontId="42" fillId="0" borderId="0" xfId="6" applyNumberFormat="1" applyFont="1" applyAlignment="1"/>
    <xf numFmtId="5" fontId="42" fillId="0" borderId="0" xfId="0" applyNumberFormat="1" applyFont="1" applyAlignment="1"/>
    <xf numFmtId="0" fontId="48" fillId="0" borderId="8" xfId="8" applyFont="1" applyFill="1" applyBorder="1"/>
    <xf numFmtId="0" fontId="48" fillId="0" borderId="8" xfId="8" applyFont="1" applyFill="1" applyBorder="1" applyAlignment="1">
      <alignment horizontal="left" indent="1"/>
    </xf>
    <xf numFmtId="0" fontId="48" fillId="0" borderId="10" xfId="8" applyFont="1" applyFill="1" applyBorder="1" applyAlignment="1">
      <alignment horizontal="left" indent="1"/>
    </xf>
    <xf numFmtId="165" fontId="45" fillId="0" borderId="4" xfId="0" applyNumberFormat="1" applyFont="1" applyBorder="1" applyAlignment="1"/>
    <xf numFmtId="5" fontId="42" fillId="0" borderId="11" xfId="0" applyNumberFormat="1" applyFont="1" applyBorder="1" applyAlignment="1"/>
    <xf numFmtId="5" fontId="42" fillId="0" borderId="0" xfId="0" applyNumberFormat="1" applyFont="1" applyBorder="1" applyAlignment="1"/>
    <xf numFmtId="0" fontId="48" fillId="0" borderId="0" xfId="5" applyFont="1" applyBorder="1" applyAlignment="1">
      <alignment horizontal="center"/>
    </xf>
    <xf numFmtId="0" fontId="43" fillId="4" borderId="5" xfId="0" applyFont="1" applyFill="1" applyBorder="1" applyAlignment="1"/>
    <xf numFmtId="0" fontId="45" fillId="4" borderId="6" xfId="0" applyFont="1" applyFill="1" applyBorder="1" applyAlignment="1"/>
    <xf numFmtId="0" fontId="42" fillId="4" borderId="6" xfId="0" applyFont="1" applyFill="1" applyBorder="1" applyAlignment="1"/>
    <xf numFmtId="0" fontId="48" fillId="4" borderId="7" xfId="5" applyFont="1" applyFill="1" applyBorder="1" applyAlignment="1">
      <alignment horizontal="center"/>
    </xf>
    <xf numFmtId="165" fontId="42" fillId="0" borderId="0" xfId="3" applyNumberFormat="1" applyFont="1" applyFill="1" applyBorder="1" applyAlignment="1"/>
    <xf numFmtId="5" fontId="54" fillId="7" borderId="9" xfId="0" applyNumberFormat="1" applyFont="1" applyFill="1" applyBorder="1" applyAlignment="1"/>
    <xf numFmtId="164" fontId="42" fillId="0" borderId="9" xfId="1" applyNumberFormat="1" applyFont="1" applyBorder="1" applyAlignment="1">
      <alignment horizontal="center"/>
    </xf>
    <xf numFmtId="167" fontId="42" fillId="0" borderId="9" xfId="12" applyNumberFormat="1" applyFont="1" applyBorder="1" applyAlignment="1"/>
    <xf numFmtId="167" fontId="47" fillId="0" borderId="9" xfId="12" applyNumberFormat="1" applyFont="1" applyBorder="1" applyAlignment="1"/>
    <xf numFmtId="5" fontId="42" fillId="0" borderId="0" xfId="6" applyNumberFormat="1" applyFont="1" applyAlignment="1"/>
    <xf numFmtId="0" fontId="48" fillId="0" borderId="8" xfId="5" applyFont="1" applyBorder="1"/>
    <xf numFmtId="0" fontId="42" fillId="0" borderId="11" xfId="0" applyFont="1" applyBorder="1" applyAlignment="1"/>
    <xf numFmtId="0" fontId="45" fillId="0" borderId="0" xfId="0" applyFont="1" applyFill="1" applyBorder="1" applyAlignment="1"/>
    <xf numFmtId="0" fontId="45" fillId="0" borderId="0" xfId="0" applyFont="1" applyFill="1" applyAlignment="1">
      <alignment horizontal="center"/>
    </xf>
    <xf numFmtId="17" fontId="0" fillId="0" borderId="0" xfId="0" quotePrefix="1" applyNumberFormat="1"/>
    <xf numFmtId="172" fontId="0" fillId="0" borderId="0" xfId="0" applyNumberFormat="1"/>
    <xf numFmtId="169" fontId="45" fillId="0" borderId="0" xfId="0" applyNumberFormat="1" applyFont="1" applyFill="1" applyBorder="1" applyAlignment="1"/>
    <xf numFmtId="166" fontId="42" fillId="0" borderId="0" xfId="0" applyNumberFormat="1" applyFont="1" applyBorder="1" applyAlignment="1"/>
    <xf numFmtId="5" fontId="42" fillId="0" borderId="0" xfId="6" applyNumberFormat="1" applyFont="1" applyFill="1" applyBorder="1" applyAlignment="1"/>
    <xf numFmtId="166" fontId="42" fillId="0" borderId="0" xfId="12" applyNumberFormat="1" applyFont="1" applyFill="1" applyBorder="1" applyAlignment="1"/>
    <xf numFmtId="166" fontId="42" fillId="0" borderId="0" xfId="6" applyNumberFormat="1" applyFont="1" applyBorder="1" applyAlignment="1"/>
    <xf numFmtId="167" fontId="47" fillId="0" borderId="0" xfId="12" applyNumberFormat="1" applyFont="1" applyFill="1" applyBorder="1" applyAlignment="1"/>
    <xf numFmtId="167" fontId="60" fillId="0" borderId="0" xfId="0" applyNumberFormat="1" applyFont="1" applyBorder="1" applyAlignment="1"/>
    <xf numFmtId="166" fontId="54" fillId="0" borderId="0" xfId="6" applyNumberFormat="1" applyFont="1" applyFill="1" applyBorder="1" applyAlignment="1"/>
    <xf numFmtId="0" fontId="42" fillId="0" borderId="28" xfId="0" applyFont="1" applyBorder="1" applyAlignment="1">
      <alignment horizontal="center"/>
    </xf>
    <xf numFmtId="166" fontId="52" fillId="0" borderId="0" xfId="6" applyNumberFormat="1" applyFont="1" applyFill="1" applyBorder="1" applyAlignment="1"/>
    <xf numFmtId="166" fontId="42" fillId="6" borderId="13" xfId="6" applyNumberFormat="1" applyFont="1" applyFill="1" applyBorder="1" applyAlignment="1"/>
    <xf numFmtId="5" fontId="42" fillId="6" borderId="13" xfId="6" applyNumberFormat="1" applyFont="1" applyFill="1" applyBorder="1" applyAlignment="1"/>
    <xf numFmtId="5" fontId="42" fillId="6" borderId="12" xfId="0" applyNumberFormat="1" applyFont="1" applyFill="1" applyBorder="1" applyAlignment="1"/>
    <xf numFmtId="167" fontId="47" fillId="42" borderId="9" xfId="12" applyNumberFormat="1" applyFont="1" applyFill="1" applyBorder="1" applyAlignment="1"/>
    <xf numFmtId="0" fontId="58" fillId="0" borderId="8" xfId="4" applyFont="1" applyFill="1" applyBorder="1"/>
    <xf numFmtId="166" fontId="43" fillId="0" borderId="13" xfId="12" applyNumberFormat="1" applyFont="1" applyFill="1" applyBorder="1" applyAlignment="1"/>
    <xf numFmtId="0" fontId="45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2" fillId="0" borderId="8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52" fillId="0" borderId="8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0" fillId="0" borderId="0" xfId="8" applyFont="1" applyFill="1" applyBorder="1" applyAlignment="1">
      <alignment horizontal="center" wrapText="1"/>
    </xf>
    <xf numFmtId="0" fontId="1" fillId="0" borderId="0" xfId="8" applyFont="1" applyBorder="1" applyAlignment="1">
      <alignment horizontal="center" wrapText="1"/>
    </xf>
    <xf numFmtId="0" fontId="6" fillId="3" borderId="18" xfId="8" applyFont="1" applyFill="1" applyBorder="1" applyAlignment="1">
      <alignment horizontal="center"/>
    </xf>
    <xf numFmtId="0" fontId="1" fillId="0" borderId="0" xfId="5" applyBorder="1" applyAlignment="1">
      <alignment horizontal="center" wrapText="1"/>
    </xf>
    <xf numFmtId="0" fontId="0" fillId="0" borderId="0" xfId="8" applyFont="1" applyAlignment="1">
      <alignment horizontal="center" wrapText="1"/>
    </xf>
    <xf numFmtId="0" fontId="4" fillId="3" borderId="18" xfId="5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9" borderId="0" xfId="0" applyFill="1" applyBorder="1"/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55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6" builtinId="3"/>
    <cellStyle name="Comma 15 3" xfId="10" xr:uid="{00000000-0005-0000-0000-00001C000000}"/>
    <cellStyle name="Comma 3 14" xfId="7" xr:uid="{00000000-0005-0000-0000-00001D000000}"/>
    <cellStyle name="Currency" xfId="12" builtinId="4"/>
    <cellStyle name="Currency 10" xfId="3" xr:uid="{00000000-0005-0000-0000-00001F000000}"/>
    <cellStyle name="Currency 41 2" xfId="9" xr:uid="{00000000-0005-0000-0000-000020000000}"/>
    <cellStyle name="Explanatory Text" xfId="28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/>
    <cellStyle name="Normal 29" xfId="5" xr:uid="{00000000-0005-0000-0000-00002B000000}"/>
    <cellStyle name="Normal 29 2" xfId="8" xr:uid="{00000000-0005-0000-0000-00002C000000}"/>
    <cellStyle name="Normal 3 2" xfId="2" xr:uid="{00000000-0005-0000-0000-00002D000000}"/>
    <cellStyle name="Normal 4 15 2 3" xfId="4" xr:uid="{00000000-0005-0000-0000-00002E000000}"/>
    <cellStyle name="Normal_Attachment O &amp; GG Final 11_11_09" xfId="54" xr:uid="{00000000-0005-0000-0000-00002F000000}"/>
    <cellStyle name="Note" xfId="27" builtinId="10" customBuiltin="1"/>
    <cellStyle name="Output" xfId="22" builtinId="21" customBuiltin="1"/>
    <cellStyle name="Percent" xfId="1" builtinId="5"/>
    <cellStyle name="Percent 25 2" xfId="11" xr:uid="{00000000-0005-0000-0000-000033000000}"/>
    <cellStyle name="Title" xfId="13" builtinId="15" customBuiltin="1"/>
    <cellStyle name="Total" xfId="29" builtinId="25" customBuiltin="1"/>
    <cellStyle name="Warning Text" xfId="26" builtinId="11" customBuiltin="1"/>
  </cellStyles>
  <dxfs count="0"/>
  <tableStyles count="0" defaultTableStyle="TableStyleMedium2" defaultPivotStyle="PivotStyleLight16"/>
  <colors>
    <mruColors>
      <color rgb="FF0000FF"/>
      <color rgb="FFFF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40</xdr:row>
      <xdr:rowOff>114300</xdr:rowOff>
    </xdr:from>
    <xdr:to>
      <xdr:col>5</xdr:col>
      <xdr:colOff>559308</xdr:colOff>
      <xdr:row>40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6050280" y="7437120"/>
          <a:ext cx="1435608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44</xdr:row>
      <xdr:rowOff>106680</xdr:rowOff>
    </xdr:from>
    <xdr:to>
      <xdr:col>5</xdr:col>
      <xdr:colOff>571500</xdr:colOff>
      <xdr:row>44</xdr:row>
      <xdr:rowOff>106680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 flipV="1">
          <a:off x="6065520" y="8130540"/>
          <a:ext cx="143256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20</xdr:row>
      <xdr:rowOff>91440</xdr:rowOff>
    </xdr:from>
    <xdr:to>
      <xdr:col>1</xdr:col>
      <xdr:colOff>1918833</xdr:colOff>
      <xdr:row>34</xdr:row>
      <xdr:rowOff>109595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1074738" y="4163378"/>
          <a:ext cx="1233033" cy="2574030"/>
          <a:chOff x="960120" y="3749040"/>
          <a:chExt cx="1233033" cy="2578475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652016" y="3767195"/>
            <a:ext cx="15240" cy="2560320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1637099" y="3749040"/>
            <a:ext cx="548640" cy="2915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 rot="-180000" flipH="1" flipV="1">
            <a:off x="1644513" y="5499780"/>
            <a:ext cx="548640" cy="25776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1644396" y="6312275"/>
            <a:ext cx="548640" cy="7620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62406" y="4491095"/>
            <a:ext cx="754380" cy="274320"/>
          </a:xfrm>
          <a:prstGeom prst="rect">
            <a:avLst/>
          </a:prstGeom>
          <a:ln w="9525">
            <a:solidFill>
              <a:srgbClr val="0000FF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200" b="1"/>
              <a:t>12.38%</a:t>
            </a:r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960120" y="5756015"/>
            <a:ext cx="758952" cy="274320"/>
          </a:xfrm>
          <a:prstGeom prst="rect">
            <a:avLst/>
          </a:prstGeom>
          <a:ln w="9525">
            <a:solidFill>
              <a:srgbClr val="0000FF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200" b="1"/>
              <a:t>10.82%</a:t>
            </a:r>
          </a:p>
        </xdr:txBody>
      </xdr:sp>
    </xdr:grpSp>
    <xdr:clientData/>
  </xdr:twoCellAnchor>
  <xdr:twoCellAnchor>
    <xdr:from>
      <xdr:col>5</xdr:col>
      <xdr:colOff>15240</xdr:colOff>
      <xdr:row>81</xdr:row>
      <xdr:rowOff>99060</xdr:rowOff>
    </xdr:from>
    <xdr:to>
      <xdr:col>5</xdr:col>
      <xdr:colOff>563880</xdr:colOff>
      <xdr:row>81</xdr:row>
      <xdr:rowOff>99060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 flipV="1">
          <a:off x="6941820" y="14653260"/>
          <a:ext cx="54864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103</xdr:row>
      <xdr:rowOff>99060</xdr:rowOff>
    </xdr:from>
    <xdr:to>
      <xdr:col>5</xdr:col>
      <xdr:colOff>571500</xdr:colOff>
      <xdr:row>103</xdr:row>
      <xdr:rowOff>99060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 flipV="1">
          <a:off x="6949440" y="18684240"/>
          <a:ext cx="54864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1"/>
  <sheetViews>
    <sheetView tabSelected="1" topLeftCell="A40" zoomScale="80" zoomScaleNormal="80" workbookViewId="0">
      <selection activeCell="F55" sqref="F55"/>
    </sheetView>
  </sheetViews>
  <sheetFormatPr defaultColWidth="9.08984375" defaultRowHeight="12.5"/>
  <cols>
    <col min="1" max="1" width="5.54296875" style="210" customWidth="1"/>
    <col min="2" max="2" width="48.6328125" style="210" customWidth="1"/>
    <col min="3" max="3" width="18.6328125" style="210" customWidth="1"/>
    <col min="4" max="4" width="17.08984375" style="210" customWidth="1"/>
    <col min="5" max="5" width="14.36328125" style="210" customWidth="1"/>
    <col min="6" max="6" width="13.453125" style="210" customWidth="1"/>
    <col min="7" max="7" width="15.6328125" style="210" customWidth="1"/>
    <col min="8" max="8" width="14.90625" style="210" customWidth="1"/>
    <col min="9" max="9" width="12.6328125" style="210" customWidth="1"/>
    <col min="10" max="10" width="4.54296875" style="210" customWidth="1"/>
    <col min="11" max="11" width="12.453125" style="210" customWidth="1"/>
    <col min="12" max="12" width="14.08984375" style="210" bestFit="1" customWidth="1"/>
    <col min="13" max="13" width="16.90625" style="210" bestFit="1" customWidth="1"/>
    <col min="14" max="16384" width="9.08984375" style="210"/>
  </cols>
  <sheetData>
    <row r="1" spans="1:12" ht="18">
      <c r="A1" s="208" t="s">
        <v>137</v>
      </c>
      <c r="B1" s="208"/>
      <c r="C1" s="209" t="str">
        <f>VLOOKUP(A1,'List of ROE by TO'!B8:C29,2,FALSE)</f>
        <v>Aggregate</v>
      </c>
      <c r="D1" s="209"/>
      <c r="E1" s="209"/>
    </row>
    <row r="2" spans="1:12" ht="15.5">
      <c r="A2" s="211" t="s">
        <v>116</v>
      </c>
      <c r="B2" s="211"/>
      <c r="C2" s="211"/>
      <c r="D2" s="211"/>
      <c r="E2" s="211"/>
    </row>
    <row r="3" spans="1:12" ht="15.5">
      <c r="A3" s="212" t="s">
        <v>248</v>
      </c>
      <c r="B3" s="213"/>
      <c r="C3" s="214"/>
      <c r="D3" s="215"/>
      <c r="E3" s="215"/>
    </row>
    <row r="4" spans="1:12" ht="15.5">
      <c r="A4" s="216" t="s">
        <v>160</v>
      </c>
      <c r="B4" s="213"/>
      <c r="C4" s="214"/>
      <c r="D4" s="215"/>
      <c r="E4" s="215"/>
    </row>
    <row r="5" spans="1:12" ht="15.5">
      <c r="A5" s="212" t="s">
        <v>249</v>
      </c>
      <c r="B5" s="213"/>
      <c r="C5" s="214"/>
      <c r="D5" s="215"/>
      <c r="E5" s="215"/>
    </row>
    <row r="6" spans="1:12" ht="16" thickBot="1">
      <c r="A6" s="215"/>
      <c r="B6" s="215"/>
      <c r="C6" s="215"/>
      <c r="D6" s="215"/>
      <c r="E6" s="215"/>
    </row>
    <row r="7" spans="1:12" ht="15.5">
      <c r="A7" s="217"/>
      <c r="B7" s="218"/>
      <c r="C7" s="218"/>
      <c r="D7" s="218"/>
      <c r="E7" s="219"/>
    </row>
    <row r="8" spans="1:12" ht="15.5">
      <c r="A8" s="220" t="s">
        <v>98</v>
      </c>
      <c r="B8" s="215"/>
      <c r="C8" s="221" t="s">
        <v>99</v>
      </c>
      <c r="D8" s="221" t="s">
        <v>89</v>
      </c>
      <c r="E8" s="222"/>
    </row>
    <row r="9" spans="1:12" ht="13">
      <c r="A9" s="223" t="s">
        <v>100</v>
      </c>
      <c r="B9" s="224"/>
      <c r="C9" s="225">
        <f>ROUND(D9/12,6)</f>
        <v>2.921E-3</v>
      </c>
      <c r="D9" s="226">
        <f>ROUND('Interest Rates'!G35,6)</f>
        <v>3.5053000000000001E-2</v>
      </c>
      <c r="E9" s="227"/>
      <c r="F9" s="228"/>
    </row>
    <row r="10" spans="1:12" ht="13">
      <c r="A10" s="223" t="s">
        <v>101</v>
      </c>
      <c r="B10" s="224"/>
      <c r="C10" s="225">
        <f>ROUND(D10/12,6)</f>
        <v>1.578E-3</v>
      </c>
      <c r="D10" s="226">
        <f>ROUND('Interest Rates'!E35,6)</f>
        <v>1.8936000000000001E-2</v>
      </c>
      <c r="E10" s="227"/>
      <c r="F10" s="228"/>
    </row>
    <row r="11" spans="1:12" ht="16" thickBot="1">
      <c r="A11" s="229"/>
      <c r="B11" s="230"/>
      <c r="C11" s="231"/>
      <c r="D11" s="232"/>
      <c r="E11" s="233"/>
    </row>
    <row r="12" spans="1:12" ht="15.5">
      <c r="A12" s="215"/>
      <c r="B12" s="224"/>
      <c r="C12" s="225"/>
      <c r="D12" s="234"/>
      <c r="E12" s="235"/>
    </row>
    <row r="13" spans="1:12" ht="16" thickBot="1">
      <c r="A13" s="215"/>
      <c r="B13" s="224"/>
      <c r="C13" s="225"/>
      <c r="D13" s="234"/>
      <c r="E13" s="235"/>
    </row>
    <row r="14" spans="1:12" ht="14.5">
      <c r="A14" s="236" t="s">
        <v>226</v>
      </c>
      <c r="B14" s="237"/>
      <c r="C14" s="238"/>
      <c r="D14" s="238"/>
      <c r="E14" s="238"/>
      <c r="F14" s="238"/>
      <c r="G14" s="239"/>
      <c r="H14" s="239"/>
      <c r="I14" s="239"/>
      <c r="J14" s="239"/>
      <c r="K14" s="239"/>
      <c r="L14" s="240"/>
    </row>
    <row r="15" spans="1:12" ht="14.5">
      <c r="A15" s="241" t="s">
        <v>117</v>
      </c>
      <c r="B15" s="242"/>
      <c r="C15" s="243"/>
      <c r="D15" s="243"/>
      <c r="E15" s="243"/>
      <c r="F15" s="243"/>
      <c r="G15" s="224"/>
      <c r="H15" s="224"/>
      <c r="I15" s="224"/>
      <c r="J15" s="224"/>
      <c r="K15" s="224"/>
      <c r="L15" s="244"/>
    </row>
    <row r="16" spans="1:12" ht="14.5">
      <c r="A16" s="241" t="s">
        <v>118</v>
      </c>
      <c r="B16" s="242"/>
      <c r="C16" s="243"/>
      <c r="D16" s="243"/>
      <c r="E16" s="243"/>
      <c r="F16" s="243"/>
      <c r="G16" s="224"/>
      <c r="H16" s="224"/>
      <c r="I16" s="224"/>
      <c r="J16" s="224"/>
      <c r="K16" s="224"/>
      <c r="L16" s="244"/>
    </row>
    <row r="17" spans="1:14" ht="14.5">
      <c r="A17" s="241" t="s">
        <v>225</v>
      </c>
      <c r="B17" s="242"/>
      <c r="C17" s="243"/>
      <c r="D17" s="243"/>
      <c r="E17" s="243"/>
      <c r="F17" s="243"/>
      <c r="G17" s="224"/>
      <c r="H17" s="224"/>
      <c r="I17" s="224"/>
      <c r="J17" s="224"/>
      <c r="K17" s="224"/>
      <c r="L17" s="244"/>
    </row>
    <row r="18" spans="1:14" ht="14.5">
      <c r="A18" s="245"/>
      <c r="B18" s="242"/>
      <c r="C18" s="243"/>
      <c r="D18" s="243"/>
      <c r="E18" s="243"/>
      <c r="F18" s="243"/>
      <c r="G18" s="224"/>
      <c r="H18" s="224"/>
      <c r="I18" s="224"/>
      <c r="J18" s="224"/>
      <c r="K18" s="224"/>
      <c r="L18" s="244"/>
    </row>
    <row r="19" spans="1:14" ht="14.5">
      <c r="A19" s="245"/>
      <c r="B19" s="242"/>
      <c r="C19" s="377" t="s">
        <v>222</v>
      </c>
      <c r="D19" s="377"/>
      <c r="E19" s="377"/>
      <c r="F19" s="377"/>
      <c r="G19" s="224"/>
      <c r="H19" s="246"/>
      <c r="I19" s="246"/>
      <c r="J19" s="224"/>
      <c r="K19" s="246"/>
      <c r="L19" s="247"/>
    </row>
    <row r="20" spans="1:14" ht="32" customHeight="1">
      <c r="A20" s="248"/>
      <c r="B20" s="243"/>
      <c r="C20" s="249" t="s">
        <v>250</v>
      </c>
      <c r="D20" s="249" t="s">
        <v>251</v>
      </c>
      <c r="E20" s="243"/>
      <c r="F20" s="243"/>
      <c r="G20" s="224"/>
      <c r="H20" s="250" t="s">
        <v>230</v>
      </c>
      <c r="I20" s="246"/>
      <c r="J20" s="246"/>
      <c r="K20" s="250" t="s">
        <v>223</v>
      </c>
      <c r="L20" s="244"/>
    </row>
    <row r="21" spans="1:14" ht="14.5">
      <c r="A21" s="248"/>
      <c r="B21" s="243"/>
      <c r="C21" s="251" t="s">
        <v>6</v>
      </c>
      <c r="D21" s="251" t="s">
        <v>17</v>
      </c>
      <c r="E21" s="243"/>
      <c r="F21" s="243" t="s">
        <v>224</v>
      </c>
      <c r="G21" s="224"/>
      <c r="H21" s="250" t="s">
        <v>5</v>
      </c>
      <c r="I21" s="224"/>
      <c r="J21" s="224"/>
      <c r="K21" s="250" t="s">
        <v>5</v>
      </c>
      <c r="L21" s="244"/>
      <c r="N21" s="252"/>
    </row>
    <row r="22" spans="1:14" ht="14.5">
      <c r="A22" s="248"/>
      <c r="B22" s="253" t="s">
        <v>7</v>
      </c>
      <c r="C22" s="254">
        <v>876</v>
      </c>
      <c r="D22" s="255">
        <f>C22</f>
        <v>876</v>
      </c>
      <c r="E22" s="243"/>
      <c r="F22" s="256"/>
      <c r="G22" s="224"/>
      <c r="H22" s="254">
        <v>1514183.3699999999</v>
      </c>
      <c r="I22" s="257"/>
      <c r="J22" s="224"/>
      <c r="K22" s="254">
        <v>1179064.2300000002</v>
      </c>
      <c r="L22" s="258"/>
    </row>
    <row r="23" spans="1:14" ht="14.5">
      <c r="A23" s="248"/>
      <c r="B23" s="253" t="s">
        <v>8</v>
      </c>
      <c r="C23" s="254">
        <v>808</v>
      </c>
      <c r="D23" s="255">
        <f t="shared" ref="D23:D34" si="0">C23</f>
        <v>808</v>
      </c>
      <c r="E23" s="243"/>
      <c r="F23" s="256"/>
      <c r="G23" s="224"/>
      <c r="H23" s="254">
        <v>1353640.0799999998</v>
      </c>
      <c r="I23" s="257"/>
      <c r="J23" s="224"/>
      <c r="K23" s="254">
        <v>1113314.8699999999</v>
      </c>
      <c r="L23" s="258"/>
    </row>
    <row r="24" spans="1:14" ht="14.5">
      <c r="A24" s="248"/>
      <c r="B24" s="259" t="s">
        <v>9</v>
      </c>
      <c r="C24" s="254">
        <v>765</v>
      </c>
      <c r="D24" s="255">
        <f t="shared" si="0"/>
        <v>765</v>
      </c>
      <c r="E24" s="243"/>
      <c r="F24" s="256"/>
      <c r="G24" s="224"/>
      <c r="H24" s="254">
        <v>1364754.6</v>
      </c>
      <c r="I24" s="257"/>
      <c r="J24" s="224"/>
      <c r="K24" s="254">
        <v>1071015.6600000001</v>
      </c>
      <c r="L24" s="258"/>
    </row>
    <row r="25" spans="1:14" ht="14.5">
      <c r="A25" s="248"/>
      <c r="B25" s="259" t="s">
        <v>10</v>
      </c>
      <c r="C25" s="254">
        <v>693</v>
      </c>
      <c r="D25" s="255">
        <f t="shared" si="0"/>
        <v>693</v>
      </c>
      <c r="E25" s="243"/>
      <c r="F25" s="256"/>
      <c r="G25" s="224"/>
      <c r="H25" s="254">
        <v>1257812.21</v>
      </c>
      <c r="I25" s="257"/>
      <c r="J25" s="224"/>
      <c r="K25" s="254">
        <v>941691.91</v>
      </c>
      <c r="L25" s="258"/>
    </row>
    <row r="26" spans="1:14" ht="14.5">
      <c r="A26" s="248"/>
      <c r="B26" s="259" t="s">
        <v>11</v>
      </c>
      <c r="C26" s="254">
        <v>614</v>
      </c>
      <c r="D26" s="255">
        <f t="shared" si="0"/>
        <v>614</v>
      </c>
      <c r="E26" s="243"/>
      <c r="F26" s="256"/>
      <c r="G26" s="224"/>
      <c r="H26" s="254">
        <v>1472202.8199999998</v>
      </c>
      <c r="I26" s="257"/>
      <c r="J26" s="224"/>
      <c r="K26" s="254">
        <v>998892.94000000006</v>
      </c>
      <c r="L26" s="258"/>
    </row>
    <row r="27" spans="1:14" ht="14.5">
      <c r="A27" s="248"/>
      <c r="B27" s="259" t="s">
        <v>12</v>
      </c>
      <c r="C27" s="254">
        <v>669</v>
      </c>
      <c r="D27" s="255">
        <f t="shared" si="0"/>
        <v>669</v>
      </c>
      <c r="E27" s="243"/>
      <c r="F27" s="256"/>
      <c r="G27" s="224"/>
      <c r="H27" s="254">
        <v>1696487.5799999998</v>
      </c>
      <c r="I27" s="257"/>
      <c r="J27" s="224"/>
      <c r="K27" s="254">
        <v>1086556.8399999999</v>
      </c>
      <c r="L27" s="258"/>
    </row>
    <row r="28" spans="1:14" ht="14.5">
      <c r="A28" s="248"/>
      <c r="B28" s="259" t="s">
        <v>13</v>
      </c>
      <c r="C28" s="254">
        <v>730</v>
      </c>
      <c r="D28" s="255">
        <f t="shared" si="0"/>
        <v>730</v>
      </c>
      <c r="E28" s="243"/>
      <c r="F28" s="256"/>
      <c r="G28" s="224"/>
      <c r="H28" s="254">
        <v>1904696.17</v>
      </c>
      <c r="I28" s="257"/>
      <c r="J28" s="224"/>
      <c r="K28" s="254">
        <v>1220883.9500000002</v>
      </c>
      <c r="L28" s="258"/>
    </row>
    <row r="29" spans="1:14" ht="14.5">
      <c r="A29" s="248"/>
      <c r="B29" s="259" t="s">
        <v>14</v>
      </c>
      <c r="C29" s="254">
        <v>713</v>
      </c>
      <c r="D29" s="255">
        <f t="shared" si="0"/>
        <v>713</v>
      </c>
      <c r="E29" s="243"/>
      <c r="F29" s="256"/>
      <c r="G29" s="224"/>
      <c r="H29" s="254">
        <v>1898502</v>
      </c>
      <c r="I29" s="257"/>
      <c r="J29" s="260"/>
      <c r="K29" s="254">
        <v>1195573.6399999999</v>
      </c>
      <c r="L29" s="258"/>
    </row>
    <row r="30" spans="1:14" ht="14.5">
      <c r="A30" s="248"/>
      <c r="B30" s="259" t="s">
        <v>96</v>
      </c>
      <c r="C30" s="254">
        <v>631</v>
      </c>
      <c r="D30" s="255">
        <f>ROUND((C30*(27/30)),0)</f>
        <v>568</v>
      </c>
      <c r="E30" s="261">
        <f>SUM(D22:D30)</f>
        <v>6436</v>
      </c>
      <c r="F30" s="262">
        <f>ROUND(E30/$D$35,4)</f>
        <v>0.73089999999999999</v>
      </c>
      <c r="G30" s="224"/>
      <c r="H30" s="254">
        <v>1682977</v>
      </c>
      <c r="I30" s="263">
        <f>ROUND(((SUM(H22:H29))+(H30*(27/30)))/$H$35,4)</f>
        <v>0.77370000000000005</v>
      </c>
      <c r="J30" s="257"/>
      <c r="K30" s="254">
        <v>1112699.54</v>
      </c>
      <c r="L30" s="264">
        <f>ROUND(((SUM(K22:K29))+(K30*(27/30)))/$K$35,4)</f>
        <v>0.78610000000000002</v>
      </c>
    </row>
    <row r="31" spans="1:14" ht="14.5">
      <c r="A31" s="248"/>
      <c r="B31" s="259" t="s">
        <v>97</v>
      </c>
      <c r="C31" s="255">
        <f>C30</f>
        <v>631</v>
      </c>
      <c r="D31" s="255">
        <f>ROUND((C31*(3/30)),0)</f>
        <v>63</v>
      </c>
      <c r="E31" s="261"/>
      <c r="F31" s="256"/>
      <c r="G31" s="224"/>
      <c r="H31" s="265">
        <f>H30</f>
        <v>1682977</v>
      </c>
      <c r="I31" s="257"/>
      <c r="J31" s="224"/>
      <c r="K31" s="265">
        <f>K30</f>
        <v>1112699.54</v>
      </c>
      <c r="L31" s="258"/>
    </row>
    <row r="32" spans="1:14" ht="14.5">
      <c r="A32" s="248"/>
      <c r="B32" s="259" t="s">
        <v>15</v>
      </c>
      <c r="C32" s="254">
        <v>692</v>
      </c>
      <c r="D32" s="255">
        <f t="shared" si="0"/>
        <v>692</v>
      </c>
      <c r="E32" s="261"/>
      <c r="F32" s="256"/>
      <c r="G32" s="224"/>
      <c r="H32" s="254">
        <v>1287049.28</v>
      </c>
      <c r="I32" s="257"/>
      <c r="J32" s="224"/>
      <c r="K32" s="254">
        <v>907548.98</v>
      </c>
      <c r="L32" s="258"/>
    </row>
    <row r="33" spans="1:13" ht="14.5">
      <c r="A33" s="248"/>
      <c r="B33" s="259" t="s">
        <v>95</v>
      </c>
      <c r="C33" s="266">
        <v>712</v>
      </c>
      <c r="D33" s="255">
        <f t="shared" si="0"/>
        <v>712</v>
      </c>
      <c r="E33" s="261"/>
      <c r="F33" s="256"/>
      <c r="G33" s="224"/>
      <c r="H33" s="266">
        <v>1213170.3700000001</v>
      </c>
      <c r="I33" s="257"/>
      <c r="J33" s="224"/>
      <c r="K33" s="266">
        <v>886631.04999999993</v>
      </c>
      <c r="L33" s="258"/>
    </row>
    <row r="34" spans="1:13" ht="14.5">
      <c r="A34" s="248"/>
      <c r="B34" s="259" t="s">
        <v>16</v>
      </c>
      <c r="C34" s="266">
        <v>903</v>
      </c>
      <c r="D34" s="255">
        <f t="shared" si="0"/>
        <v>903</v>
      </c>
      <c r="E34" s="261">
        <f>SUM(D31:D34)</f>
        <v>2370</v>
      </c>
      <c r="F34" s="262">
        <f>ROUND(E34/$D$35,4)</f>
        <v>0.26910000000000001</v>
      </c>
      <c r="G34" s="224"/>
      <c r="H34" s="266">
        <v>1420655.7600000002</v>
      </c>
      <c r="I34" s="263">
        <f>ROUND(((SUM(H32:H34))+(H31*(3/30)))/$H$35,4)</f>
        <v>0.2263</v>
      </c>
      <c r="J34" s="267"/>
      <c r="K34" s="266">
        <v>764229.03</v>
      </c>
      <c r="L34" s="264">
        <f>ROUND(((SUM(K32:K34))+(K31*(3/30)))/$K$35,4)</f>
        <v>0.21390000000000001</v>
      </c>
    </row>
    <row r="35" spans="1:13" ht="15" thickBot="1">
      <c r="A35" s="268"/>
      <c r="B35" s="269"/>
      <c r="C35" s="270">
        <f>SUM(C22:C34)-C31</f>
        <v>8806</v>
      </c>
      <c r="D35" s="270">
        <f>SUM(D22:D34)</f>
        <v>8806</v>
      </c>
      <c r="E35" s="269"/>
      <c r="F35" s="271">
        <f>SUM(F22:F34)</f>
        <v>1</v>
      </c>
      <c r="G35" s="230"/>
      <c r="H35" s="272">
        <f>SUM(H22:H34)-H31</f>
        <v>18066131.240000002</v>
      </c>
      <c r="I35" s="273">
        <f>SUM(I22:I34)</f>
        <v>1</v>
      </c>
      <c r="J35" s="274"/>
      <c r="K35" s="272">
        <f>SUM(K22:K34)-K31</f>
        <v>12478102.640000001</v>
      </c>
      <c r="L35" s="275">
        <f>SUM(L22:L34)</f>
        <v>1</v>
      </c>
    </row>
    <row r="36" spans="1:13" ht="15.5">
      <c r="A36" s="215"/>
      <c r="B36" s="224"/>
      <c r="C36" s="225"/>
      <c r="D36" s="234"/>
      <c r="E36" s="235"/>
    </row>
    <row r="37" spans="1:13" ht="16" thickBot="1">
      <c r="A37" s="215"/>
      <c r="B37" s="215"/>
      <c r="C37" s="215"/>
      <c r="D37" s="215"/>
      <c r="E37" s="215"/>
    </row>
    <row r="38" spans="1:13" ht="14">
      <c r="A38" s="276" t="s">
        <v>91</v>
      </c>
      <c r="B38" s="277"/>
      <c r="C38" s="278"/>
      <c r="D38" s="278"/>
      <c r="E38" s="279"/>
      <c r="K38" s="376"/>
      <c r="L38" s="376"/>
      <c r="M38" s="280"/>
    </row>
    <row r="39" spans="1:13" ht="13.25" customHeight="1">
      <c r="A39" s="248"/>
      <c r="B39" s="224"/>
      <c r="C39" s="281" t="s">
        <v>156</v>
      </c>
      <c r="D39" s="282" t="s">
        <v>156</v>
      </c>
      <c r="E39" s="283" t="s">
        <v>157</v>
      </c>
      <c r="I39" s="284"/>
      <c r="K39" s="285"/>
      <c r="L39" s="285"/>
      <c r="M39" s="280"/>
    </row>
    <row r="40" spans="1:13" ht="13">
      <c r="A40" s="286" t="s">
        <v>115</v>
      </c>
      <c r="B40" s="224"/>
      <c r="C40" s="287">
        <f>VLOOKUP($A$1,'List of ROE by TO'!$B$8:$E$29,3,FALSE)</f>
        <v>0.12379999999999999</v>
      </c>
      <c r="D40" s="287">
        <f>VLOOKUP($A$1,'List of ROE by TO'!$B$8:$E$29,4,FALSE)</f>
        <v>0.1082</v>
      </c>
      <c r="E40" s="283" t="s">
        <v>158</v>
      </c>
      <c r="I40" s="284"/>
      <c r="K40" s="288"/>
      <c r="L40" s="288"/>
      <c r="M40" s="280"/>
    </row>
    <row r="41" spans="1:13" ht="16.5">
      <c r="A41" s="223" t="s">
        <v>252</v>
      </c>
      <c r="B41" s="289"/>
      <c r="C41" s="290">
        <v>29471403.144698452</v>
      </c>
      <c r="D41" s="290">
        <v>27596202.973099325</v>
      </c>
      <c r="E41" s="244"/>
      <c r="G41" s="210" t="s">
        <v>220</v>
      </c>
      <c r="I41" s="284"/>
      <c r="K41" s="291"/>
      <c r="L41" s="291"/>
      <c r="M41" s="280"/>
    </row>
    <row r="42" spans="1:13" ht="15.5">
      <c r="A42" s="223" t="s">
        <v>219</v>
      </c>
      <c r="B42" s="289"/>
      <c r="C42" s="263">
        <f>$F$30</f>
        <v>0.73089999999999999</v>
      </c>
      <c r="D42" s="263">
        <f>$F$34</f>
        <v>0.26910000000000001</v>
      </c>
      <c r="E42" s="244"/>
      <c r="I42" s="284"/>
      <c r="K42" s="288"/>
      <c r="L42" s="288"/>
      <c r="M42" s="292"/>
    </row>
    <row r="43" spans="1:13" ht="13">
      <c r="A43" s="293" t="s">
        <v>102</v>
      </c>
      <c r="B43" s="294"/>
      <c r="C43" s="295">
        <f>ROUND(C41*C42,0)</f>
        <v>21540649</v>
      </c>
      <c r="D43" s="295">
        <f>ROUND(D41*D42,0)</f>
        <v>7426138</v>
      </c>
      <c r="E43" s="296">
        <f>ROUND(C43+D43,0)</f>
        <v>28966787</v>
      </c>
      <c r="I43" s="284"/>
      <c r="K43" s="291"/>
      <c r="L43" s="280"/>
      <c r="M43" s="280"/>
    </row>
    <row r="44" spans="1:13">
      <c r="A44" s="223"/>
      <c r="B44" s="289"/>
      <c r="C44" s="224"/>
      <c r="D44" s="224"/>
      <c r="E44" s="244"/>
      <c r="I44" s="284"/>
      <c r="K44" s="291"/>
      <c r="L44" s="280"/>
      <c r="M44" s="280"/>
    </row>
    <row r="45" spans="1:13" ht="16.5">
      <c r="A45" s="223" t="s">
        <v>253</v>
      </c>
      <c r="B45" s="289"/>
      <c r="C45" s="297">
        <v>29239248</v>
      </c>
      <c r="D45" s="297">
        <v>27243167</v>
      </c>
      <c r="E45" s="244"/>
      <c r="G45" s="224" t="s">
        <v>221</v>
      </c>
      <c r="H45" s="224"/>
      <c r="I45" s="224"/>
      <c r="J45" s="224"/>
      <c r="K45" s="280"/>
      <c r="L45" s="280"/>
      <c r="M45" s="280"/>
    </row>
    <row r="46" spans="1:13" ht="13">
      <c r="A46" s="223" t="s">
        <v>218</v>
      </c>
      <c r="B46" s="289"/>
      <c r="C46" s="263">
        <f>$F$30</f>
        <v>0.73089999999999999</v>
      </c>
      <c r="D46" s="263">
        <f>$F$34</f>
        <v>0.26910000000000001</v>
      </c>
      <c r="E46" s="244"/>
      <c r="G46" s="224"/>
      <c r="H46" s="224"/>
      <c r="I46" s="224"/>
      <c r="J46" s="224"/>
      <c r="K46" s="376"/>
      <c r="L46" s="376"/>
      <c r="M46" s="280"/>
    </row>
    <row r="47" spans="1:13" ht="13">
      <c r="A47" s="293" t="s">
        <v>103</v>
      </c>
      <c r="B47" s="289"/>
      <c r="C47" s="295">
        <f>ROUND(C45*C46,0)</f>
        <v>21370966</v>
      </c>
      <c r="D47" s="295">
        <f>ROUND(D45*D46,0)</f>
        <v>7331136</v>
      </c>
      <c r="E47" s="296">
        <f>ROUND(C47+D47,0)</f>
        <v>28702102</v>
      </c>
      <c r="G47" s="224"/>
      <c r="H47" s="224"/>
      <c r="I47" s="224"/>
      <c r="J47" s="224"/>
      <c r="K47" s="285"/>
      <c r="L47" s="285"/>
      <c r="M47" s="280"/>
    </row>
    <row r="48" spans="1:13" ht="15.5">
      <c r="A48" s="248"/>
      <c r="B48" s="224"/>
      <c r="C48" s="298"/>
      <c r="D48" s="298"/>
      <c r="E48" s="299"/>
      <c r="K48" s="300"/>
      <c r="L48" s="288"/>
      <c r="M48" s="280"/>
    </row>
    <row r="49" spans="1:13" ht="13">
      <c r="A49" s="286" t="s">
        <v>104</v>
      </c>
      <c r="B49" s="224"/>
      <c r="C49" s="301">
        <f>ROUND(C43-C47,0)</f>
        <v>169683</v>
      </c>
      <c r="D49" s="301">
        <f>ROUND(D43-D47,0)</f>
        <v>95002</v>
      </c>
      <c r="E49" s="370">
        <f>ROUND(C49+D49,0)</f>
        <v>264685</v>
      </c>
      <c r="G49" s="302"/>
      <c r="K49" s="291"/>
      <c r="L49" s="291"/>
      <c r="M49" s="280"/>
    </row>
    <row r="50" spans="1:13" ht="15.5">
      <c r="A50" s="248"/>
      <c r="B50" s="224"/>
      <c r="C50" s="298"/>
      <c r="D50" s="298"/>
      <c r="E50" s="252" t="s">
        <v>259</v>
      </c>
      <c r="F50" s="368"/>
      <c r="G50" s="224"/>
      <c r="K50" s="288"/>
      <c r="L50" s="288"/>
      <c r="M50" s="292"/>
    </row>
    <row r="51" spans="1:13" ht="13">
      <c r="A51" s="303" t="s">
        <v>182</v>
      </c>
      <c r="B51" s="304"/>
      <c r="C51" s="305"/>
      <c r="D51" s="305"/>
      <c r="E51" s="306">
        <v>831108</v>
      </c>
      <c r="F51" s="369"/>
      <c r="G51" s="224"/>
      <c r="K51" s="280"/>
      <c r="L51" s="280"/>
      <c r="M51" s="280"/>
    </row>
    <row r="52" spans="1:13" ht="13">
      <c r="A52" s="303" t="s">
        <v>183</v>
      </c>
      <c r="B52" s="304"/>
      <c r="C52" s="305"/>
      <c r="D52" s="305"/>
      <c r="E52" s="307">
        <v>730327</v>
      </c>
      <c r="F52" s="367"/>
      <c r="G52" s="224"/>
      <c r="K52" s="280"/>
      <c r="L52" s="280"/>
      <c r="M52" s="280"/>
    </row>
    <row r="53" spans="1:13">
      <c r="A53" s="303" t="s">
        <v>0</v>
      </c>
      <c r="B53" s="304"/>
      <c r="C53" s="288"/>
      <c r="D53" s="288"/>
      <c r="E53" s="308">
        <f>ROUND(E52-E51,0)</f>
        <v>-100781</v>
      </c>
      <c r="F53" s="288"/>
      <c r="G53" s="361"/>
      <c r="K53" s="280"/>
      <c r="L53" s="280"/>
      <c r="M53" s="280"/>
    </row>
    <row r="54" spans="1:13">
      <c r="A54" s="303"/>
      <c r="B54" s="304"/>
      <c r="C54" s="288"/>
      <c r="D54" s="288"/>
      <c r="E54" s="308"/>
      <c r="F54" s="288"/>
      <c r="G54" s="224"/>
      <c r="K54" s="280"/>
      <c r="L54" s="280"/>
      <c r="M54" s="280"/>
    </row>
    <row r="55" spans="1:13" ht="13">
      <c r="A55" s="303" t="s">
        <v>1</v>
      </c>
      <c r="B55" s="304"/>
      <c r="C55" s="309">
        <f>ROUND(C45/E52,4)</f>
        <v>40.035800000000002</v>
      </c>
      <c r="D55" s="309">
        <f>ROUND(D45/E52,4)</f>
        <v>37.302700000000002</v>
      </c>
      <c r="E55" s="299"/>
      <c r="F55" s="321"/>
      <c r="G55" s="224"/>
      <c r="K55" s="280"/>
      <c r="L55" s="280"/>
      <c r="M55" s="280"/>
    </row>
    <row r="56" spans="1:13" ht="13">
      <c r="A56" s="248" t="s">
        <v>4</v>
      </c>
      <c r="B56" s="310"/>
      <c r="C56" s="263">
        <f>$F$30</f>
        <v>0.73089999999999999</v>
      </c>
      <c r="D56" s="263">
        <f>$F$34</f>
        <v>0.26910000000000001</v>
      </c>
      <c r="E56" s="299"/>
      <c r="F56" s="321"/>
      <c r="G56" s="224"/>
      <c r="K56" s="280"/>
      <c r="L56" s="280"/>
      <c r="M56" s="280"/>
    </row>
    <row r="57" spans="1:13">
      <c r="A57" s="303" t="s">
        <v>105</v>
      </c>
      <c r="B57" s="304"/>
      <c r="C57" s="309">
        <f>ROUND(C56*C55,4)</f>
        <v>29.2622</v>
      </c>
      <c r="D57" s="309">
        <f>ROUND(D56*D55,4)</f>
        <v>10.0382</v>
      </c>
      <c r="E57" s="311">
        <f>SUM(C57:D57)</f>
        <v>39.300399999999996</v>
      </c>
      <c r="F57" s="309"/>
      <c r="G57" s="309"/>
      <c r="K57" s="280"/>
      <c r="L57" s="280"/>
      <c r="M57" s="280"/>
    </row>
    <row r="58" spans="1:13" ht="13">
      <c r="A58" s="303"/>
      <c r="B58" s="304"/>
      <c r="C58" s="309"/>
      <c r="D58" s="309"/>
      <c r="E58" s="312"/>
      <c r="F58" s="360"/>
      <c r="G58" s="224"/>
      <c r="K58" s="280"/>
      <c r="L58" s="280"/>
      <c r="M58" s="280"/>
    </row>
    <row r="59" spans="1:13" ht="13">
      <c r="A59" s="313" t="s">
        <v>94</v>
      </c>
      <c r="B59" s="314"/>
      <c r="C59" s="295"/>
      <c r="D59" s="295"/>
      <c r="E59" s="371">
        <f>ROUND(E53*E57,0)</f>
        <v>-3960734</v>
      </c>
      <c r="F59" s="362"/>
      <c r="G59" s="362"/>
      <c r="K59" s="280"/>
      <c r="L59" s="280"/>
      <c r="M59" s="280"/>
    </row>
    <row r="60" spans="1:13" ht="13">
      <c r="A60" s="313"/>
      <c r="B60" s="314"/>
      <c r="C60" s="298"/>
      <c r="D60" s="298"/>
      <c r="E60" s="299"/>
      <c r="F60" s="321"/>
      <c r="G60" s="224"/>
      <c r="K60" s="280"/>
      <c r="L60" s="280"/>
      <c r="M60" s="280"/>
    </row>
    <row r="61" spans="1:13" ht="13">
      <c r="A61" s="248"/>
      <c r="B61" s="224"/>
      <c r="C61" s="298"/>
      <c r="D61" s="298"/>
      <c r="E61" s="299"/>
      <c r="F61" s="321"/>
      <c r="G61" s="224"/>
      <c r="K61" s="280"/>
      <c r="L61" s="280"/>
      <c r="M61" s="280"/>
    </row>
    <row r="62" spans="1:13" ht="15.5">
      <c r="A62" s="374" t="s">
        <v>2</v>
      </c>
      <c r="B62" s="280"/>
      <c r="C62" s="315"/>
      <c r="D62" s="315"/>
      <c r="E62" s="375">
        <f>ROUND(E49+E59,0)</f>
        <v>-3696049</v>
      </c>
      <c r="F62" s="363"/>
      <c r="G62" s="363"/>
      <c r="K62" s="280"/>
      <c r="L62" s="280"/>
      <c r="M62" s="280"/>
    </row>
    <row r="63" spans="1:13" ht="13">
      <c r="A63" s="248"/>
      <c r="B63" s="224"/>
      <c r="C63" s="298"/>
      <c r="D63" s="298"/>
      <c r="E63" s="299"/>
      <c r="F63" s="224"/>
      <c r="G63" s="224"/>
      <c r="K63" s="280"/>
      <c r="L63" s="280"/>
      <c r="M63" s="280"/>
    </row>
    <row r="64" spans="1:13">
      <c r="A64" s="248" t="s">
        <v>165</v>
      </c>
      <c r="B64" s="224"/>
      <c r="C64" s="225"/>
      <c r="D64" s="225"/>
      <c r="E64" s="316">
        <f>IF(E62&gt;0,$C$10,$C$9)</f>
        <v>2.921E-3</v>
      </c>
      <c r="F64" s="224"/>
      <c r="G64" s="224"/>
      <c r="K64" s="280"/>
      <c r="L64" s="280"/>
      <c r="M64" s="280"/>
    </row>
    <row r="65" spans="1:13">
      <c r="A65" s="248" t="s">
        <v>3</v>
      </c>
      <c r="B65" s="224"/>
      <c r="C65" s="298"/>
      <c r="D65" s="298"/>
      <c r="E65" s="372">
        <f>ROUND(E62*(E64*24),0)</f>
        <v>-259108</v>
      </c>
      <c r="F65" s="364"/>
      <c r="G65" s="361"/>
      <c r="K65" s="280"/>
      <c r="L65" s="280"/>
      <c r="M65" s="280"/>
    </row>
    <row r="66" spans="1:13" ht="13">
      <c r="A66" s="248"/>
      <c r="B66" s="224"/>
      <c r="C66" s="298"/>
      <c r="D66" s="298"/>
      <c r="E66" s="317"/>
      <c r="F66" s="224"/>
      <c r="G66" s="224"/>
      <c r="K66" s="280"/>
      <c r="L66" s="280"/>
      <c r="M66" s="280"/>
    </row>
    <row r="67" spans="1:13" ht="14">
      <c r="A67" s="286" t="s">
        <v>106</v>
      </c>
      <c r="B67" s="224"/>
      <c r="C67" s="298"/>
      <c r="D67" s="298"/>
      <c r="E67" s="373">
        <f>ROUND(E62+E65,0)</f>
        <v>-3955157</v>
      </c>
      <c r="F67" s="365"/>
      <c r="G67" s="366"/>
      <c r="K67" s="280"/>
      <c r="L67" s="280"/>
      <c r="M67" s="280"/>
    </row>
    <row r="68" spans="1:13" ht="14">
      <c r="A68" s="286"/>
      <c r="B68" s="224"/>
      <c r="C68" s="298"/>
      <c r="D68" s="298"/>
      <c r="E68" s="318"/>
      <c r="F68" s="224"/>
      <c r="G68" s="224"/>
      <c r="K68" s="280"/>
      <c r="L68" s="280"/>
      <c r="M68" s="280"/>
    </row>
    <row r="69" spans="1:13" ht="16.5">
      <c r="A69" s="248" t="s">
        <v>254</v>
      </c>
      <c r="B69" s="224"/>
      <c r="C69" s="298"/>
      <c r="D69" s="298"/>
      <c r="E69" s="299"/>
      <c r="F69" s="224"/>
      <c r="G69" s="224"/>
      <c r="K69" s="280"/>
      <c r="L69" s="280"/>
      <c r="M69" s="280"/>
    </row>
    <row r="70" spans="1:13" ht="13">
      <c r="A70" s="248"/>
      <c r="B70" s="224" t="s">
        <v>163</v>
      </c>
      <c r="C70" s="298"/>
      <c r="D70" s="298"/>
      <c r="E70" s="299"/>
      <c r="K70" s="280"/>
      <c r="L70" s="280"/>
      <c r="M70" s="280"/>
    </row>
    <row r="71" spans="1:13" ht="13.5" thickBot="1">
      <c r="A71" s="268"/>
      <c r="B71" s="230" t="s">
        <v>164</v>
      </c>
      <c r="C71" s="319"/>
      <c r="D71" s="319"/>
      <c r="E71" s="320"/>
      <c r="K71" s="280"/>
      <c r="L71" s="280"/>
      <c r="M71" s="280"/>
    </row>
    <row r="72" spans="1:13" ht="13">
      <c r="A72" s="224"/>
      <c r="B72" s="224"/>
      <c r="C72" s="298"/>
      <c r="D72" s="298"/>
      <c r="E72" s="321"/>
      <c r="K72" s="280"/>
      <c r="L72" s="280"/>
      <c r="M72" s="280"/>
    </row>
    <row r="73" spans="1:13" ht="13.5" thickBot="1">
      <c r="A73" s="224"/>
      <c r="B73" s="224"/>
      <c r="C73" s="298"/>
      <c r="D73" s="298"/>
      <c r="E73" s="321"/>
      <c r="K73" s="280"/>
      <c r="L73" s="280"/>
      <c r="M73" s="280"/>
    </row>
    <row r="74" spans="1:13" ht="15.5">
      <c r="A74" s="322" t="s">
        <v>92</v>
      </c>
      <c r="B74" s="323"/>
      <c r="C74" s="324"/>
      <c r="D74" s="324"/>
      <c r="E74" s="325"/>
      <c r="K74" s="280"/>
      <c r="L74" s="280"/>
      <c r="M74" s="280"/>
    </row>
    <row r="75" spans="1:13" ht="13">
      <c r="A75" s="380" t="s">
        <v>212</v>
      </c>
      <c r="B75" s="381"/>
      <c r="C75" s="381"/>
      <c r="D75" s="381"/>
      <c r="E75" s="382"/>
      <c r="K75" s="280"/>
      <c r="L75" s="280"/>
      <c r="M75" s="280"/>
    </row>
    <row r="76" spans="1:13" ht="12.75" customHeight="1">
      <c r="A76" s="248"/>
      <c r="B76" s="224"/>
      <c r="C76" s="281" t="s">
        <v>156</v>
      </c>
      <c r="D76" s="282" t="s">
        <v>156</v>
      </c>
      <c r="E76" s="283" t="s">
        <v>159</v>
      </c>
      <c r="K76" s="376"/>
      <c r="L76" s="376"/>
      <c r="M76" s="280"/>
    </row>
    <row r="77" spans="1:13" ht="13">
      <c r="A77" s="286" t="s">
        <v>107</v>
      </c>
      <c r="B77" s="224"/>
      <c r="C77" s="326">
        <f>VLOOKUP($A$1,'List of ROE by TO'!$B$8:$E$29,3,FALSE)</f>
        <v>0.12379999999999999</v>
      </c>
      <c r="D77" s="326">
        <f>VLOOKUP($A$1,'List of ROE by TO'!$B$8:$E$29,4,FALSE)</f>
        <v>0.1082</v>
      </c>
      <c r="E77" s="283" t="s">
        <v>158</v>
      </c>
      <c r="K77" s="285"/>
      <c r="L77" s="285"/>
      <c r="M77" s="280"/>
    </row>
    <row r="78" spans="1:13" ht="30" customHeight="1">
      <c r="A78" s="378" t="s">
        <v>184</v>
      </c>
      <c r="B78" s="379"/>
      <c r="C78" s="297">
        <v>18629106</v>
      </c>
      <c r="D78" s="297">
        <v>17353230</v>
      </c>
      <c r="E78" s="244"/>
      <c r="K78" s="288"/>
      <c r="L78" s="288"/>
      <c r="M78" s="280"/>
    </row>
    <row r="79" spans="1:13">
      <c r="A79" s="248" t="s">
        <v>219</v>
      </c>
      <c r="B79" s="224"/>
      <c r="C79" s="263">
        <f>$I$30</f>
        <v>0.77370000000000005</v>
      </c>
      <c r="D79" s="263">
        <f>$I$34</f>
        <v>0.2263</v>
      </c>
      <c r="E79" s="244"/>
      <c r="K79" s="291"/>
      <c r="L79" s="291"/>
      <c r="M79" s="280"/>
    </row>
    <row r="80" spans="1:13" ht="15.5">
      <c r="A80" s="327" t="s">
        <v>108</v>
      </c>
      <c r="B80" s="242"/>
      <c r="C80" s="298">
        <f>ROUND(C78*C79,0)</f>
        <v>14413339</v>
      </c>
      <c r="D80" s="298">
        <f>ROUND(D78*D79,0)</f>
        <v>3927036</v>
      </c>
      <c r="E80" s="328">
        <f>ROUND(C80+D80,0)</f>
        <v>18340375</v>
      </c>
      <c r="K80" s="288"/>
      <c r="L80" s="329"/>
      <c r="M80" s="292"/>
    </row>
    <row r="81" spans="1:13" ht="13">
      <c r="A81" s="248"/>
      <c r="B81" s="242"/>
      <c r="C81" s="298"/>
      <c r="D81" s="298"/>
      <c r="E81" s="299"/>
      <c r="K81" s="280"/>
      <c r="L81" s="280"/>
      <c r="M81" s="280"/>
    </row>
    <row r="82" spans="1:13" ht="16.5">
      <c r="A82" s="248" t="s">
        <v>255</v>
      </c>
      <c r="B82" s="224"/>
      <c r="C82" s="330"/>
      <c r="D82" s="224"/>
      <c r="E82" s="331">
        <v>18053801.269999996</v>
      </c>
      <c r="G82" s="224" t="s">
        <v>214</v>
      </c>
      <c r="H82" s="224"/>
      <c r="I82" s="224"/>
      <c r="K82" s="280"/>
      <c r="L82" s="280"/>
      <c r="M82" s="280"/>
    </row>
    <row r="83" spans="1:13" ht="13">
      <c r="A83" s="248"/>
      <c r="B83" s="224"/>
      <c r="C83" s="332"/>
      <c r="D83" s="224"/>
      <c r="E83" s="333"/>
      <c r="G83" s="289" t="s">
        <v>215</v>
      </c>
      <c r="H83" s="224"/>
      <c r="I83" s="224"/>
      <c r="K83" s="280"/>
      <c r="L83" s="280"/>
      <c r="M83" s="280"/>
    </row>
    <row r="84" spans="1:13" ht="13">
      <c r="A84" s="286" t="s">
        <v>109</v>
      </c>
      <c r="B84" s="224"/>
      <c r="C84" s="332"/>
      <c r="D84" s="224"/>
      <c r="E84" s="333">
        <f>ROUND(E80-E82,0)</f>
        <v>286574</v>
      </c>
      <c r="G84" s="289" t="s">
        <v>216</v>
      </c>
      <c r="H84" s="224"/>
      <c r="I84" s="224"/>
      <c r="K84" s="280"/>
      <c r="L84" s="280"/>
      <c r="M84" s="280"/>
    </row>
    <row r="85" spans="1:13" ht="13">
      <c r="A85" s="248"/>
      <c r="B85" s="224"/>
      <c r="C85" s="332"/>
      <c r="D85" s="224"/>
      <c r="E85" s="333"/>
      <c r="K85" s="280"/>
      <c r="L85" s="280"/>
      <c r="M85" s="280"/>
    </row>
    <row r="86" spans="1:13" ht="13">
      <c r="A86" s="248"/>
      <c r="B86" s="224"/>
      <c r="C86" s="332"/>
      <c r="D86" s="224"/>
      <c r="E86" s="333"/>
      <c r="K86" s="280"/>
      <c r="L86" s="280"/>
      <c r="M86" s="280"/>
    </row>
    <row r="87" spans="1:13" ht="13">
      <c r="A87" s="248" t="s">
        <v>165</v>
      </c>
      <c r="B87" s="224"/>
      <c r="C87" s="332"/>
      <c r="D87" s="224"/>
      <c r="E87" s="316">
        <f>IF(E84&gt;0,$C$10,$C$9)</f>
        <v>1.578E-3</v>
      </c>
      <c r="K87" s="280"/>
      <c r="L87" s="280"/>
      <c r="M87" s="280"/>
    </row>
    <row r="88" spans="1:13" ht="13">
      <c r="A88" s="248" t="s">
        <v>3</v>
      </c>
      <c r="B88" s="224"/>
      <c r="C88" s="332"/>
      <c r="D88" s="224"/>
      <c r="E88" s="333">
        <f>ROUND(E84*(E87*24),0)</f>
        <v>10853</v>
      </c>
      <c r="K88" s="280"/>
      <c r="L88" s="280"/>
      <c r="M88" s="280"/>
    </row>
    <row r="89" spans="1:13" ht="13">
      <c r="A89" s="248"/>
      <c r="B89" s="224"/>
      <c r="C89" s="332"/>
      <c r="D89" s="224"/>
      <c r="E89" s="333"/>
      <c r="G89" s="210" t="s">
        <v>122</v>
      </c>
      <c r="K89" s="280"/>
      <c r="L89" s="280"/>
      <c r="M89" s="280"/>
    </row>
    <row r="90" spans="1:13" ht="14">
      <c r="A90" s="286" t="s">
        <v>110</v>
      </c>
      <c r="B90" s="224"/>
      <c r="C90" s="332"/>
      <c r="D90" s="224"/>
      <c r="E90" s="334">
        <f>ROUND(E84+E88,0)</f>
        <v>297427</v>
      </c>
      <c r="G90" s="335">
        <f>'2016 GG TU Weighted ROE'!L96</f>
        <v>297428</v>
      </c>
      <c r="H90" s="336">
        <f>E90-G90</f>
        <v>-1</v>
      </c>
      <c r="K90" s="280"/>
      <c r="L90" s="280"/>
      <c r="M90" s="280"/>
    </row>
    <row r="91" spans="1:13" ht="16.5">
      <c r="A91" s="337" t="s">
        <v>187</v>
      </c>
      <c r="B91" s="224"/>
      <c r="C91" s="332"/>
      <c r="D91" s="224"/>
      <c r="E91" s="333"/>
      <c r="K91" s="280"/>
      <c r="L91" s="280"/>
      <c r="M91" s="280"/>
    </row>
    <row r="92" spans="1:13" ht="14.5">
      <c r="A92" s="338" t="s">
        <v>186</v>
      </c>
      <c r="B92" s="224"/>
      <c r="C92" s="332"/>
      <c r="D92" s="224"/>
      <c r="E92" s="333"/>
      <c r="K92" s="280"/>
      <c r="L92" s="280"/>
      <c r="M92" s="280"/>
    </row>
    <row r="93" spans="1:13" ht="15" thickBot="1">
      <c r="A93" s="339" t="s">
        <v>185</v>
      </c>
      <c r="B93" s="230"/>
      <c r="C93" s="340"/>
      <c r="D93" s="230"/>
      <c r="E93" s="341"/>
      <c r="K93" s="280"/>
      <c r="L93" s="280"/>
      <c r="M93" s="280"/>
    </row>
    <row r="94" spans="1:13" ht="13">
      <c r="A94" s="224"/>
      <c r="B94" s="224"/>
      <c r="C94" s="332"/>
      <c r="D94" s="224"/>
      <c r="E94" s="342"/>
      <c r="K94" s="280"/>
      <c r="L94" s="280"/>
      <c r="M94" s="280"/>
    </row>
    <row r="95" spans="1:13" ht="15" thickBot="1">
      <c r="A95" s="224"/>
      <c r="B95" s="224"/>
      <c r="C95" s="224"/>
      <c r="D95" s="224"/>
      <c r="E95" s="343"/>
      <c r="K95" s="280"/>
      <c r="L95" s="280"/>
      <c r="M95" s="280"/>
    </row>
    <row r="96" spans="1:13" ht="15.5">
      <c r="A96" s="344" t="s">
        <v>93</v>
      </c>
      <c r="B96" s="345"/>
      <c r="C96" s="346"/>
      <c r="D96" s="346"/>
      <c r="E96" s="347"/>
      <c r="K96" s="280"/>
      <c r="L96" s="280"/>
      <c r="M96" s="280"/>
    </row>
    <row r="97" spans="1:13" ht="13">
      <c r="A97" s="380" t="s">
        <v>213</v>
      </c>
      <c r="B97" s="381"/>
      <c r="C97" s="381"/>
      <c r="D97" s="381"/>
      <c r="E97" s="382"/>
      <c r="K97" s="280"/>
      <c r="L97" s="280"/>
      <c r="M97" s="280"/>
    </row>
    <row r="98" spans="1:13" ht="12.75" customHeight="1">
      <c r="A98" s="286"/>
      <c r="B98" s="224"/>
      <c r="C98" s="281" t="s">
        <v>156</v>
      </c>
      <c r="D98" s="281" t="s">
        <v>156</v>
      </c>
      <c r="E98" s="283" t="s">
        <v>90</v>
      </c>
      <c r="F98" s="224"/>
      <c r="K98" s="376"/>
      <c r="L98" s="376"/>
      <c r="M98" s="280"/>
    </row>
    <row r="99" spans="1:13" ht="13">
      <c r="A99" s="286" t="s">
        <v>111</v>
      </c>
      <c r="B99" s="224"/>
      <c r="C99" s="326">
        <f>VLOOKUP($A$1,'List of ROE by TO'!$B$8:$E$29,3,FALSE)</f>
        <v>0.12379999999999999</v>
      </c>
      <c r="D99" s="326">
        <f>VLOOKUP($A$1,'List of ROE by TO'!$B$8:$E$29,4,FALSE)</f>
        <v>0.1082</v>
      </c>
      <c r="E99" s="283" t="s">
        <v>158</v>
      </c>
      <c r="F99" s="224"/>
      <c r="K99" s="285"/>
      <c r="L99" s="285"/>
      <c r="M99" s="280"/>
    </row>
    <row r="100" spans="1:13" ht="27.65" customHeight="1">
      <c r="A100" s="378" t="s">
        <v>125</v>
      </c>
      <c r="B100" s="379"/>
      <c r="C100" s="297">
        <v>14215456</v>
      </c>
      <c r="D100" s="297">
        <v>13025191</v>
      </c>
      <c r="E100" s="244"/>
      <c r="F100" s="224"/>
      <c r="K100" s="288"/>
      <c r="L100" s="288"/>
      <c r="M100" s="280"/>
    </row>
    <row r="101" spans="1:13">
      <c r="A101" s="248" t="s">
        <v>219</v>
      </c>
      <c r="B101" s="224"/>
      <c r="C101" s="263">
        <f>$L$30</f>
        <v>0.78610000000000002</v>
      </c>
      <c r="D101" s="263">
        <f>$L$34</f>
        <v>0.21390000000000001</v>
      </c>
      <c r="E101" s="244"/>
      <c r="F101" s="224"/>
      <c r="K101" s="291"/>
      <c r="L101" s="291"/>
      <c r="M101" s="280"/>
    </row>
    <row r="102" spans="1:13" ht="15.5">
      <c r="A102" s="248" t="s">
        <v>112</v>
      </c>
      <c r="B102" s="242"/>
      <c r="C102" s="298">
        <f>ROUND(C100*C101,0)</f>
        <v>11174770</v>
      </c>
      <c r="D102" s="298">
        <f>ROUND(D100*D101,0)</f>
        <v>2786088</v>
      </c>
      <c r="E102" s="299">
        <f>ROUND(C102+D102,0)</f>
        <v>13960858</v>
      </c>
      <c r="F102" s="224"/>
      <c r="K102" s="288"/>
      <c r="L102" s="329"/>
      <c r="M102" s="292"/>
    </row>
    <row r="103" spans="1:13" ht="13">
      <c r="A103" s="248"/>
      <c r="B103" s="242"/>
      <c r="C103" s="298"/>
      <c r="D103" s="298"/>
      <c r="E103" s="299"/>
      <c r="F103" s="224"/>
      <c r="K103" s="280"/>
      <c r="L103" s="280"/>
      <c r="M103" s="280"/>
    </row>
    <row r="104" spans="1:13" ht="16.5">
      <c r="A104" s="248" t="s">
        <v>256</v>
      </c>
      <c r="B104" s="224"/>
      <c r="C104" s="348"/>
      <c r="D104" s="224"/>
      <c r="E104" s="349">
        <v>12469863</v>
      </c>
      <c r="F104" s="224"/>
      <c r="G104" s="224" t="s">
        <v>214</v>
      </c>
      <c r="H104" s="224"/>
      <c r="I104" s="224"/>
    </row>
    <row r="105" spans="1:13" ht="13">
      <c r="A105" s="248"/>
      <c r="B105" s="224"/>
      <c r="C105" s="332"/>
      <c r="D105" s="224"/>
      <c r="E105" s="244"/>
      <c r="F105" s="224"/>
      <c r="G105" s="289" t="s">
        <v>215</v>
      </c>
      <c r="H105" s="224"/>
      <c r="I105" s="224"/>
    </row>
    <row r="106" spans="1:13" ht="13">
      <c r="A106" s="286" t="s">
        <v>113</v>
      </c>
      <c r="B106" s="224"/>
      <c r="C106" s="332"/>
      <c r="D106" s="224"/>
      <c r="E106" s="333">
        <f>ROUND(E102-E104,0)</f>
        <v>1490995</v>
      </c>
      <c r="F106" s="224"/>
      <c r="G106" s="289" t="s">
        <v>216</v>
      </c>
      <c r="H106" s="224"/>
      <c r="I106" s="224"/>
    </row>
    <row r="107" spans="1:13" ht="13">
      <c r="A107" s="248"/>
      <c r="B107" s="224"/>
      <c r="C107" s="332"/>
      <c r="D107" s="224"/>
      <c r="E107" s="244"/>
      <c r="F107" s="224"/>
    </row>
    <row r="108" spans="1:13" ht="13">
      <c r="A108" s="248" t="s">
        <v>165</v>
      </c>
      <c r="B108" s="224"/>
      <c r="C108" s="332"/>
      <c r="D108" s="224"/>
      <c r="E108" s="350">
        <f>IF($C$1="Individual","n/a",IF($E$106&gt;0,$C$10,$C$9))</f>
        <v>1.578E-3</v>
      </c>
      <c r="F108" s="224"/>
    </row>
    <row r="109" spans="1:13" ht="13">
      <c r="A109" s="248" t="s">
        <v>3</v>
      </c>
      <c r="B109" s="224"/>
      <c r="C109" s="332"/>
      <c r="D109" s="224"/>
      <c r="E109" s="351">
        <f>IF($C$1="Aggregate",($E$106*($E$108*24)),'2016 MM TU Weighted ROE'!K94)</f>
        <v>56466.962640000005</v>
      </c>
      <c r="F109" s="224"/>
    </row>
    <row r="110" spans="1:13" ht="13">
      <c r="A110" s="248"/>
      <c r="B110" s="224"/>
      <c r="C110" s="332"/>
      <c r="D110" s="224"/>
      <c r="E110" s="244"/>
      <c r="F110" s="224"/>
      <c r="G110" s="210" t="s">
        <v>123</v>
      </c>
    </row>
    <row r="111" spans="1:13" ht="14">
      <c r="A111" s="286" t="s">
        <v>114</v>
      </c>
      <c r="B111" s="224"/>
      <c r="C111" s="332"/>
      <c r="D111" s="224"/>
      <c r="E111" s="352">
        <f>ROUND(E106+E109,0)</f>
        <v>1547462</v>
      </c>
      <c r="F111" s="224"/>
      <c r="G111" s="353">
        <f>'2016 MM TU Weighted ROE'!L94</f>
        <v>1547463</v>
      </c>
      <c r="H111" s="336">
        <f>E111-G111</f>
        <v>-1</v>
      </c>
    </row>
    <row r="112" spans="1:13" ht="16.5">
      <c r="A112" s="354" t="s">
        <v>124</v>
      </c>
      <c r="B112" s="224"/>
      <c r="C112" s="332"/>
      <c r="D112" s="224"/>
      <c r="E112" s="244"/>
      <c r="F112" s="224"/>
    </row>
    <row r="113" spans="1:6" ht="14.5">
      <c r="A113" s="338" t="s">
        <v>186</v>
      </c>
      <c r="B113" s="224"/>
      <c r="C113" s="332"/>
      <c r="D113" s="224"/>
      <c r="E113" s="244"/>
      <c r="F113" s="224"/>
    </row>
    <row r="114" spans="1:6" ht="15" thickBot="1">
      <c r="A114" s="339" t="s">
        <v>185</v>
      </c>
      <c r="B114" s="230"/>
      <c r="C114" s="340"/>
      <c r="D114" s="230"/>
      <c r="E114" s="355"/>
    </row>
    <row r="115" spans="1:6" ht="13">
      <c r="A115" s="356"/>
      <c r="B115" s="280"/>
      <c r="C115" s="321"/>
      <c r="D115" s="213"/>
    </row>
    <row r="116" spans="1:6" ht="13">
      <c r="A116" s="357"/>
      <c r="B116" s="213"/>
      <c r="C116" s="213"/>
      <c r="D116" s="213"/>
    </row>
    <row r="117" spans="1:6" ht="13">
      <c r="A117" s="357"/>
      <c r="B117" s="213"/>
      <c r="C117" s="213"/>
      <c r="D117" s="213"/>
    </row>
    <row r="118" spans="1:6">
      <c r="A118" s="234"/>
      <c r="B118" s="213"/>
      <c r="C118" s="213"/>
      <c r="D118" s="213"/>
    </row>
    <row r="119" spans="1:6">
      <c r="A119" s="234"/>
      <c r="B119" s="213"/>
      <c r="C119" s="213"/>
      <c r="D119" s="213"/>
    </row>
    <row r="120" spans="1:6">
      <c r="A120" s="213"/>
      <c r="B120" s="213"/>
      <c r="C120" s="213"/>
      <c r="D120" s="213"/>
    </row>
    <row r="121" spans="1:6">
      <c r="A121" s="213"/>
      <c r="B121" s="213"/>
      <c r="C121" s="213"/>
      <c r="D121" s="213"/>
    </row>
  </sheetData>
  <mergeCells count="9">
    <mergeCell ref="A100:B100"/>
    <mergeCell ref="A78:B78"/>
    <mergeCell ref="A75:E75"/>
    <mergeCell ref="A97:E97"/>
    <mergeCell ref="K38:L38"/>
    <mergeCell ref="K46:L46"/>
    <mergeCell ref="K76:L76"/>
    <mergeCell ref="K98:L98"/>
    <mergeCell ref="C19:F19"/>
  </mergeCells>
  <pageMargins left="0.45" right="0.45" top="0.25" bottom="0.5" header="0.3" footer="0.1"/>
  <pageSetup scale="70" orientation="landscape" r:id="rId1"/>
  <headerFooter>
    <oddHeader>&amp;R&amp;A</oddHeader>
    <oddFooter>&amp;R&amp;D  Filename:  &amp;F &amp;  Tab: &amp;A</oddFooter>
  </headerFooter>
  <rowBreaks count="2" manualBreakCount="2">
    <brk id="36" max="11" man="1"/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878"/>
  <sheetViews>
    <sheetView topLeftCell="C76" workbookViewId="0">
      <selection activeCell="L84" sqref="L84"/>
    </sheetView>
  </sheetViews>
  <sheetFormatPr defaultColWidth="11.453125" defaultRowHeight="14.5"/>
  <cols>
    <col min="1" max="1" width="1.6328125" style="5" customWidth="1"/>
    <col min="2" max="2" width="5.453125" style="5" customWidth="1"/>
    <col min="3" max="3" width="37.453125" style="5" customWidth="1"/>
    <col min="4" max="4" width="10.54296875" style="5" customWidth="1"/>
    <col min="5" max="5" width="13" style="5" customWidth="1"/>
    <col min="6" max="6" width="15.453125" style="5" customWidth="1"/>
    <col min="7" max="7" width="16.6328125" style="5" customWidth="1"/>
    <col min="8" max="8" width="15.90625" style="5" customWidth="1"/>
    <col min="9" max="9" width="13.453125" style="5" customWidth="1"/>
    <col min="10" max="10" width="11.6328125" style="5" customWidth="1"/>
    <col min="11" max="11" width="13" style="5" customWidth="1"/>
    <col min="12" max="12" width="14.453125" style="5" customWidth="1"/>
    <col min="13" max="13" width="2.54296875" style="5" customWidth="1"/>
    <col min="14" max="14" width="18.36328125" style="5" customWidth="1"/>
    <col min="15" max="15" width="16.453125" style="5" customWidth="1"/>
    <col min="16" max="16" width="13.90625" style="5" customWidth="1"/>
    <col min="17" max="16384" width="11.453125" style="5"/>
  </cols>
  <sheetData>
    <row r="1" spans="2:33">
      <c r="B1" s="138" t="s">
        <v>154</v>
      </c>
    </row>
    <row r="2" spans="2:33">
      <c r="B2" s="185" t="s">
        <v>207</v>
      </c>
    </row>
    <row r="3" spans="2:33">
      <c r="B3" s="138" t="s">
        <v>126</v>
      </c>
    </row>
    <row r="4" spans="2:33" ht="15" thickBot="1"/>
    <row r="5" spans="2:33" s="4" customFormat="1" ht="18.5">
      <c r="B5" s="46" t="s">
        <v>152</v>
      </c>
      <c r="C5" s="47"/>
      <c r="D5" s="47"/>
      <c r="E5" s="47"/>
      <c r="F5" s="153">
        <f>VLOOKUP(D7,'List of ROE by TO'!$B$8:$E$29,3,FALSE)</f>
        <v>0.12379999999999999</v>
      </c>
      <c r="G5" s="47"/>
      <c r="H5" s="47"/>
      <c r="I5" s="47"/>
      <c r="J5" s="47"/>
      <c r="K5" s="47"/>
      <c r="L5" s="48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</row>
    <row r="6" spans="2:33">
      <c r="B6" s="49" t="s">
        <v>19</v>
      </c>
      <c r="C6" s="50"/>
      <c r="D6" s="50"/>
      <c r="E6" s="50"/>
      <c r="F6" s="50"/>
      <c r="G6" s="50"/>
      <c r="H6" s="50"/>
      <c r="I6" s="50"/>
      <c r="J6" s="50"/>
      <c r="K6" s="50"/>
      <c r="L6" s="5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2:33" ht="18.5">
      <c r="B7" s="49"/>
      <c r="C7" s="52" t="s">
        <v>20</v>
      </c>
      <c r="D7" s="135" t="str">
        <f>'2016 TU'!A1</f>
        <v>OTP</v>
      </c>
      <c r="E7" s="50"/>
      <c r="F7" s="50"/>
      <c r="G7" s="50"/>
      <c r="H7" s="50"/>
      <c r="I7" s="50"/>
      <c r="J7" s="50"/>
      <c r="K7" s="50"/>
      <c r="L7" s="5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2:33">
      <c r="B8" s="55" t="s">
        <v>22</v>
      </c>
      <c r="C8" s="9" t="s">
        <v>23</v>
      </c>
      <c r="D8" s="9" t="s">
        <v>24</v>
      </c>
      <c r="E8" s="9" t="s">
        <v>25</v>
      </c>
      <c r="F8" s="9" t="s">
        <v>26</v>
      </c>
      <c r="G8" s="9" t="s">
        <v>27</v>
      </c>
      <c r="H8" s="9" t="s">
        <v>28</v>
      </c>
      <c r="I8" s="9" t="s">
        <v>29</v>
      </c>
      <c r="J8" s="9" t="s">
        <v>30</v>
      </c>
      <c r="K8" s="9" t="s">
        <v>31</v>
      </c>
      <c r="L8" s="56" t="s">
        <v>32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2:33">
      <c r="B9" s="57"/>
      <c r="C9" s="6"/>
      <c r="D9" s="6"/>
      <c r="E9" s="6"/>
      <c r="F9" s="6"/>
      <c r="G9" s="7" t="s">
        <v>33</v>
      </c>
      <c r="H9" s="6"/>
      <c r="I9" s="6"/>
      <c r="J9" s="6"/>
      <c r="K9" s="6"/>
      <c r="L9" s="58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2:33">
      <c r="B10" s="53"/>
      <c r="C10" s="8"/>
      <c r="D10" s="8"/>
      <c r="E10" s="8"/>
      <c r="F10" s="9" t="s">
        <v>34</v>
      </c>
      <c r="G10" s="9" t="s">
        <v>35</v>
      </c>
      <c r="H10" s="9" t="s">
        <v>33</v>
      </c>
      <c r="I10" s="9" t="s">
        <v>36</v>
      </c>
      <c r="J10" s="9"/>
      <c r="K10" s="9"/>
      <c r="L10" s="5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2:33">
      <c r="B11" s="53"/>
      <c r="C11" s="8"/>
      <c r="D11" s="9" t="s">
        <v>38</v>
      </c>
      <c r="E11" s="9" t="s">
        <v>33</v>
      </c>
      <c r="F11" s="9" t="s">
        <v>39</v>
      </c>
      <c r="G11" s="9" t="s">
        <v>40</v>
      </c>
      <c r="H11" s="9" t="s">
        <v>39</v>
      </c>
      <c r="I11" s="9" t="s">
        <v>41</v>
      </c>
      <c r="J11" s="9"/>
      <c r="K11" s="9"/>
      <c r="L11" s="56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2:33">
      <c r="B12" s="55" t="s">
        <v>43</v>
      </c>
      <c r="C12" s="9" t="s">
        <v>44</v>
      </c>
      <c r="D12" s="9" t="s">
        <v>44</v>
      </c>
      <c r="E12" s="9" t="s">
        <v>35</v>
      </c>
      <c r="F12" s="9" t="s">
        <v>5</v>
      </c>
      <c r="G12" s="9" t="s">
        <v>45</v>
      </c>
      <c r="H12" s="9" t="s">
        <v>5</v>
      </c>
      <c r="I12" s="9" t="s">
        <v>46</v>
      </c>
      <c r="J12" s="9"/>
      <c r="K12" s="9"/>
      <c r="L12" s="56"/>
      <c r="N12" s="383"/>
      <c r="O12" s="21"/>
      <c r="P12" s="383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2:33" ht="17.25" customHeight="1">
      <c r="B13" s="59" t="s">
        <v>48</v>
      </c>
      <c r="C13" s="10" t="s">
        <v>49</v>
      </c>
      <c r="D13" s="10" t="s">
        <v>50</v>
      </c>
      <c r="E13" s="163" t="s">
        <v>189</v>
      </c>
      <c r="F13" s="10" t="s">
        <v>51</v>
      </c>
      <c r="G13" s="10" t="s">
        <v>52</v>
      </c>
      <c r="H13" s="10" t="s">
        <v>51</v>
      </c>
      <c r="I13" s="10" t="s">
        <v>53</v>
      </c>
      <c r="J13" s="10"/>
      <c r="K13" s="10"/>
      <c r="L13" s="60"/>
      <c r="N13" s="383"/>
      <c r="O13" s="21"/>
      <c r="P13" s="383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2:33" ht="15" customHeight="1">
      <c r="B14" s="53"/>
      <c r="C14" s="8"/>
      <c r="D14" s="8"/>
      <c r="E14" s="8"/>
      <c r="F14" s="11" t="s">
        <v>34</v>
      </c>
      <c r="G14" s="11" t="s">
        <v>54</v>
      </c>
      <c r="H14" s="11" t="s">
        <v>33</v>
      </c>
      <c r="I14" s="8"/>
      <c r="J14" s="8"/>
      <c r="K14" s="8"/>
      <c r="L14" s="54"/>
      <c r="N14" s="383"/>
      <c r="O14" s="383"/>
      <c r="P14" s="383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2:33" ht="15" customHeight="1">
      <c r="B15" s="53"/>
      <c r="C15" s="8"/>
      <c r="D15" s="8"/>
      <c r="E15" s="8"/>
      <c r="F15" s="11" t="s">
        <v>35</v>
      </c>
      <c r="G15" s="11" t="s">
        <v>55</v>
      </c>
      <c r="H15" s="11" t="s">
        <v>35</v>
      </c>
      <c r="I15" s="8"/>
      <c r="J15" s="11"/>
      <c r="K15" s="11"/>
      <c r="L15" s="54"/>
      <c r="N15" s="383"/>
      <c r="O15" s="383"/>
      <c r="P15" s="383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2:33" ht="16.5">
      <c r="B16" s="61"/>
      <c r="C16" s="12"/>
      <c r="D16" s="12"/>
      <c r="E16" s="12"/>
      <c r="F16" s="13" t="s">
        <v>57</v>
      </c>
      <c r="G16" s="14" t="s">
        <v>58</v>
      </c>
      <c r="H16" s="13" t="s">
        <v>57</v>
      </c>
      <c r="I16" s="14" t="s">
        <v>59</v>
      </c>
      <c r="J16" s="14"/>
      <c r="K16" s="14"/>
      <c r="L16" s="60"/>
      <c r="N16" s="383"/>
      <c r="O16" s="383"/>
      <c r="P16" s="383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2:33" ht="9.75" customHeight="1">
      <c r="B17" s="57"/>
      <c r="C17" s="6"/>
      <c r="D17" s="6"/>
      <c r="E17" s="6"/>
      <c r="F17" s="6"/>
      <c r="G17" s="6"/>
      <c r="H17" s="6"/>
      <c r="I17" s="6"/>
      <c r="J17" s="6"/>
      <c r="K17" s="6"/>
      <c r="L17" s="58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2:33" ht="32.25" customHeight="1">
      <c r="B18" s="62">
        <v>1</v>
      </c>
      <c r="C18" s="384" t="s">
        <v>63</v>
      </c>
      <c r="D18" s="384"/>
      <c r="E18" s="24">
        <f>'2016 TU'!E82</f>
        <v>18053801.269999996</v>
      </c>
      <c r="F18" s="8"/>
      <c r="G18" s="8"/>
      <c r="H18" s="8"/>
      <c r="I18" s="8"/>
      <c r="J18" s="8"/>
      <c r="K18" s="8"/>
      <c r="L18" s="54"/>
      <c r="N18" s="21"/>
      <c r="O18" s="146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2:33" ht="13.5" customHeight="1">
      <c r="B19" s="55"/>
      <c r="C19" s="8"/>
      <c r="D19" s="8"/>
      <c r="E19" s="8"/>
      <c r="F19" s="8"/>
      <c r="G19" s="8"/>
      <c r="H19" s="8"/>
      <c r="I19" s="8"/>
      <c r="J19" s="8"/>
      <c r="K19" s="8"/>
      <c r="L19" s="54"/>
      <c r="N19" s="146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2:33">
      <c r="B20" s="55" t="s">
        <v>64</v>
      </c>
      <c r="C20" s="203" t="s">
        <v>231</v>
      </c>
      <c r="D20" s="139">
        <v>279</v>
      </c>
      <c r="E20" s="16"/>
      <c r="F20" s="141">
        <v>2750804.1814503414</v>
      </c>
      <c r="G20" s="16">
        <f t="shared" ref="G20:G29" si="0">IF(F20=0,0,ROUND($E$18*(F20/$F$31),0))</f>
        <v>2636227</v>
      </c>
      <c r="H20" s="141">
        <v>2723585.5847265017</v>
      </c>
      <c r="I20" s="17">
        <f>ROUND(+H20-G20,0)</f>
        <v>87359</v>
      </c>
      <c r="J20" s="18"/>
      <c r="K20" s="17"/>
      <c r="L20" s="63"/>
      <c r="N20" s="147"/>
      <c r="O20" s="21"/>
      <c r="P20" s="147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2:33">
      <c r="B21" s="55" t="s">
        <v>65</v>
      </c>
      <c r="C21" s="203" t="s">
        <v>232</v>
      </c>
      <c r="D21" s="139">
        <v>286</v>
      </c>
      <c r="E21" s="16"/>
      <c r="F21" s="141">
        <v>13340954.081766402</v>
      </c>
      <c r="G21" s="16">
        <f t="shared" si="0"/>
        <v>12785276</v>
      </c>
      <c r="H21" s="141">
        <v>13188352.487360362</v>
      </c>
      <c r="I21" s="17">
        <f t="shared" ref="I21:I29" si="1">ROUND(+H21-G21,0)</f>
        <v>403076</v>
      </c>
      <c r="J21" s="18"/>
      <c r="K21" s="17"/>
      <c r="L21" s="63"/>
      <c r="N21" s="147"/>
      <c r="O21" s="21"/>
      <c r="P21" s="147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2:33">
      <c r="B22" s="55" t="s">
        <v>66</v>
      </c>
      <c r="C22" s="203" t="s">
        <v>233</v>
      </c>
      <c r="D22" s="140">
        <v>1462</v>
      </c>
      <c r="E22" s="16"/>
      <c r="F22" s="141">
        <v>65325.515346034794</v>
      </c>
      <c r="G22" s="16">
        <f t="shared" si="0"/>
        <v>62605</v>
      </c>
      <c r="H22" s="141">
        <v>64653.084663898284</v>
      </c>
      <c r="I22" s="17">
        <f t="shared" si="1"/>
        <v>2048</v>
      </c>
      <c r="J22" s="18"/>
      <c r="K22" s="17"/>
      <c r="L22" s="63"/>
      <c r="N22" s="147"/>
      <c r="O22" s="21"/>
      <c r="P22" s="147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2:33">
      <c r="B23" s="55" t="s">
        <v>67</v>
      </c>
      <c r="C23" s="203" t="s">
        <v>234</v>
      </c>
      <c r="D23" s="139">
        <v>3156</v>
      </c>
      <c r="E23" s="16"/>
      <c r="F23" s="141">
        <v>1175996.8411636213</v>
      </c>
      <c r="G23" s="16">
        <f t="shared" si="0"/>
        <v>1127014</v>
      </c>
      <c r="H23" s="141">
        <v>1163981.7360654832</v>
      </c>
      <c r="I23" s="17">
        <f t="shared" si="1"/>
        <v>36968</v>
      </c>
      <c r="J23" s="18"/>
      <c r="K23" s="17"/>
      <c r="L23" s="63"/>
      <c r="N23" s="147"/>
      <c r="O23" s="21"/>
      <c r="P23" s="147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2:33" s="20" customFormat="1">
      <c r="B24" s="64" t="s">
        <v>82</v>
      </c>
      <c r="C24" s="15" t="s">
        <v>235</v>
      </c>
      <c r="D24" s="139">
        <v>3481</v>
      </c>
      <c r="E24" s="19"/>
      <c r="F24" s="141">
        <v>1369735.3451375093</v>
      </c>
      <c r="G24" s="16">
        <f t="shared" si="0"/>
        <v>1312683</v>
      </c>
      <c r="H24" s="141">
        <v>1355969.7524144598</v>
      </c>
      <c r="I24" s="17">
        <f t="shared" si="1"/>
        <v>43287</v>
      </c>
      <c r="J24" s="18"/>
      <c r="K24" s="17"/>
      <c r="L24" s="63"/>
      <c r="N24" s="147"/>
      <c r="O24" s="21"/>
      <c r="P24" s="147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2:33" s="20" customFormat="1">
      <c r="B25" s="64" t="s">
        <v>83</v>
      </c>
      <c r="C25" s="15" t="s">
        <v>236</v>
      </c>
      <c r="D25" s="139">
        <v>2750</v>
      </c>
      <c r="E25" s="21"/>
      <c r="F25" s="141">
        <v>133006.38596010773</v>
      </c>
      <c r="G25" s="16">
        <f t="shared" si="0"/>
        <v>127466</v>
      </c>
      <c r="H25" s="141">
        <v>113695.18849490878</v>
      </c>
      <c r="I25" s="17">
        <f t="shared" si="1"/>
        <v>-13771</v>
      </c>
      <c r="J25" s="18"/>
      <c r="K25" s="17"/>
      <c r="L25" s="63"/>
      <c r="N25" s="147"/>
      <c r="O25" s="21"/>
      <c r="P25" s="147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2:33" s="20" customFormat="1">
      <c r="B26" s="64" t="s">
        <v>84</v>
      </c>
      <c r="C26" s="15" t="s">
        <v>237</v>
      </c>
      <c r="D26" s="139">
        <v>8240</v>
      </c>
      <c r="E26" s="21"/>
      <c r="F26" s="141">
        <v>2640.1777232708273</v>
      </c>
      <c r="G26" s="16">
        <f t="shared" si="0"/>
        <v>2530</v>
      </c>
      <c r="H26" s="141">
        <v>18868.562910817429</v>
      </c>
      <c r="I26" s="17">
        <f t="shared" si="1"/>
        <v>16339</v>
      </c>
      <c r="J26" s="18"/>
      <c r="K26" s="17"/>
      <c r="L26" s="63"/>
      <c r="N26" s="147"/>
      <c r="O26" s="21"/>
      <c r="P26" s="147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2:33" s="20" customFormat="1">
      <c r="B27" s="64" t="s">
        <v>85</v>
      </c>
      <c r="C27" s="15"/>
      <c r="D27" s="139">
        <v>0</v>
      </c>
      <c r="E27" s="21"/>
      <c r="F27" s="141">
        <v>0</v>
      </c>
      <c r="G27" s="16">
        <f t="shared" si="0"/>
        <v>0</v>
      </c>
      <c r="H27" s="141">
        <v>0</v>
      </c>
      <c r="I27" s="17">
        <f t="shared" si="1"/>
        <v>0</v>
      </c>
      <c r="J27" s="18"/>
      <c r="K27" s="17"/>
      <c r="L27" s="63"/>
      <c r="N27" s="147"/>
      <c r="O27" s="21"/>
      <c r="P27" s="147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2:33" s="20" customFormat="1">
      <c r="B28" s="64" t="s">
        <v>86</v>
      </c>
      <c r="C28" s="15"/>
      <c r="D28" s="139">
        <v>0</v>
      </c>
      <c r="E28" s="21"/>
      <c r="F28" s="141">
        <v>0</v>
      </c>
      <c r="G28" s="16">
        <f t="shared" si="0"/>
        <v>0</v>
      </c>
      <c r="H28" s="141">
        <v>0</v>
      </c>
      <c r="I28" s="17">
        <f t="shared" si="1"/>
        <v>0</v>
      </c>
      <c r="J28" s="18"/>
      <c r="K28" s="17"/>
      <c r="L28" s="63"/>
      <c r="N28" s="147"/>
      <c r="O28" s="21"/>
      <c r="P28" s="147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2:33" s="20" customFormat="1">
      <c r="B29" s="161" t="s">
        <v>87</v>
      </c>
      <c r="C29" s="15"/>
      <c r="D29" s="139">
        <v>0</v>
      </c>
      <c r="E29" s="21"/>
      <c r="F29" s="141">
        <v>0</v>
      </c>
      <c r="G29" s="16">
        <f t="shared" si="0"/>
        <v>0</v>
      </c>
      <c r="H29" s="141">
        <v>0</v>
      </c>
      <c r="I29" s="17">
        <f t="shared" si="1"/>
        <v>0</v>
      </c>
      <c r="J29" s="18"/>
      <c r="K29" s="17"/>
      <c r="L29" s="63"/>
      <c r="N29" s="147"/>
      <c r="O29" s="21"/>
      <c r="P29" s="147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2:33">
      <c r="B30" s="59"/>
      <c r="C30" s="12"/>
      <c r="D30" s="12"/>
      <c r="E30" s="12"/>
      <c r="F30" s="12"/>
      <c r="G30" s="12"/>
      <c r="H30" s="12"/>
      <c r="I30" s="12"/>
      <c r="J30" s="12"/>
      <c r="K30" s="12"/>
      <c r="L30" s="65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2:33">
      <c r="B31" s="55">
        <v>3</v>
      </c>
      <c r="C31" s="8" t="s">
        <v>68</v>
      </c>
      <c r="D31" s="8"/>
      <c r="E31" s="66"/>
      <c r="F31" s="66">
        <f>SUM(F20:F30)</f>
        <v>18838462.528547291</v>
      </c>
      <c r="G31" s="66">
        <f>SUM(G20:G30)</f>
        <v>18053801</v>
      </c>
      <c r="H31" s="66">
        <f>SUM(H20:H30)</f>
        <v>18629106.396636434</v>
      </c>
      <c r="I31" s="66"/>
      <c r="J31" s="8"/>
      <c r="K31" s="8"/>
      <c r="L31" s="54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2:33">
      <c r="B32" s="55">
        <v>4</v>
      </c>
      <c r="C32" s="8" t="s">
        <v>69</v>
      </c>
      <c r="D32" s="8"/>
      <c r="E32" s="8"/>
      <c r="F32" s="8"/>
      <c r="G32" s="8"/>
      <c r="H32" s="8"/>
      <c r="I32" s="66">
        <f>SUM(I20:I30)</f>
        <v>575306</v>
      </c>
      <c r="J32" s="8"/>
      <c r="K32" s="66"/>
      <c r="L32" s="67"/>
      <c r="N32" s="24"/>
      <c r="O32" s="21"/>
      <c r="P32" s="24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2:33">
      <c r="B33" s="55"/>
      <c r="C33" s="8"/>
      <c r="D33" s="8"/>
      <c r="E33" s="8"/>
      <c r="F33" s="8"/>
      <c r="G33" s="8"/>
      <c r="H33" s="8"/>
      <c r="I33" s="66"/>
      <c r="J33" s="8"/>
      <c r="K33" s="66"/>
      <c r="L33" s="67"/>
      <c r="N33" s="24"/>
      <c r="O33" s="21"/>
      <c r="P33" s="24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2:33" ht="15.75" customHeight="1">
      <c r="B34" s="68" t="s">
        <v>71</v>
      </c>
      <c r="C34" s="164" t="s">
        <v>202</v>
      </c>
      <c r="D34" s="21"/>
      <c r="E34" s="21"/>
      <c r="F34" s="21"/>
      <c r="G34" s="21"/>
      <c r="H34" s="8"/>
      <c r="I34" s="8"/>
      <c r="J34" s="69"/>
      <c r="K34" s="8"/>
      <c r="L34" s="54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2:33" ht="15.75" customHeight="1">
      <c r="B35" s="68"/>
      <c r="C35" s="166" t="s">
        <v>188</v>
      </c>
      <c r="D35" s="2"/>
      <c r="E35" s="3"/>
      <c r="F35" s="2"/>
      <c r="G35" s="41"/>
      <c r="H35" s="8"/>
      <c r="I35" s="8"/>
      <c r="J35" s="69"/>
      <c r="K35" s="8"/>
      <c r="L35" s="54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2:33" ht="15.75" customHeight="1" thickBot="1">
      <c r="B36" s="70" t="s">
        <v>72</v>
      </c>
      <c r="C36" s="71" t="s">
        <v>73</v>
      </c>
      <c r="D36" s="71"/>
      <c r="E36" s="71"/>
      <c r="F36" s="71"/>
      <c r="G36" s="71"/>
      <c r="H36" s="71"/>
      <c r="I36" s="71"/>
      <c r="J36" s="71"/>
      <c r="K36" s="71"/>
      <c r="L36" s="72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2:33" ht="15.75" customHeight="1" thickBot="1"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2:33" s="4" customFormat="1" ht="18.5">
      <c r="B38" s="73" t="s">
        <v>153</v>
      </c>
      <c r="C38" s="74"/>
      <c r="D38" s="74"/>
      <c r="E38" s="74"/>
      <c r="F38" s="154">
        <f>VLOOKUP(D40,'List of ROE by TO'!$B$8:$E$29,4,FALSE)</f>
        <v>0.1082</v>
      </c>
      <c r="G38" s="74"/>
      <c r="H38" s="74"/>
      <c r="I38" s="74"/>
      <c r="J38" s="74"/>
      <c r="K38" s="74"/>
      <c r="L38" s="7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</row>
    <row r="39" spans="2:33">
      <c r="B39" s="76" t="s">
        <v>19</v>
      </c>
      <c r="C39" s="77"/>
      <c r="D39" s="77"/>
      <c r="E39" s="77"/>
      <c r="F39" s="77"/>
      <c r="G39" s="77"/>
      <c r="H39" s="77"/>
      <c r="I39" s="77"/>
      <c r="J39" s="77"/>
      <c r="K39" s="77"/>
      <c r="L39" s="78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2:33" ht="18.5">
      <c r="B40" s="76"/>
      <c r="C40" s="79" t="s">
        <v>20</v>
      </c>
      <c r="D40" s="136" t="str">
        <f>D7</f>
        <v>OTP</v>
      </c>
      <c r="E40" s="77"/>
      <c r="F40" s="77"/>
      <c r="G40" s="77"/>
      <c r="H40" s="77"/>
      <c r="I40" s="77"/>
      <c r="J40" s="77"/>
      <c r="K40" s="77"/>
      <c r="L40" s="78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2:33">
      <c r="B41" s="76"/>
      <c r="C41" s="79" t="s">
        <v>21</v>
      </c>
      <c r="D41" s="80">
        <v>2016</v>
      </c>
      <c r="E41" s="77"/>
      <c r="F41" s="77"/>
      <c r="G41" s="77"/>
      <c r="H41" s="77"/>
      <c r="I41" s="77"/>
      <c r="J41" s="77"/>
      <c r="K41" s="77"/>
      <c r="L41" s="78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2:33">
      <c r="B42" s="55" t="s">
        <v>22</v>
      </c>
      <c r="C42" s="9" t="s">
        <v>23</v>
      </c>
      <c r="D42" s="9" t="s">
        <v>24</v>
      </c>
      <c r="E42" s="9" t="s">
        <v>25</v>
      </c>
      <c r="F42" s="9" t="s">
        <v>26</v>
      </c>
      <c r="G42" s="9" t="s">
        <v>27</v>
      </c>
      <c r="H42" s="9" t="s">
        <v>28</v>
      </c>
      <c r="I42" s="9" t="s">
        <v>29</v>
      </c>
      <c r="J42" s="9" t="s">
        <v>30</v>
      </c>
      <c r="K42" s="9" t="s">
        <v>31</v>
      </c>
      <c r="L42" s="56" t="s">
        <v>32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2:33">
      <c r="B43" s="57"/>
      <c r="C43" s="6"/>
      <c r="D43" s="6"/>
      <c r="E43" s="6"/>
      <c r="F43" s="6"/>
      <c r="G43" s="7" t="s">
        <v>33</v>
      </c>
      <c r="H43" s="6"/>
      <c r="I43" s="6"/>
      <c r="J43" s="6"/>
      <c r="K43" s="6"/>
      <c r="L43" s="58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2:33">
      <c r="B44" s="53"/>
      <c r="C44" s="8"/>
      <c r="D44" s="8"/>
      <c r="E44" s="8"/>
      <c r="F44" s="9" t="s">
        <v>34</v>
      </c>
      <c r="G44" s="9" t="s">
        <v>35</v>
      </c>
      <c r="H44" s="9" t="s">
        <v>33</v>
      </c>
      <c r="I44" s="9" t="s">
        <v>36</v>
      </c>
      <c r="J44" s="9"/>
      <c r="K44" s="9"/>
      <c r="L44" s="54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2:33">
      <c r="B45" s="53"/>
      <c r="C45" s="8"/>
      <c r="D45" s="9" t="s">
        <v>38</v>
      </c>
      <c r="E45" s="9" t="s">
        <v>33</v>
      </c>
      <c r="F45" s="9" t="s">
        <v>39</v>
      </c>
      <c r="G45" s="9" t="s">
        <v>40</v>
      </c>
      <c r="H45" s="9" t="s">
        <v>39</v>
      </c>
      <c r="I45" s="9" t="s">
        <v>41</v>
      </c>
      <c r="J45" s="9"/>
      <c r="K45" s="9"/>
      <c r="L45" s="56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2:33">
      <c r="B46" s="55" t="s">
        <v>43</v>
      </c>
      <c r="C46" s="9" t="s">
        <v>44</v>
      </c>
      <c r="D46" s="9" t="s">
        <v>44</v>
      </c>
      <c r="E46" s="9" t="s">
        <v>35</v>
      </c>
      <c r="F46" s="9" t="s">
        <v>5</v>
      </c>
      <c r="G46" s="9" t="s">
        <v>45</v>
      </c>
      <c r="H46" s="9" t="s">
        <v>5</v>
      </c>
      <c r="I46" s="9" t="s">
        <v>46</v>
      </c>
      <c r="J46" s="9"/>
      <c r="K46" s="9"/>
      <c r="L46" s="56"/>
      <c r="N46" s="383"/>
      <c r="O46" s="21"/>
      <c r="P46" s="383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2:33" ht="17.25" customHeight="1">
      <c r="B47" s="59" t="s">
        <v>48</v>
      </c>
      <c r="C47" s="10" t="s">
        <v>49</v>
      </c>
      <c r="D47" s="10" t="s">
        <v>50</v>
      </c>
      <c r="E47" s="163" t="s">
        <v>189</v>
      </c>
      <c r="F47" s="10" t="s">
        <v>51</v>
      </c>
      <c r="G47" s="10" t="s">
        <v>52</v>
      </c>
      <c r="H47" s="10" t="s">
        <v>51</v>
      </c>
      <c r="I47" s="10" t="s">
        <v>53</v>
      </c>
      <c r="J47" s="10"/>
      <c r="K47" s="10"/>
      <c r="L47" s="60"/>
      <c r="N47" s="383"/>
      <c r="O47" s="21"/>
      <c r="P47" s="383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2:33" ht="15" customHeight="1">
      <c r="B48" s="53"/>
      <c r="C48" s="8"/>
      <c r="D48" s="8"/>
      <c r="E48" s="8"/>
      <c r="F48" s="11" t="s">
        <v>34</v>
      </c>
      <c r="G48" s="11" t="s">
        <v>54</v>
      </c>
      <c r="H48" s="11" t="s">
        <v>33</v>
      </c>
      <c r="I48" s="8"/>
      <c r="J48" s="8"/>
      <c r="K48" s="8"/>
      <c r="L48" s="54"/>
      <c r="N48" s="383"/>
      <c r="O48" s="383"/>
      <c r="P48" s="383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2:33" ht="15" customHeight="1">
      <c r="B49" s="53"/>
      <c r="C49" s="8"/>
      <c r="D49" s="8"/>
      <c r="E49" s="8"/>
      <c r="F49" s="11" t="s">
        <v>35</v>
      </c>
      <c r="G49" s="11" t="s">
        <v>55</v>
      </c>
      <c r="H49" s="11" t="s">
        <v>35</v>
      </c>
      <c r="I49" s="8"/>
      <c r="J49" s="11"/>
      <c r="K49" s="11"/>
      <c r="L49" s="54"/>
      <c r="N49" s="383"/>
      <c r="O49" s="383"/>
      <c r="P49" s="383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2:33" ht="16.5">
      <c r="B50" s="61"/>
      <c r="C50" s="12"/>
      <c r="D50" s="12"/>
      <c r="E50" s="12"/>
      <c r="F50" s="13" t="s">
        <v>57</v>
      </c>
      <c r="G50" s="14" t="s">
        <v>58</v>
      </c>
      <c r="H50" s="13" t="s">
        <v>57</v>
      </c>
      <c r="I50" s="14" t="s">
        <v>59</v>
      </c>
      <c r="J50" s="14"/>
      <c r="K50" s="14"/>
      <c r="L50" s="60"/>
      <c r="N50" s="383"/>
      <c r="O50" s="383"/>
      <c r="P50" s="383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2:33" ht="9.75" customHeight="1">
      <c r="B51" s="57"/>
      <c r="C51" s="6"/>
      <c r="D51" s="6"/>
      <c r="E51" s="6"/>
      <c r="F51" s="6"/>
      <c r="G51" s="6"/>
      <c r="H51" s="6"/>
      <c r="I51" s="6"/>
      <c r="J51" s="6"/>
      <c r="K51" s="6"/>
      <c r="L51" s="58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2:33" ht="32.25" customHeight="1">
      <c r="B52" s="62">
        <v>1</v>
      </c>
      <c r="C52" s="384" t="s">
        <v>63</v>
      </c>
      <c r="D52" s="384"/>
      <c r="E52" s="24">
        <f>$E$18</f>
        <v>18053801.269999996</v>
      </c>
      <c r="F52" s="8"/>
      <c r="G52" s="8"/>
      <c r="H52" s="8"/>
      <c r="I52" s="8"/>
      <c r="J52" s="8"/>
      <c r="K52" s="8"/>
      <c r="L52" s="54"/>
      <c r="N52" s="21"/>
      <c r="O52" s="146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2:33" ht="13.5" customHeight="1">
      <c r="B53" s="55"/>
      <c r="C53" s="8"/>
      <c r="D53" s="8"/>
      <c r="E53" s="8"/>
      <c r="F53" s="8"/>
      <c r="G53" s="8"/>
      <c r="H53" s="8"/>
      <c r="I53" s="8"/>
      <c r="J53" s="8"/>
      <c r="K53" s="8"/>
      <c r="L53" s="54"/>
      <c r="N53" s="146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2:33">
      <c r="B54" s="55" t="s">
        <v>64</v>
      </c>
      <c r="C54" s="203" t="str">
        <f>C20</f>
        <v>Bemidji CapX 2020 Project</v>
      </c>
      <c r="D54" s="142">
        <f>D20</f>
        <v>279</v>
      </c>
      <c r="E54" s="16"/>
      <c r="F54" s="141">
        <v>2570052.7100880006</v>
      </c>
      <c r="G54" s="16">
        <f t="shared" ref="G54:G63" si="2">IF(F54=0,0,ROUND($E$52*(F54/$F$65),0))</f>
        <v>2647891</v>
      </c>
      <c r="H54" s="141">
        <v>2541767.948704015</v>
      </c>
      <c r="I54" s="17">
        <f>ROUND(+H54-G54,0)</f>
        <v>-106123</v>
      </c>
      <c r="J54" s="18"/>
      <c r="K54" s="17"/>
      <c r="L54" s="63"/>
      <c r="N54" s="147"/>
      <c r="O54" s="21"/>
      <c r="P54" s="147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2:33">
      <c r="B55" s="55" t="s">
        <v>65</v>
      </c>
      <c r="C55" s="203" t="str">
        <f t="shared" ref="C55:C60" si="3">C21</f>
        <v>Fargo CapX 2020 Project</v>
      </c>
      <c r="D55" s="142">
        <f t="shared" ref="D55:D63" si="4">D21</f>
        <v>286</v>
      </c>
      <c r="E55" s="16"/>
      <c r="F55" s="141">
        <v>12390925.725346174</v>
      </c>
      <c r="G55" s="16">
        <f t="shared" si="2"/>
        <v>12766207</v>
      </c>
      <c r="H55" s="141">
        <v>12279866.905862968</v>
      </c>
      <c r="I55" s="17">
        <f t="shared" ref="I55:I63" si="5">ROUND(+H55-G55,0)</f>
        <v>-486340</v>
      </c>
      <c r="J55" s="18"/>
      <c r="K55" s="17"/>
      <c r="L55" s="63"/>
      <c r="N55" s="147"/>
      <c r="O55" s="21"/>
      <c r="P55" s="147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2:33">
      <c r="B56" s="55" t="s">
        <v>66</v>
      </c>
      <c r="C56" s="203" t="str">
        <f t="shared" si="3"/>
        <v>Rugby Project - G380</v>
      </c>
      <c r="D56" s="143">
        <f t="shared" si="4"/>
        <v>1462</v>
      </c>
      <c r="E56" s="16"/>
      <c r="F56" s="141">
        <v>60946.81656353522</v>
      </c>
      <c r="G56" s="16">
        <f t="shared" si="2"/>
        <v>62793</v>
      </c>
      <c r="H56" s="141">
        <v>60248.467212989694</v>
      </c>
      <c r="I56" s="17">
        <f t="shared" si="5"/>
        <v>-2545</v>
      </c>
      <c r="J56" s="18"/>
      <c r="K56" s="17"/>
      <c r="L56" s="63"/>
      <c r="N56" s="147"/>
      <c r="O56" s="21"/>
      <c r="P56" s="147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2:33">
      <c r="B57" s="55" t="s">
        <v>67</v>
      </c>
      <c r="C57" s="203" t="str">
        <f t="shared" si="3"/>
        <v>Cass Lake - Nary - Helga - Bemidji Project</v>
      </c>
      <c r="D57" s="142">
        <f t="shared" si="4"/>
        <v>3156</v>
      </c>
      <c r="E57" s="16"/>
      <c r="F57" s="141">
        <v>1097037.7978724232</v>
      </c>
      <c r="G57" s="16">
        <f t="shared" si="2"/>
        <v>1130264</v>
      </c>
      <c r="H57" s="141">
        <v>1084555.0917761377</v>
      </c>
      <c r="I57" s="17">
        <f t="shared" si="5"/>
        <v>-45709</v>
      </c>
      <c r="J57" s="18"/>
      <c r="K57" s="17"/>
      <c r="L57" s="63"/>
      <c r="N57" s="147"/>
      <c r="O57" s="21"/>
      <c r="P57" s="147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2:33" s="20" customFormat="1">
      <c r="B58" s="64" t="s">
        <v>82</v>
      </c>
      <c r="C58" s="203" t="str">
        <f t="shared" si="3"/>
        <v xml:space="preserve">Casselton-Buffalo 115kv </v>
      </c>
      <c r="D58" s="142">
        <f t="shared" si="4"/>
        <v>3481</v>
      </c>
      <c r="E58" s="19"/>
      <c r="F58" s="141">
        <v>1277776.6680246093</v>
      </c>
      <c r="G58" s="16">
        <f t="shared" si="2"/>
        <v>1316476</v>
      </c>
      <c r="H58" s="141">
        <v>1263465.8585585277</v>
      </c>
      <c r="I58" s="17">
        <f t="shared" si="5"/>
        <v>-53010</v>
      </c>
      <c r="J58" s="18"/>
      <c r="K58" s="17"/>
      <c r="L58" s="63"/>
      <c r="N58" s="147"/>
      <c r="O58" s="21"/>
      <c r="P58" s="147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2:33" s="20" customFormat="1">
      <c r="B59" s="64" t="s">
        <v>83</v>
      </c>
      <c r="C59" s="203" t="str">
        <f t="shared" si="3"/>
        <v>G645 Spiritwood</v>
      </c>
      <c r="D59" s="142">
        <f t="shared" si="4"/>
        <v>2750</v>
      </c>
      <c r="E59" s="21"/>
      <c r="F59" s="141">
        <v>123902.86167029722</v>
      </c>
      <c r="G59" s="16">
        <f t="shared" si="2"/>
        <v>127655</v>
      </c>
      <c r="H59" s="141">
        <v>105771.7226523088</v>
      </c>
      <c r="I59" s="17">
        <f t="shared" si="5"/>
        <v>-21883</v>
      </c>
      <c r="J59" s="18"/>
      <c r="K59" s="17"/>
      <c r="L59" s="63"/>
      <c r="N59" s="147"/>
      <c r="O59" s="21"/>
      <c r="P59" s="147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2:33" s="20" customFormat="1">
      <c r="B60" s="64" t="s">
        <v>84</v>
      </c>
      <c r="C60" s="203" t="str">
        <f t="shared" si="3"/>
        <v>Courtney Wind</v>
      </c>
      <c r="D60" s="142">
        <f t="shared" si="4"/>
        <v>8240</v>
      </c>
      <c r="E60" s="21"/>
      <c r="F60" s="141">
        <v>2441.0507035561977</v>
      </c>
      <c r="G60" s="16">
        <f t="shared" si="2"/>
        <v>2515</v>
      </c>
      <c r="H60" s="141">
        <v>17553.872148523515</v>
      </c>
      <c r="I60" s="17">
        <f t="shared" si="5"/>
        <v>15039</v>
      </c>
      <c r="J60" s="18"/>
      <c r="K60" s="17"/>
      <c r="L60" s="63"/>
      <c r="N60" s="147"/>
      <c r="O60" s="21"/>
      <c r="P60" s="147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2:33" s="20" customFormat="1">
      <c r="B61" s="64" t="s">
        <v>85</v>
      </c>
      <c r="C61" s="44"/>
      <c r="D61" s="142">
        <f t="shared" si="4"/>
        <v>0</v>
      </c>
      <c r="E61" s="21"/>
      <c r="F61" s="141">
        <v>0</v>
      </c>
      <c r="G61" s="16">
        <f t="shared" si="2"/>
        <v>0</v>
      </c>
      <c r="H61" s="141">
        <v>0</v>
      </c>
      <c r="I61" s="17">
        <f t="shared" si="5"/>
        <v>0</v>
      </c>
      <c r="J61" s="18"/>
      <c r="K61" s="17"/>
      <c r="L61" s="63"/>
      <c r="N61" s="147"/>
      <c r="O61" s="21"/>
      <c r="P61" s="147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2:33" s="20" customFormat="1">
      <c r="B62" s="64" t="s">
        <v>86</v>
      </c>
      <c r="C62" s="44"/>
      <c r="D62" s="142">
        <f t="shared" si="4"/>
        <v>0</v>
      </c>
      <c r="E62" s="21"/>
      <c r="F62" s="141">
        <v>0</v>
      </c>
      <c r="G62" s="16">
        <f t="shared" si="2"/>
        <v>0</v>
      </c>
      <c r="H62" s="141">
        <v>0</v>
      </c>
      <c r="I62" s="17">
        <f t="shared" si="5"/>
        <v>0</v>
      </c>
      <c r="J62" s="18"/>
      <c r="K62" s="17"/>
      <c r="L62" s="63"/>
      <c r="N62" s="147"/>
      <c r="O62" s="21"/>
      <c r="P62" s="147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2:33" s="20" customFormat="1">
      <c r="B63" s="161" t="s">
        <v>87</v>
      </c>
      <c r="C63" s="15"/>
      <c r="D63" s="142">
        <f t="shared" si="4"/>
        <v>0</v>
      </c>
      <c r="E63" s="21"/>
      <c r="F63" s="141">
        <v>0</v>
      </c>
      <c r="G63" s="16">
        <f t="shared" si="2"/>
        <v>0</v>
      </c>
      <c r="H63" s="141">
        <v>0</v>
      </c>
      <c r="I63" s="17">
        <f t="shared" si="5"/>
        <v>0</v>
      </c>
      <c r="J63" s="18"/>
      <c r="K63" s="17"/>
      <c r="L63" s="63"/>
      <c r="N63" s="147"/>
      <c r="O63" s="21"/>
      <c r="P63" s="147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2:33">
      <c r="B64" s="59"/>
      <c r="C64" s="12"/>
      <c r="D64" s="12"/>
      <c r="E64" s="12"/>
      <c r="F64" s="12"/>
      <c r="G64" s="12"/>
      <c r="H64" s="12"/>
      <c r="I64" s="12"/>
      <c r="J64" s="12"/>
      <c r="K64" s="12"/>
      <c r="L64" s="65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:33">
      <c r="B65" s="55">
        <v>3</v>
      </c>
      <c r="C65" s="8" t="s">
        <v>68</v>
      </c>
      <c r="D65" s="8"/>
      <c r="E65" s="66"/>
      <c r="F65" s="66">
        <f>SUM(F54:F64)</f>
        <v>17523083.630268596</v>
      </c>
      <c r="G65" s="66">
        <f>SUM(G54:G64)</f>
        <v>18053801</v>
      </c>
      <c r="H65" s="66">
        <f>SUM(H54:H64)</f>
        <v>17353229.866915472</v>
      </c>
      <c r="I65" s="66"/>
      <c r="J65" s="8"/>
      <c r="K65" s="8"/>
      <c r="L65" s="54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:33" ht="15" thickBot="1">
      <c r="B66" s="81">
        <v>4</v>
      </c>
      <c r="C66" s="71" t="s">
        <v>69</v>
      </c>
      <c r="D66" s="71"/>
      <c r="E66" s="71"/>
      <c r="F66" s="71"/>
      <c r="G66" s="71"/>
      <c r="H66" s="71"/>
      <c r="I66" s="82">
        <f>SUM(I54:I64)</f>
        <v>-700571</v>
      </c>
      <c r="J66" s="71"/>
      <c r="K66" s="82"/>
      <c r="L66" s="83"/>
      <c r="N66" s="24"/>
      <c r="O66" s="21"/>
      <c r="P66" s="24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1:33" ht="15" thickBot="1"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3" ht="18.5">
      <c r="A68" s="4"/>
      <c r="B68" s="86" t="s">
        <v>119</v>
      </c>
      <c r="C68" s="87"/>
      <c r="D68" s="87"/>
      <c r="E68" s="87"/>
      <c r="F68" s="87"/>
      <c r="G68" s="87"/>
      <c r="H68" s="87"/>
      <c r="I68" s="385" t="s">
        <v>227</v>
      </c>
      <c r="J68" s="385"/>
      <c r="K68" s="87"/>
      <c r="L68" s="88"/>
      <c r="M68" s="4"/>
      <c r="N68" s="145"/>
      <c r="O68" s="145"/>
      <c r="P68" s="145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1:33">
      <c r="B69" s="89" t="s">
        <v>19</v>
      </c>
      <c r="C69" s="90"/>
      <c r="D69" s="90"/>
      <c r="E69" s="90"/>
      <c r="F69" s="90"/>
      <c r="G69" s="90"/>
      <c r="H69" s="90"/>
      <c r="I69" s="196" t="s">
        <v>228</v>
      </c>
      <c r="J69" s="196" t="s">
        <v>229</v>
      </c>
      <c r="K69" s="90"/>
      <c r="L69" s="9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:33" ht="18.5">
      <c r="B70" s="89"/>
      <c r="C70" s="92" t="s">
        <v>20</v>
      </c>
      <c r="D70" s="137" t="str">
        <f>D7</f>
        <v>OTP</v>
      </c>
      <c r="E70" s="90"/>
      <c r="F70" s="90"/>
      <c r="G70" s="90"/>
      <c r="H70" s="90"/>
      <c r="I70" s="199">
        <f>F5</f>
        <v>0.12379999999999999</v>
      </c>
      <c r="J70" s="199">
        <f>'2016 TU'!I30</f>
        <v>0.77370000000000005</v>
      </c>
      <c r="K70" s="90"/>
      <c r="L70" s="9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:33">
      <c r="B71" s="89"/>
      <c r="C71" s="92" t="s">
        <v>21</v>
      </c>
      <c r="D71" s="93">
        <v>2016</v>
      </c>
      <c r="E71" s="90"/>
      <c r="F71" s="90"/>
      <c r="G71" s="90"/>
      <c r="H71" s="90"/>
      <c r="I71" s="199">
        <f>F38</f>
        <v>0.1082</v>
      </c>
      <c r="J71" s="199">
        <f>'2016 TU'!I34</f>
        <v>0.2263</v>
      </c>
      <c r="K71" s="90"/>
      <c r="L71" s="9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:33">
      <c r="B72" s="55" t="s">
        <v>22</v>
      </c>
      <c r="C72" s="9" t="s">
        <v>23</v>
      </c>
      <c r="D72" s="9" t="s">
        <v>24</v>
      </c>
      <c r="E72" s="9" t="s">
        <v>25</v>
      </c>
      <c r="F72" s="9" t="s">
        <v>26</v>
      </c>
      <c r="G72" s="9" t="s">
        <v>27</v>
      </c>
      <c r="H72" s="9" t="s">
        <v>28</v>
      </c>
      <c r="I72" s="9" t="s">
        <v>29</v>
      </c>
      <c r="J72" s="9" t="s">
        <v>30</v>
      </c>
      <c r="K72" s="9" t="s">
        <v>31</v>
      </c>
      <c r="L72" s="56" t="s">
        <v>32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:33">
      <c r="B73" s="57"/>
      <c r="C73" s="6"/>
      <c r="D73" s="6"/>
      <c r="E73" s="6"/>
      <c r="F73" s="6"/>
      <c r="G73" s="7" t="s">
        <v>33</v>
      </c>
      <c r="H73" s="6"/>
      <c r="I73" s="6"/>
      <c r="J73" s="6"/>
      <c r="K73" s="6"/>
      <c r="L73" s="58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3">
      <c r="B74" s="53"/>
      <c r="C74" s="8"/>
      <c r="D74" s="8"/>
      <c r="E74" s="8"/>
      <c r="F74" s="9" t="s">
        <v>34</v>
      </c>
      <c r="G74" s="9" t="s">
        <v>35</v>
      </c>
      <c r="H74" s="9" t="s">
        <v>33</v>
      </c>
      <c r="I74" s="9" t="s">
        <v>36</v>
      </c>
      <c r="J74" s="9" t="s">
        <v>37</v>
      </c>
      <c r="K74" s="9" t="s">
        <v>36</v>
      </c>
      <c r="L74" s="54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</row>
    <row r="75" spans="1:33">
      <c r="B75" s="53"/>
      <c r="C75" s="8"/>
      <c r="D75" s="9" t="s">
        <v>38</v>
      </c>
      <c r="E75" s="9" t="s">
        <v>33</v>
      </c>
      <c r="F75" s="9" t="s">
        <v>39</v>
      </c>
      <c r="G75" s="9" t="s">
        <v>40</v>
      </c>
      <c r="H75" s="9" t="s">
        <v>39</v>
      </c>
      <c r="I75" s="9" t="s">
        <v>41</v>
      </c>
      <c r="J75" s="9" t="s">
        <v>42</v>
      </c>
      <c r="K75" s="9" t="s">
        <v>41</v>
      </c>
      <c r="L75" s="56" t="s">
        <v>18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:33">
      <c r="B76" s="55" t="s">
        <v>43</v>
      </c>
      <c r="C76" s="9" t="s">
        <v>44</v>
      </c>
      <c r="D76" s="9" t="s">
        <v>44</v>
      </c>
      <c r="E76" s="9" t="s">
        <v>35</v>
      </c>
      <c r="F76" s="9" t="s">
        <v>5</v>
      </c>
      <c r="G76" s="9" t="s">
        <v>45</v>
      </c>
      <c r="H76" s="9" t="s">
        <v>5</v>
      </c>
      <c r="I76" s="9" t="s">
        <v>46</v>
      </c>
      <c r="J76" s="9" t="s">
        <v>47</v>
      </c>
      <c r="K76" s="9" t="s">
        <v>42</v>
      </c>
      <c r="L76" s="56" t="s">
        <v>36</v>
      </c>
      <c r="N76" s="383"/>
      <c r="O76" s="21"/>
      <c r="P76" s="383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ht="16.5">
      <c r="B77" s="59" t="s">
        <v>48</v>
      </c>
      <c r="C77" s="10" t="s">
        <v>49</v>
      </c>
      <c r="D77" s="10" t="s">
        <v>50</v>
      </c>
      <c r="E77" s="163" t="s">
        <v>190</v>
      </c>
      <c r="F77" s="10" t="s">
        <v>51</v>
      </c>
      <c r="G77" s="10" t="s">
        <v>52</v>
      </c>
      <c r="H77" s="10" t="s">
        <v>51</v>
      </c>
      <c r="I77" s="10" t="s">
        <v>53</v>
      </c>
      <c r="J77" s="10" t="s">
        <v>53</v>
      </c>
      <c r="K77" s="10" t="s">
        <v>53</v>
      </c>
      <c r="L77" s="60" t="s">
        <v>41</v>
      </c>
      <c r="N77" s="383"/>
      <c r="O77" s="21"/>
      <c r="P77" s="383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33">
      <c r="B78" s="53"/>
      <c r="C78" s="8"/>
      <c r="D78" s="8"/>
      <c r="E78" s="8"/>
      <c r="F78" s="11" t="s">
        <v>34</v>
      </c>
      <c r="G78" s="11" t="s">
        <v>54</v>
      </c>
      <c r="H78" s="11" t="s">
        <v>33</v>
      </c>
      <c r="I78" s="8"/>
      <c r="J78" s="8"/>
      <c r="K78" s="8"/>
      <c r="L78" s="54"/>
      <c r="N78" s="383"/>
      <c r="O78" s="383"/>
      <c r="P78" s="383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</row>
    <row r="79" spans="1:33">
      <c r="B79" s="53"/>
      <c r="C79" s="8"/>
      <c r="D79" s="8"/>
      <c r="E79" s="8"/>
      <c r="F79" s="11" t="s">
        <v>35</v>
      </c>
      <c r="G79" s="11" t="s">
        <v>55</v>
      </c>
      <c r="H79" s="11" t="s">
        <v>35</v>
      </c>
      <c r="I79" s="8"/>
      <c r="J79" s="11"/>
      <c r="K79" s="11" t="s">
        <v>56</v>
      </c>
      <c r="L79" s="54"/>
      <c r="N79" s="383"/>
      <c r="O79" s="383"/>
      <c r="P79" s="383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</row>
    <row r="80" spans="1:33" ht="16.5">
      <c r="B80" s="61"/>
      <c r="C80" s="12"/>
      <c r="D80" s="12"/>
      <c r="E80" s="12"/>
      <c r="F80" s="13" t="s">
        <v>57</v>
      </c>
      <c r="G80" s="14" t="s">
        <v>58</v>
      </c>
      <c r="H80" s="13" t="s">
        <v>57</v>
      </c>
      <c r="I80" s="14" t="s">
        <v>59</v>
      </c>
      <c r="J80" s="14" t="s">
        <v>60</v>
      </c>
      <c r="K80" s="14" t="s">
        <v>61</v>
      </c>
      <c r="L80" s="60" t="s">
        <v>62</v>
      </c>
      <c r="N80" s="383"/>
      <c r="O80" s="383"/>
      <c r="P80" s="383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</row>
    <row r="81" spans="1:33">
      <c r="B81" s="57"/>
      <c r="C81" s="6"/>
      <c r="D81" s="6"/>
      <c r="E81" s="6"/>
      <c r="F81" s="6"/>
      <c r="G81" s="6"/>
      <c r="H81" s="6"/>
      <c r="I81" s="6"/>
      <c r="J81" s="6"/>
      <c r="K81" s="6"/>
      <c r="L81" s="58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spans="1:33">
      <c r="B82" s="62">
        <v>1</v>
      </c>
      <c r="C82" s="384" t="s">
        <v>63</v>
      </c>
      <c r="D82" s="384"/>
      <c r="E82" s="24">
        <f>$E$18</f>
        <v>18053801.269999996</v>
      </c>
      <c r="F82" s="8"/>
      <c r="G82" s="8"/>
      <c r="H82" s="8"/>
      <c r="I82" s="8"/>
      <c r="J82" s="8"/>
      <c r="K82" s="8"/>
      <c r="L82" s="54"/>
      <c r="N82" s="21"/>
      <c r="O82" s="146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:33">
      <c r="B83" s="55"/>
      <c r="C83" s="8"/>
      <c r="D83" s="8"/>
      <c r="E83" s="8"/>
      <c r="F83" s="8"/>
      <c r="G83" s="8"/>
      <c r="H83" s="8"/>
      <c r="I83" s="8"/>
      <c r="J83" s="8"/>
      <c r="K83" s="8"/>
      <c r="L83" s="54"/>
      <c r="N83" s="146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</row>
    <row r="84" spans="1:33">
      <c r="B84" s="55" t="s">
        <v>64</v>
      </c>
      <c r="C84" s="44" t="s">
        <v>74</v>
      </c>
      <c r="D84" s="142">
        <f t="shared" ref="D84:D93" si="6">D20</f>
        <v>279</v>
      </c>
      <c r="E84" s="16"/>
      <c r="F84" s="19">
        <f>ROUND((F20*'2016 TU'!$I$30)+(F54*'2016 TU'!$I$34),0)</f>
        <v>2709900</v>
      </c>
      <c r="G84" s="16">
        <f t="shared" ref="G84:G93" si="7">IF(F84=0,0,ROUND($E$82*(F84/$F$95),0))</f>
        <v>2638722</v>
      </c>
      <c r="H84" s="19">
        <f>ROUND((H20*'2016 TU'!$I$30)+(H54*'2016 TU'!$I$34),0)</f>
        <v>2682440</v>
      </c>
      <c r="I84" s="17">
        <f>ROUND(+H84-G84,0)</f>
        <v>43718</v>
      </c>
      <c r="J84" s="45">
        <f>+$J$97</f>
        <v>1.578E-3</v>
      </c>
      <c r="K84" s="17">
        <f>ROUND((I84*J84)*24,6)</f>
        <v>1655.6880960000001</v>
      </c>
      <c r="L84" s="63">
        <f>ROUND(+I84+K84,0)</f>
        <v>45374</v>
      </c>
      <c r="N84" s="147"/>
      <c r="O84" s="21"/>
      <c r="P84" s="147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spans="1:33">
      <c r="B85" s="55" t="s">
        <v>65</v>
      </c>
      <c r="C85" s="44" t="s">
        <v>75</v>
      </c>
      <c r="D85" s="142">
        <f t="shared" si="6"/>
        <v>286</v>
      </c>
      <c r="E85" s="16"/>
      <c r="F85" s="19">
        <f>ROUND((F21*'2016 TU'!$I$30)+(F55*'2016 TU'!$I$34),0)</f>
        <v>13125963</v>
      </c>
      <c r="G85" s="16">
        <f t="shared" si="7"/>
        <v>12781198</v>
      </c>
      <c r="H85" s="19">
        <f>ROUND((H21*'2016 TU'!$I$30)+(H55*'2016 TU'!$I$34),0)</f>
        <v>12982762</v>
      </c>
      <c r="I85" s="17">
        <f>ROUND(+H85-G85,0)+2</f>
        <v>201566</v>
      </c>
      <c r="J85" s="45">
        <f t="shared" ref="J85:J93" si="8">+$J$97</f>
        <v>1.578E-3</v>
      </c>
      <c r="K85" s="17">
        <f t="shared" ref="K85:K93" si="9">ROUND((I85*J85)*24,6)</f>
        <v>7633.7075519999999</v>
      </c>
      <c r="L85" s="63">
        <f t="shared" ref="L85:L93" si="10">ROUND(+I85+K85,0)</f>
        <v>209200</v>
      </c>
      <c r="N85" s="147"/>
      <c r="O85" s="21"/>
      <c r="P85" s="147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  <row r="86" spans="1:33">
      <c r="B86" s="55" t="s">
        <v>66</v>
      </c>
      <c r="C86" s="44" t="s">
        <v>76</v>
      </c>
      <c r="D86" s="143">
        <f t="shared" si="6"/>
        <v>1462</v>
      </c>
      <c r="E86" s="16"/>
      <c r="F86" s="19">
        <f>ROUND((F22*'2016 TU'!$I$30)+(F56*'2016 TU'!$I$34),0)</f>
        <v>64335</v>
      </c>
      <c r="G86" s="16">
        <f t="shared" si="7"/>
        <v>62645</v>
      </c>
      <c r="H86" s="19">
        <f>ROUND((H22*'2016 TU'!$I$30)+(H56*'2016 TU'!$I$34),0)</f>
        <v>63656</v>
      </c>
      <c r="I86" s="17">
        <f>ROUND(+H86-G86,0)</f>
        <v>1011</v>
      </c>
      <c r="J86" s="45">
        <f t="shared" si="8"/>
        <v>1.578E-3</v>
      </c>
      <c r="K86" s="17">
        <f t="shared" si="9"/>
        <v>38.288592000000001</v>
      </c>
      <c r="L86" s="63">
        <f t="shared" si="10"/>
        <v>1049</v>
      </c>
      <c r="N86" s="147"/>
      <c r="O86" s="21"/>
      <c r="P86" s="147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</row>
    <row r="87" spans="1:33">
      <c r="B87" s="55" t="s">
        <v>67</v>
      </c>
      <c r="C87" s="44" t="s">
        <v>77</v>
      </c>
      <c r="D87" s="142">
        <f t="shared" si="6"/>
        <v>3156</v>
      </c>
      <c r="E87" s="16"/>
      <c r="F87" s="19">
        <f>ROUND((F23*'2016 TU'!$I$30)+(F57*'2016 TU'!$I$34),0)</f>
        <v>1158128</v>
      </c>
      <c r="G87" s="16">
        <f t="shared" si="7"/>
        <v>1127709</v>
      </c>
      <c r="H87" s="19">
        <f>ROUND((H23*'2016 TU'!$I$30)+(H57*'2016 TU'!$I$34),0)</f>
        <v>1146007</v>
      </c>
      <c r="I87" s="17">
        <f t="shared" ref="I87:I93" si="11">ROUND(+H87-G87,0)</f>
        <v>18298</v>
      </c>
      <c r="J87" s="45">
        <f t="shared" si="8"/>
        <v>1.578E-3</v>
      </c>
      <c r="K87" s="17">
        <f t="shared" si="9"/>
        <v>692.98185599999999</v>
      </c>
      <c r="L87" s="63">
        <f t="shared" si="10"/>
        <v>18991</v>
      </c>
      <c r="N87" s="147"/>
      <c r="O87" s="21"/>
      <c r="P87" s="147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  <row r="88" spans="1:33">
      <c r="A88" s="20"/>
      <c r="B88" s="64" t="s">
        <v>82</v>
      </c>
      <c r="C88" s="15"/>
      <c r="D88" s="142">
        <f t="shared" si="6"/>
        <v>3481</v>
      </c>
      <c r="E88" s="19"/>
      <c r="F88" s="19">
        <f>ROUND((F24*'2016 TU'!$I$30)+(F58*'2016 TU'!$I$34),0)</f>
        <v>1348925</v>
      </c>
      <c r="G88" s="16">
        <f t="shared" si="7"/>
        <v>1313494</v>
      </c>
      <c r="H88" s="19">
        <f>ROUND((H24*'2016 TU'!$I$30)+(H58*'2016 TU'!$I$34),0)</f>
        <v>1335036</v>
      </c>
      <c r="I88" s="17">
        <f>ROUND(+H88-G88,0)</f>
        <v>21542</v>
      </c>
      <c r="J88" s="45">
        <f t="shared" si="8"/>
        <v>1.578E-3</v>
      </c>
      <c r="K88" s="17">
        <f t="shared" si="9"/>
        <v>815.83862399999998</v>
      </c>
      <c r="L88" s="63">
        <f t="shared" si="10"/>
        <v>22358</v>
      </c>
      <c r="M88" s="20"/>
      <c r="N88" s="147"/>
      <c r="O88" s="21"/>
      <c r="P88" s="147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:33">
      <c r="A89" s="20"/>
      <c r="B89" s="64" t="s">
        <v>83</v>
      </c>
      <c r="C89" s="15"/>
      <c r="D89" s="142">
        <f t="shared" si="6"/>
        <v>2750</v>
      </c>
      <c r="E89" s="21"/>
      <c r="F89" s="19">
        <f>ROUND((F25*'2016 TU'!$I$30)+(F59*'2016 TU'!$I$34),0)</f>
        <v>130946</v>
      </c>
      <c r="G89" s="16">
        <f t="shared" si="7"/>
        <v>127507</v>
      </c>
      <c r="H89" s="19">
        <f>ROUND((H25*'2016 TU'!$I$30)+(H59*'2016 TU'!$I$34),0)</f>
        <v>111902</v>
      </c>
      <c r="I89" s="17">
        <f t="shared" si="11"/>
        <v>-15605</v>
      </c>
      <c r="J89" s="45">
        <f t="shared" si="8"/>
        <v>1.578E-3</v>
      </c>
      <c r="K89" s="17">
        <f t="shared" si="9"/>
        <v>-590.99256000000003</v>
      </c>
      <c r="L89" s="63">
        <f t="shared" si="10"/>
        <v>-16196</v>
      </c>
      <c r="M89" s="20"/>
      <c r="N89" s="147"/>
      <c r="O89" s="21"/>
      <c r="P89" s="147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</row>
    <row r="90" spans="1:33">
      <c r="A90" s="20"/>
      <c r="B90" s="64" t="s">
        <v>84</v>
      </c>
      <c r="C90" s="15"/>
      <c r="D90" s="142">
        <f t="shared" si="6"/>
        <v>8240</v>
      </c>
      <c r="E90" s="21"/>
      <c r="F90" s="19">
        <f>ROUND((F26*'2016 TU'!$I$30)+(F60*'2016 TU'!$I$34),0)</f>
        <v>2595</v>
      </c>
      <c r="G90" s="16">
        <f t="shared" si="7"/>
        <v>2527</v>
      </c>
      <c r="H90" s="19">
        <f>ROUND((H26*'2016 TU'!$I$30)+(H60*'2016 TU'!$I$34),0)</f>
        <v>18571</v>
      </c>
      <c r="I90" s="17">
        <f t="shared" si="11"/>
        <v>16044</v>
      </c>
      <c r="J90" s="45">
        <f t="shared" si="8"/>
        <v>1.578E-3</v>
      </c>
      <c r="K90" s="17">
        <f t="shared" si="9"/>
        <v>607.61836800000003</v>
      </c>
      <c r="L90" s="63">
        <f t="shared" si="10"/>
        <v>16652</v>
      </c>
      <c r="M90" s="20"/>
      <c r="N90" s="147"/>
      <c r="O90" s="21"/>
      <c r="P90" s="147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</row>
    <row r="91" spans="1:33">
      <c r="A91" s="20"/>
      <c r="B91" s="64" t="s">
        <v>85</v>
      </c>
      <c r="C91" s="15"/>
      <c r="D91" s="142">
        <f t="shared" si="6"/>
        <v>0</v>
      </c>
      <c r="E91" s="21"/>
      <c r="F91" s="19">
        <f>ROUND((F27*'2016 TU'!$I$30)+(F61*'2016 TU'!$I$34),0)</f>
        <v>0</v>
      </c>
      <c r="G91" s="16">
        <f t="shared" si="7"/>
        <v>0</v>
      </c>
      <c r="H91" s="19">
        <f>ROUND((H27*'2016 TU'!$I$30)+(H61*'2016 TU'!$I$34),0)</f>
        <v>0</v>
      </c>
      <c r="I91" s="17">
        <f t="shared" si="11"/>
        <v>0</v>
      </c>
      <c r="J91" s="45">
        <f t="shared" si="8"/>
        <v>1.578E-3</v>
      </c>
      <c r="K91" s="17">
        <f t="shared" si="9"/>
        <v>0</v>
      </c>
      <c r="L91" s="63">
        <f t="shared" si="10"/>
        <v>0</v>
      </c>
      <c r="M91" s="20"/>
      <c r="N91" s="147"/>
      <c r="O91" s="21"/>
      <c r="P91" s="147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</row>
    <row r="92" spans="1:33">
      <c r="A92" s="20"/>
      <c r="B92" s="64" t="s">
        <v>86</v>
      </c>
      <c r="C92" s="15"/>
      <c r="D92" s="142">
        <f t="shared" si="6"/>
        <v>0</v>
      </c>
      <c r="E92" s="21"/>
      <c r="F92" s="19">
        <f>ROUND((F28*'2016 TU'!$I$30)+(F62*'2016 TU'!$I$34),0)</f>
        <v>0</v>
      </c>
      <c r="G92" s="16">
        <f t="shared" si="7"/>
        <v>0</v>
      </c>
      <c r="H92" s="19">
        <f>ROUND((H28*'2016 TU'!$I$30)+(H62*'2016 TU'!$I$34),0)</f>
        <v>0</v>
      </c>
      <c r="I92" s="17">
        <f t="shared" si="11"/>
        <v>0</v>
      </c>
      <c r="J92" s="45">
        <f t="shared" si="8"/>
        <v>1.578E-3</v>
      </c>
      <c r="K92" s="17">
        <f t="shared" si="9"/>
        <v>0</v>
      </c>
      <c r="L92" s="63">
        <f t="shared" si="10"/>
        <v>0</v>
      </c>
      <c r="M92" s="20"/>
      <c r="N92" s="147"/>
      <c r="O92" s="21"/>
      <c r="P92" s="147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spans="1:33">
      <c r="A93" s="20"/>
      <c r="B93" s="161" t="s">
        <v>87</v>
      </c>
      <c r="C93" s="15"/>
      <c r="D93" s="142">
        <f t="shared" si="6"/>
        <v>0</v>
      </c>
      <c r="E93" s="21"/>
      <c r="F93" s="19">
        <f>ROUND((F29*'2016 TU'!$I$30)+(F63*'2016 TU'!$I$34),0)</f>
        <v>0</v>
      </c>
      <c r="G93" s="16">
        <f t="shared" si="7"/>
        <v>0</v>
      </c>
      <c r="H93" s="19">
        <f>ROUND((H29*'2016 TU'!$I$30)+(H63*'2016 TU'!$I$34),0)</f>
        <v>0</v>
      </c>
      <c r="I93" s="17">
        <f t="shared" si="11"/>
        <v>0</v>
      </c>
      <c r="J93" s="45">
        <f t="shared" si="8"/>
        <v>1.578E-3</v>
      </c>
      <c r="K93" s="17">
        <f t="shared" si="9"/>
        <v>0</v>
      </c>
      <c r="L93" s="63">
        <f t="shared" si="10"/>
        <v>0</v>
      </c>
      <c r="M93" s="20"/>
      <c r="N93" s="147"/>
      <c r="O93" s="21"/>
      <c r="P93" s="147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spans="1:33">
      <c r="B94" s="59"/>
      <c r="C94" s="12"/>
      <c r="D94" s="12"/>
      <c r="E94" s="12"/>
      <c r="F94" s="12"/>
      <c r="G94" s="12"/>
      <c r="H94" s="12"/>
      <c r="I94" s="12"/>
      <c r="J94" s="12"/>
      <c r="K94" s="12"/>
      <c r="L94" s="65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33">
      <c r="B95" s="55">
        <v>3</v>
      </c>
      <c r="C95" s="8" t="s">
        <v>68</v>
      </c>
      <c r="D95" s="8"/>
      <c r="E95" s="66"/>
      <c r="F95" s="66">
        <f>SUM(F84:F94)</f>
        <v>18540792</v>
      </c>
      <c r="G95" s="66">
        <f>SUM(G84:G94)</f>
        <v>18053802</v>
      </c>
      <c r="H95" s="66">
        <f>SUM(H84:H94)</f>
        <v>18340374</v>
      </c>
      <c r="I95" s="66"/>
      <c r="J95" s="8"/>
      <c r="K95" s="8"/>
      <c r="L95" s="54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:33" ht="15.5">
      <c r="B96" s="55">
        <v>4</v>
      </c>
      <c r="C96" s="8" t="s">
        <v>69</v>
      </c>
      <c r="D96" s="8"/>
      <c r="E96" s="8"/>
      <c r="F96" s="8"/>
      <c r="G96" s="8"/>
      <c r="H96" s="8"/>
      <c r="I96" s="66">
        <f>SUM(I84:I94)</f>
        <v>286574</v>
      </c>
      <c r="J96" s="8"/>
      <c r="K96" s="66">
        <f>SUM(K84:K94)</f>
        <v>10853.130528</v>
      </c>
      <c r="L96" s="183">
        <f>SUM(L84:L94)</f>
        <v>297428</v>
      </c>
      <c r="N96" s="24"/>
      <c r="O96" s="21"/>
      <c r="P96" s="24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2:98" ht="15" thickBot="1">
      <c r="B97" s="81">
        <v>5</v>
      </c>
      <c r="C97" s="84" t="s">
        <v>70</v>
      </c>
      <c r="D97" s="71"/>
      <c r="E97" s="71"/>
      <c r="F97" s="85"/>
      <c r="G97" s="71"/>
      <c r="H97" s="71"/>
      <c r="I97" s="71"/>
      <c r="J97" s="42">
        <f>IF(I96&gt;0,'2016 TU'!$C$10,'2016 TU'!$C$9)</f>
        <v>1.578E-3</v>
      </c>
      <c r="K97" s="71"/>
      <c r="L97" s="72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2:98"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2:98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</row>
    <row r="100" spans="2:98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</row>
    <row r="101" spans="2:98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</row>
    <row r="102" spans="2:98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</row>
    <row r="103" spans="2:98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</row>
    <row r="104" spans="2:98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</row>
    <row r="105" spans="2:98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</row>
    <row r="106" spans="2:98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</row>
    <row r="107" spans="2:98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</row>
    <row r="108" spans="2:98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</row>
    <row r="109" spans="2:98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</row>
    <row r="110" spans="2:98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</row>
    <row r="111" spans="2:98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</row>
    <row r="112" spans="2:98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</row>
    <row r="113" spans="2:98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</row>
    <row r="114" spans="2:98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</row>
    <row r="115" spans="2:98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</row>
    <row r="116" spans="2:98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</row>
    <row r="117" spans="2:98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</row>
    <row r="118" spans="2:98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</row>
    <row r="119" spans="2:98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</row>
    <row r="120" spans="2:98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</row>
    <row r="121" spans="2:98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</row>
    <row r="122" spans="2:98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</row>
    <row r="123" spans="2:98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</row>
    <row r="124" spans="2:98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</row>
    <row r="125" spans="2:98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</row>
    <row r="126" spans="2:98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</row>
    <row r="127" spans="2:98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</row>
    <row r="128" spans="2:98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</row>
    <row r="129" spans="2:98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</row>
    <row r="130" spans="2:98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</row>
    <row r="131" spans="2:98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</row>
    <row r="132" spans="2:98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</row>
    <row r="133" spans="2:98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</row>
    <row r="134" spans="2:98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</row>
    <row r="135" spans="2:98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</row>
    <row r="136" spans="2:98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</row>
    <row r="137" spans="2:98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</row>
    <row r="138" spans="2:98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</row>
    <row r="139" spans="2:98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</row>
    <row r="140" spans="2:98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</row>
    <row r="141" spans="2:98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</row>
    <row r="142" spans="2:98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</row>
    <row r="143" spans="2:98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</row>
    <row r="144" spans="2:98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</row>
    <row r="145" spans="2:98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</row>
    <row r="146" spans="2:98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</row>
    <row r="147" spans="2:98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</row>
    <row r="148" spans="2:98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</row>
    <row r="149" spans="2:98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</row>
    <row r="150" spans="2:98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</row>
    <row r="151" spans="2:98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</row>
    <row r="152" spans="2:98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</row>
    <row r="153" spans="2:98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</row>
    <row r="154" spans="2:98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</row>
    <row r="155" spans="2:98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</row>
    <row r="156" spans="2:98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</row>
    <row r="157" spans="2:98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</row>
    <row r="158" spans="2:98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</row>
    <row r="159" spans="2:98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</row>
    <row r="160" spans="2:98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</row>
    <row r="161" spans="2:98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</row>
    <row r="162" spans="2:98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</row>
    <row r="163" spans="2:98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</row>
    <row r="164" spans="2:98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</row>
    <row r="165" spans="2:98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</row>
    <row r="166" spans="2:98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</row>
    <row r="167" spans="2:98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</row>
    <row r="168" spans="2:98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</row>
    <row r="169" spans="2:98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</row>
    <row r="170" spans="2:98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</row>
    <row r="171" spans="2:98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</row>
    <row r="172" spans="2:98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</row>
    <row r="173" spans="2:98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</row>
    <row r="174" spans="2:98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</row>
    <row r="175" spans="2:98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</row>
    <row r="176" spans="2:98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</row>
    <row r="177" spans="2:98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</row>
    <row r="178" spans="2:98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</row>
    <row r="179" spans="2:98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</row>
    <row r="180" spans="2:98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</row>
    <row r="181" spans="2:98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</row>
    <row r="182" spans="2:98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</row>
    <row r="183" spans="2:98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</row>
    <row r="184" spans="2:98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</row>
    <row r="185" spans="2:98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</row>
    <row r="186" spans="2:98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</row>
    <row r="187" spans="2:98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</row>
    <row r="188" spans="2:98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</row>
    <row r="189" spans="2:98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</row>
    <row r="190" spans="2:98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</row>
    <row r="191" spans="2:98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</row>
    <row r="192" spans="2:98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</row>
    <row r="193" spans="2:98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</row>
    <row r="194" spans="2:98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</row>
    <row r="195" spans="2:98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</row>
    <row r="196" spans="2:98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</row>
    <row r="197" spans="2:98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</row>
    <row r="198" spans="2:98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</row>
    <row r="199" spans="2:98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</row>
    <row r="200" spans="2:98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</row>
    <row r="201" spans="2:98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</row>
    <row r="202" spans="2:98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</row>
    <row r="203" spans="2:98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</row>
    <row r="204" spans="2:98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</row>
    <row r="205" spans="2:98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</row>
    <row r="206" spans="2:98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</row>
    <row r="207" spans="2:98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</row>
    <row r="208" spans="2:98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</row>
    <row r="209" spans="2:98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</row>
    <row r="210" spans="2:98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</row>
    <row r="211" spans="2:98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</row>
    <row r="212" spans="2:98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</row>
    <row r="213" spans="2:98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</row>
    <row r="214" spans="2:98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</row>
    <row r="215" spans="2:98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</row>
    <row r="216" spans="2:98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</row>
    <row r="217" spans="2:98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</row>
    <row r="218" spans="2:98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</row>
    <row r="219" spans="2:98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</row>
    <row r="220" spans="2:98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</row>
    <row r="221" spans="2:98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</row>
    <row r="222" spans="2:98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</row>
    <row r="223" spans="2:98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</row>
    <row r="224" spans="2:98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</row>
    <row r="225" spans="2:98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</row>
    <row r="226" spans="2:98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</row>
    <row r="227" spans="2:98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</row>
    <row r="228" spans="2:98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</row>
    <row r="229" spans="2:98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</row>
    <row r="230" spans="2:98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</row>
    <row r="231" spans="2:98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</row>
    <row r="232" spans="2:98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</row>
    <row r="233" spans="2:98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</row>
    <row r="234" spans="2:98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</row>
    <row r="235" spans="2:98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</row>
    <row r="236" spans="2:98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</row>
    <row r="237" spans="2:98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</row>
    <row r="238" spans="2:98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</row>
    <row r="239" spans="2:98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</row>
    <row r="240" spans="2:98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</row>
    <row r="241" spans="2:98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</row>
    <row r="242" spans="2:98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</row>
    <row r="243" spans="2:98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</row>
    <row r="244" spans="2:98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</row>
    <row r="245" spans="2:98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</row>
    <row r="246" spans="2:98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</row>
    <row r="247" spans="2:98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</row>
    <row r="248" spans="2:98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</row>
    <row r="249" spans="2:98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</row>
    <row r="250" spans="2:98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</row>
    <row r="251" spans="2:98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</row>
    <row r="252" spans="2:98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</row>
    <row r="253" spans="2:98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</row>
    <row r="254" spans="2:98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</row>
    <row r="255" spans="2:98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</row>
    <row r="256" spans="2:98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</row>
    <row r="257" spans="2:98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</row>
    <row r="258" spans="2:98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</row>
    <row r="259" spans="2:98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</row>
    <row r="260" spans="2:98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</row>
    <row r="261" spans="2:98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</row>
    <row r="262" spans="2:98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</row>
    <row r="263" spans="2:98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</row>
    <row r="264" spans="2:98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</row>
    <row r="265" spans="2:98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</row>
    <row r="266" spans="2:98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</row>
    <row r="267" spans="2:98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</row>
    <row r="268" spans="2:98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</row>
    <row r="269" spans="2:98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</row>
    <row r="270" spans="2:98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</row>
    <row r="271" spans="2:98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</row>
    <row r="272" spans="2:98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</row>
    <row r="273" spans="2:98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</row>
    <row r="274" spans="2:98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</row>
    <row r="275" spans="2:98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</row>
    <row r="276" spans="2:98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</row>
    <row r="277" spans="2:98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</row>
    <row r="278" spans="2:98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</row>
    <row r="279" spans="2:98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</row>
    <row r="280" spans="2:98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</row>
    <row r="281" spans="2:98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</row>
    <row r="282" spans="2:98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</row>
    <row r="283" spans="2:98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</row>
    <row r="284" spans="2:98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</row>
    <row r="285" spans="2:98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</row>
    <row r="286" spans="2:98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</row>
    <row r="287" spans="2:98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</row>
    <row r="288" spans="2:98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</row>
    <row r="289" spans="2:98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</row>
    <row r="290" spans="2:98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</row>
    <row r="291" spans="2:98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</row>
    <row r="292" spans="2:98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</row>
    <row r="293" spans="2:98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</row>
    <row r="294" spans="2:98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</row>
    <row r="295" spans="2:98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</row>
    <row r="296" spans="2:98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</row>
    <row r="297" spans="2:98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</row>
    <row r="298" spans="2:98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</row>
    <row r="299" spans="2:98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</row>
    <row r="300" spans="2:98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</row>
    <row r="301" spans="2:98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</row>
    <row r="302" spans="2:98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</row>
    <row r="303" spans="2:98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</row>
    <row r="304" spans="2:98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</row>
    <row r="305" spans="2:98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</row>
    <row r="306" spans="2:98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</row>
    <row r="307" spans="2:98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</row>
    <row r="308" spans="2:98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</row>
    <row r="309" spans="2:98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</row>
    <row r="310" spans="2:98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</row>
    <row r="311" spans="2:98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</row>
    <row r="312" spans="2:98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</row>
    <row r="313" spans="2:98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</row>
    <row r="314" spans="2:98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</row>
    <row r="315" spans="2:98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</row>
    <row r="316" spans="2:98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</row>
    <row r="317" spans="2:98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</row>
    <row r="318" spans="2:98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</row>
    <row r="319" spans="2:98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</row>
    <row r="320" spans="2:98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</row>
    <row r="321" spans="2:98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</row>
    <row r="322" spans="2:98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</row>
    <row r="323" spans="2:98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</row>
    <row r="324" spans="2:98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</row>
    <row r="325" spans="2:98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</row>
    <row r="326" spans="2:98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</row>
    <row r="327" spans="2:98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</row>
    <row r="328" spans="2:98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</row>
    <row r="329" spans="2:98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</row>
    <row r="330" spans="2:98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</row>
    <row r="331" spans="2:98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</row>
    <row r="332" spans="2:98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</row>
    <row r="333" spans="2:98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</row>
    <row r="334" spans="2:98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</row>
    <row r="335" spans="2:98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</row>
    <row r="336" spans="2:98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</row>
    <row r="337" spans="2:98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</row>
    <row r="338" spans="2:98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</row>
    <row r="339" spans="2:98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</row>
    <row r="340" spans="2:98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</row>
    <row r="341" spans="2:98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</row>
    <row r="342" spans="2:98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</row>
    <row r="343" spans="2:98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</row>
    <row r="344" spans="2:98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</row>
    <row r="345" spans="2:98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</row>
    <row r="346" spans="2:98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</row>
    <row r="347" spans="2:98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</row>
    <row r="348" spans="2:98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</row>
    <row r="349" spans="2:98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</row>
    <row r="350" spans="2:98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</row>
    <row r="351" spans="2:98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</row>
    <row r="352" spans="2:98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</row>
    <row r="353" spans="2:98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</row>
    <row r="354" spans="2:98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</row>
    <row r="355" spans="2:98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</row>
    <row r="356" spans="2:98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</row>
    <row r="357" spans="2:98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</row>
    <row r="358" spans="2:98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</row>
    <row r="359" spans="2:98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</row>
    <row r="360" spans="2:98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</row>
    <row r="361" spans="2:98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</row>
    <row r="362" spans="2:98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</row>
    <row r="363" spans="2:98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</row>
    <row r="364" spans="2:98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</row>
    <row r="365" spans="2:98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</row>
    <row r="366" spans="2:98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</row>
    <row r="367" spans="2:98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</row>
    <row r="368" spans="2:98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</row>
    <row r="369" spans="2:98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</row>
    <row r="370" spans="2:98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</row>
    <row r="371" spans="2:98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</row>
    <row r="372" spans="2:98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</row>
    <row r="373" spans="2:98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</row>
    <row r="374" spans="2:98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</row>
    <row r="375" spans="2:98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</row>
    <row r="376" spans="2:98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</row>
    <row r="377" spans="2:98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</row>
    <row r="378" spans="2:98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</row>
    <row r="379" spans="2:98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</row>
    <row r="380" spans="2:98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</row>
    <row r="381" spans="2:98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</row>
    <row r="382" spans="2:98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</row>
    <row r="383" spans="2:98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</row>
    <row r="384" spans="2:98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</row>
    <row r="385" spans="2:98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</row>
    <row r="386" spans="2:98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</row>
    <row r="387" spans="2:98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</row>
    <row r="388" spans="2:98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</row>
    <row r="389" spans="2:98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</row>
    <row r="390" spans="2:98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</row>
    <row r="391" spans="2:98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</row>
    <row r="392" spans="2:98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</row>
    <row r="393" spans="2:98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</row>
    <row r="394" spans="2:98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</row>
    <row r="395" spans="2:98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</row>
    <row r="396" spans="2:98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</row>
    <row r="397" spans="2:98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</row>
    <row r="398" spans="2:98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</row>
    <row r="399" spans="2:98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</row>
    <row r="400" spans="2:98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</row>
    <row r="401" spans="2:98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</row>
    <row r="402" spans="2:98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</row>
    <row r="403" spans="2:98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</row>
    <row r="404" spans="2:98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</row>
    <row r="405" spans="2:98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</row>
    <row r="406" spans="2:98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</row>
    <row r="407" spans="2:98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</row>
    <row r="408" spans="2:98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</row>
    <row r="409" spans="2:98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</row>
    <row r="410" spans="2:98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</row>
    <row r="411" spans="2:98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</row>
    <row r="412" spans="2:98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</row>
    <row r="413" spans="2:98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</row>
    <row r="414" spans="2:98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</row>
    <row r="415" spans="2:98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</row>
    <row r="416" spans="2:98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</row>
    <row r="417" spans="2:98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</row>
    <row r="418" spans="2:98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</row>
    <row r="419" spans="2:98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</row>
    <row r="420" spans="2:98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</row>
    <row r="421" spans="2:98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</row>
    <row r="422" spans="2:98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</row>
    <row r="423" spans="2:98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</row>
    <row r="424" spans="2:98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</row>
    <row r="425" spans="2:98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</row>
    <row r="426" spans="2:98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</row>
    <row r="427" spans="2:98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</row>
    <row r="428" spans="2:98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</row>
    <row r="429" spans="2:98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</row>
    <row r="430" spans="2:98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</row>
    <row r="431" spans="2:98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</row>
    <row r="432" spans="2:98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</row>
    <row r="433" spans="2:98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</row>
    <row r="434" spans="2:98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</row>
    <row r="435" spans="2:98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</row>
    <row r="436" spans="2:98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</row>
    <row r="437" spans="2:98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</row>
    <row r="438" spans="2:98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</row>
    <row r="439" spans="2:98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</row>
    <row r="440" spans="2:98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</row>
    <row r="441" spans="2:98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</row>
    <row r="442" spans="2:98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</row>
    <row r="443" spans="2:98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</row>
    <row r="444" spans="2:98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</row>
    <row r="445" spans="2:98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</row>
    <row r="446" spans="2:98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</row>
    <row r="447" spans="2:98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</row>
    <row r="448" spans="2:98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</row>
    <row r="449" spans="2:98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</row>
    <row r="450" spans="2:98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</row>
    <row r="451" spans="2:98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</row>
    <row r="452" spans="2:98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</row>
    <row r="453" spans="2:98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</row>
    <row r="454" spans="2:98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</row>
    <row r="455" spans="2:98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</row>
    <row r="456" spans="2:98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</row>
    <row r="457" spans="2:98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</row>
    <row r="458" spans="2:98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</row>
    <row r="459" spans="2:98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</row>
    <row r="460" spans="2:98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</row>
    <row r="461" spans="2:98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</row>
    <row r="462" spans="2:98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</row>
    <row r="463" spans="2:98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</row>
    <row r="464" spans="2:98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</row>
    <row r="465" spans="2:98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</row>
    <row r="466" spans="2:98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</row>
    <row r="467" spans="2:98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</row>
    <row r="468" spans="2:98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</row>
    <row r="469" spans="2:98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</row>
    <row r="470" spans="2:98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</row>
    <row r="471" spans="2:98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</row>
    <row r="472" spans="2:98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</row>
    <row r="473" spans="2:98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</row>
    <row r="474" spans="2:98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</row>
    <row r="475" spans="2:98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</row>
    <row r="476" spans="2:98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</row>
    <row r="477" spans="2:98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</row>
    <row r="478" spans="2:98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</row>
    <row r="479" spans="2:98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</row>
    <row r="480" spans="2:98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</row>
    <row r="481" spans="2:98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</row>
    <row r="482" spans="2:98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</row>
    <row r="483" spans="2:98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</row>
    <row r="484" spans="2:98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</row>
    <row r="485" spans="2:98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</row>
    <row r="486" spans="2:98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</row>
    <row r="487" spans="2:98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</row>
    <row r="488" spans="2:98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</row>
    <row r="489" spans="2:98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</row>
    <row r="490" spans="2:98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</row>
    <row r="491" spans="2:98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</row>
    <row r="492" spans="2:98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</row>
    <row r="493" spans="2:98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</row>
    <row r="494" spans="2:98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</row>
    <row r="495" spans="2:98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</row>
    <row r="496" spans="2:98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</row>
    <row r="497" spans="2:98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</row>
    <row r="498" spans="2:98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</row>
    <row r="499" spans="2:98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</row>
    <row r="500" spans="2:98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</row>
    <row r="501" spans="2:98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</row>
    <row r="502" spans="2:98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</row>
    <row r="503" spans="2:98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</row>
    <row r="504" spans="2:98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</row>
    <row r="505" spans="2:98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</row>
    <row r="506" spans="2:98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</row>
    <row r="507" spans="2:98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</row>
    <row r="508" spans="2:98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</row>
    <row r="509" spans="2:98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</row>
    <row r="510" spans="2:98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</row>
    <row r="511" spans="2:98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</row>
    <row r="512" spans="2:98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</row>
    <row r="513" spans="2:98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</row>
    <row r="514" spans="2:98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</row>
    <row r="515" spans="2:98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</row>
    <row r="516" spans="2:98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</row>
    <row r="517" spans="2:98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</row>
    <row r="518" spans="2:98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</row>
    <row r="519" spans="2:98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</row>
    <row r="520" spans="2:98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</row>
    <row r="521" spans="2:98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</row>
    <row r="522" spans="2:98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</row>
    <row r="523" spans="2:98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</row>
    <row r="524" spans="2:98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</row>
    <row r="525" spans="2:98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</row>
    <row r="526" spans="2:98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</row>
    <row r="527" spans="2:98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</row>
    <row r="528" spans="2:98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</row>
    <row r="529" spans="2:98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</row>
    <row r="530" spans="2:98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</row>
    <row r="531" spans="2:98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</row>
    <row r="532" spans="2:98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</row>
    <row r="533" spans="2:98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</row>
    <row r="534" spans="2:98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</row>
    <row r="535" spans="2:98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</row>
    <row r="536" spans="2:98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</row>
    <row r="537" spans="2:98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</row>
    <row r="538" spans="2:98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</row>
    <row r="539" spans="2:98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</row>
    <row r="540" spans="2:98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</row>
    <row r="541" spans="2:98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</row>
    <row r="542" spans="2:98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</row>
    <row r="543" spans="2:98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</row>
    <row r="544" spans="2:98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</row>
    <row r="545" spans="2:98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</row>
    <row r="546" spans="2:98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</row>
    <row r="547" spans="2:98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</row>
    <row r="548" spans="2:98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</row>
    <row r="549" spans="2:98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</row>
    <row r="550" spans="2:98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</row>
    <row r="551" spans="2:98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</row>
    <row r="552" spans="2:98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</row>
    <row r="553" spans="2:98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</row>
    <row r="554" spans="2:98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</row>
    <row r="555" spans="2:98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</row>
    <row r="556" spans="2:98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</row>
    <row r="557" spans="2:98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</row>
    <row r="558" spans="2:98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</row>
    <row r="559" spans="2:98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</row>
    <row r="560" spans="2:98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</row>
    <row r="561" spans="2:98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</row>
    <row r="562" spans="2:98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</row>
    <row r="563" spans="2:98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</row>
    <row r="564" spans="2:98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</row>
    <row r="565" spans="2:98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</row>
    <row r="566" spans="2:98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</row>
    <row r="567" spans="2:98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</row>
    <row r="568" spans="2:98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</row>
    <row r="569" spans="2:98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</row>
    <row r="570" spans="2:98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</row>
    <row r="571" spans="2:98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</row>
    <row r="572" spans="2:98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</row>
    <row r="573" spans="2:98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</row>
    <row r="574" spans="2:98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</row>
    <row r="575" spans="2:98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</row>
    <row r="576" spans="2:98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</row>
    <row r="577" spans="2:98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</row>
    <row r="578" spans="2:98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</row>
    <row r="579" spans="2:98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</row>
    <row r="580" spans="2:98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</row>
    <row r="581" spans="2:98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</row>
    <row r="582" spans="2:98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</row>
    <row r="583" spans="2:98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</row>
    <row r="584" spans="2:98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</row>
    <row r="585" spans="2:98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</row>
    <row r="586" spans="2:98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</row>
    <row r="587" spans="2:98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</row>
    <row r="588" spans="2:98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</row>
    <row r="589" spans="2:98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</row>
    <row r="590" spans="2:98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</row>
    <row r="591" spans="2:98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</row>
    <row r="592" spans="2:98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</row>
    <row r="593" spans="2:98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</row>
    <row r="594" spans="2:98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</row>
    <row r="595" spans="2:98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</row>
    <row r="596" spans="2:98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</row>
    <row r="597" spans="2:98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</row>
    <row r="598" spans="2:98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</row>
    <row r="599" spans="2:98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</row>
    <row r="600" spans="2:98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</row>
    <row r="601" spans="2:98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</row>
    <row r="602" spans="2:98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</row>
    <row r="603" spans="2:98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</row>
    <row r="604" spans="2:98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</row>
    <row r="605" spans="2:98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</row>
    <row r="606" spans="2:98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</row>
    <row r="607" spans="2:98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</row>
    <row r="608" spans="2:98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</row>
    <row r="609" spans="2:98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</row>
    <row r="610" spans="2:98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</row>
    <row r="611" spans="2:98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</row>
    <row r="612" spans="2:98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</row>
    <row r="613" spans="2:98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</row>
    <row r="614" spans="2:98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</row>
    <row r="615" spans="2:98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</row>
    <row r="616" spans="2:98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</row>
    <row r="617" spans="2:98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</row>
    <row r="618" spans="2:98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</row>
    <row r="619" spans="2:98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</row>
    <row r="620" spans="2:98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</row>
    <row r="621" spans="2:98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</row>
    <row r="622" spans="2:98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</row>
    <row r="623" spans="2:98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</row>
    <row r="624" spans="2:98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</row>
    <row r="625" spans="2:98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</row>
    <row r="626" spans="2:98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</row>
    <row r="627" spans="2:98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</row>
    <row r="628" spans="2:98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</row>
    <row r="629" spans="2:98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</row>
    <row r="630" spans="2:98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</row>
    <row r="631" spans="2:98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</row>
    <row r="632" spans="2:98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</row>
    <row r="633" spans="2:98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</row>
    <row r="634" spans="2:98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</row>
    <row r="635" spans="2:98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</row>
    <row r="636" spans="2:98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</row>
    <row r="637" spans="2:98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</row>
    <row r="638" spans="2:98"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</row>
    <row r="639" spans="2:98"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</row>
    <row r="640" spans="2:98"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</row>
    <row r="641" spans="2:98"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</row>
    <row r="642" spans="2:98"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</row>
    <row r="643" spans="2:98"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</row>
    <row r="644" spans="2:98"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</row>
    <row r="645" spans="2:98"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</row>
    <row r="646" spans="2:98"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</row>
    <row r="647" spans="2:98"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</row>
    <row r="648" spans="2:98"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</row>
    <row r="649" spans="2:98"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</row>
    <row r="650" spans="2:98"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</row>
    <row r="651" spans="2:98"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</row>
    <row r="652" spans="2:98"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</row>
    <row r="653" spans="2:98"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</row>
    <row r="654" spans="2:98"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</row>
    <row r="655" spans="2:98"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</row>
    <row r="656" spans="2:98"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</row>
    <row r="657" spans="2:98"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</row>
    <row r="658" spans="2:98"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</row>
    <row r="659" spans="2:98"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</row>
    <row r="660" spans="2:98"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</row>
    <row r="661" spans="2:98"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</row>
    <row r="662" spans="2:98"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</row>
    <row r="663" spans="2:98"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</row>
    <row r="664" spans="2:98"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</row>
    <row r="665" spans="2:98"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</row>
    <row r="666" spans="2:98"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</row>
    <row r="667" spans="2:98"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</row>
    <row r="668" spans="2:98"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</row>
    <row r="669" spans="2:98"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</row>
    <row r="670" spans="2:98"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</row>
    <row r="671" spans="2:98"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</row>
    <row r="672" spans="2:98"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</row>
    <row r="673" spans="2:98"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</row>
    <row r="674" spans="2:98"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</row>
    <row r="675" spans="2:98"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</row>
    <row r="676" spans="2:98"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</row>
    <row r="677" spans="2:98"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</row>
    <row r="678" spans="2:98"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</row>
    <row r="679" spans="2:98"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</row>
    <row r="680" spans="2:98"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</row>
    <row r="681" spans="2:98"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</row>
    <row r="682" spans="2:98"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</row>
    <row r="683" spans="2:98"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</row>
    <row r="684" spans="2:98"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</row>
    <row r="685" spans="2:98"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</row>
    <row r="686" spans="2:98"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</row>
    <row r="687" spans="2:98"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</row>
    <row r="688" spans="2:98"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</row>
    <row r="689" spans="2:98"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</row>
    <row r="690" spans="2:98"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</row>
    <row r="691" spans="2:98"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</row>
    <row r="692" spans="2:98"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</row>
    <row r="693" spans="2:98"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</row>
    <row r="694" spans="2:98"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</row>
    <row r="695" spans="2:98"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</row>
    <row r="696" spans="2:98"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</row>
    <row r="697" spans="2:98"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</row>
    <row r="698" spans="2:98"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</row>
    <row r="699" spans="2:98"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</row>
    <row r="700" spans="2:98"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</row>
    <row r="701" spans="2:98"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</row>
    <row r="702" spans="2:98"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</row>
    <row r="703" spans="2:98"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</row>
    <row r="704" spans="2:98"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</row>
    <row r="705" spans="2:98"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</row>
    <row r="706" spans="2:98"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</row>
    <row r="707" spans="2:98"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</row>
    <row r="708" spans="2:98"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1"/>
      <c r="CP708" s="21"/>
      <c r="CQ708" s="21"/>
      <c r="CR708" s="21"/>
      <c r="CS708" s="21"/>
      <c r="CT708" s="21"/>
    </row>
    <row r="709" spans="2:98"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</row>
    <row r="710" spans="2:98"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1"/>
      <c r="CP710" s="21"/>
      <c r="CQ710" s="21"/>
      <c r="CR710" s="21"/>
      <c r="CS710" s="21"/>
      <c r="CT710" s="21"/>
    </row>
    <row r="711" spans="2:98"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</row>
    <row r="712" spans="2:98"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1"/>
      <c r="CP712" s="21"/>
      <c r="CQ712" s="21"/>
      <c r="CR712" s="21"/>
      <c r="CS712" s="21"/>
      <c r="CT712" s="21"/>
    </row>
    <row r="713" spans="2:98"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1"/>
      <c r="CP713" s="21"/>
      <c r="CQ713" s="21"/>
      <c r="CR713" s="21"/>
      <c r="CS713" s="21"/>
      <c r="CT713" s="21"/>
    </row>
    <row r="714" spans="2:98"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1"/>
      <c r="CP714" s="21"/>
      <c r="CQ714" s="21"/>
      <c r="CR714" s="21"/>
      <c r="CS714" s="21"/>
      <c r="CT714" s="21"/>
    </row>
    <row r="715" spans="2:98"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1"/>
      <c r="CP715" s="21"/>
      <c r="CQ715" s="21"/>
      <c r="CR715" s="21"/>
      <c r="CS715" s="21"/>
      <c r="CT715" s="21"/>
    </row>
    <row r="716" spans="2:98"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1"/>
      <c r="CP716" s="21"/>
      <c r="CQ716" s="21"/>
      <c r="CR716" s="21"/>
      <c r="CS716" s="21"/>
      <c r="CT716" s="21"/>
    </row>
    <row r="717" spans="2:98"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1"/>
      <c r="CP717" s="21"/>
      <c r="CQ717" s="21"/>
      <c r="CR717" s="21"/>
      <c r="CS717" s="21"/>
      <c r="CT717" s="21"/>
    </row>
    <row r="718" spans="2:98"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1"/>
      <c r="CP718" s="21"/>
      <c r="CQ718" s="21"/>
      <c r="CR718" s="21"/>
      <c r="CS718" s="21"/>
      <c r="CT718" s="21"/>
    </row>
    <row r="719" spans="2:98"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1"/>
      <c r="CP719" s="21"/>
      <c r="CQ719" s="21"/>
      <c r="CR719" s="21"/>
      <c r="CS719" s="21"/>
      <c r="CT719" s="21"/>
    </row>
    <row r="720" spans="2:98"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1"/>
      <c r="CP720" s="21"/>
      <c r="CQ720" s="21"/>
      <c r="CR720" s="21"/>
      <c r="CS720" s="21"/>
      <c r="CT720" s="21"/>
    </row>
    <row r="721" spans="2:98"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1"/>
      <c r="CP721" s="21"/>
      <c r="CQ721" s="21"/>
      <c r="CR721" s="21"/>
      <c r="CS721" s="21"/>
      <c r="CT721" s="21"/>
    </row>
    <row r="722" spans="2:98"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1"/>
      <c r="CP722" s="21"/>
      <c r="CQ722" s="21"/>
      <c r="CR722" s="21"/>
      <c r="CS722" s="21"/>
      <c r="CT722" s="21"/>
    </row>
    <row r="723" spans="2:98"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1"/>
      <c r="CP723" s="21"/>
      <c r="CQ723" s="21"/>
      <c r="CR723" s="21"/>
      <c r="CS723" s="21"/>
      <c r="CT723" s="21"/>
    </row>
    <row r="724" spans="2:98"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1"/>
      <c r="CP724" s="21"/>
      <c r="CQ724" s="21"/>
      <c r="CR724" s="21"/>
      <c r="CS724" s="21"/>
      <c r="CT724" s="21"/>
    </row>
    <row r="725" spans="2:98"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1"/>
      <c r="CP725" s="21"/>
      <c r="CQ725" s="21"/>
      <c r="CR725" s="21"/>
      <c r="CS725" s="21"/>
      <c r="CT725" s="21"/>
    </row>
    <row r="726" spans="2:98"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1"/>
      <c r="CP726" s="21"/>
      <c r="CQ726" s="21"/>
      <c r="CR726" s="21"/>
      <c r="CS726" s="21"/>
      <c r="CT726" s="21"/>
    </row>
    <row r="727" spans="2:98"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1"/>
      <c r="CP727" s="21"/>
      <c r="CQ727" s="21"/>
      <c r="CR727" s="21"/>
      <c r="CS727" s="21"/>
      <c r="CT727" s="21"/>
    </row>
    <row r="728" spans="2:98"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1"/>
      <c r="CP728" s="21"/>
      <c r="CQ728" s="21"/>
      <c r="CR728" s="21"/>
      <c r="CS728" s="21"/>
      <c r="CT728" s="21"/>
    </row>
    <row r="729" spans="2:98"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1"/>
      <c r="CP729" s="21"/>
      <c r="CQ729" s="21"/>
      <c r="CR729" s="21"/>
      <c r="CS729" s="21"/>
      <c r="CT729" s="21"/>
    </row>
    <row r="730" spans="2:98"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1"/>
      <c r="CP730" s="21"/>
      <c r="CQ730" s="21"/>
      <c r="CR730" s="21"/>
      <c r="CS730" s="21"/>
      <c r="CT730" s="21"/>
    </row>
    <row r="731" spans="2:98"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1"/>
      <c r="CP731" s="21"/>
      <c r="CQ731" s="21"/>
      <c r="CR731" s="21"/>
      <c r="CS731" s="21"/>
      <c r="CT731" s="21"/>
    </row>
    <row r="732" spans="2:98"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1"/>
      <c r="CP732" s="21"/>
      <c r="CQ732" s="21"/>
      <c r="CR732" s="21"/>
      <c r="CS732" s="21"/>
      <c r="CT732" s="21"/>
    </row>
    <row r="733" spans="2:98"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</row>
    <row r="734" spans="2:98"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1"/>
      <c r="CP734" s="21"/>
      <c r="CQ734" s="21"/>
      <c r="CR734" s="21"/>
      <c r="CS734" s="21"/>
      <c r="CT734" s="21"/>
    </row>
    <row r="735" spans="2:98"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1"/>
      <c r="CP735" s="21"/>
      <c r="CQ735" s="21"/>
      <c r="CR735" s="21"/>
      <c r="CS735" s="21"/>
      <c r="CT735" s="21"/>
    </row>
    <row r="736" spans="2:98"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1"/>
      <c r="CP736" s="21"/>
      <c r="CQ736" s="21"/>
      <c r="CR736" s="21"/>
      <c r="CS736" s="21"/>
      <c r="CT736" s="21"/>
    </row>
    <row r="737" spans="2:98"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1"/>
      <c r="CP737" s="21"/>
      <c r="CQ737" s="21"/>
      <c r="CR737" s="21"/>
      <c r="CS737" s="21"/>
      <c r="CT737" s="21"/>
    </row>
    <row r="738" spans="2:98"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1"/>
      <c r="CP738" s="21"/>
      <c r="CQ738" s="21"/>
      <c r="CR738" s="21"/>
      <c r="CS738" s="21"/>
      <c r="CT738" s="21"/>
    </row>
    <row r="739" spans="2:98"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1"/>
      <c r="CP739" s="21"/>
      <c r="CQ739" s="21"/>
      <c r="CR739" s="21"/>
      <c r="CS739" s="21"/>
      <c r="CT739" s="21"/>
    </row>
    <row r="740" spans="2:98"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1"/>
      <c r="CP740" s="21"/>
      <c r="CQ740" s="21"/>
      <c r="CR740" s="21"/>
      <c r="CS740" s="21"/>
      <c r="CT740" s="21"/>
    </row>
    <row r="741" spans="2:98"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1"/>
      <c r="CP741" s="21"/>
      <c r="CQ741" s="21"/>
      <c r="CR741" s="21"/>
      <c r="CS741" s="21"/>
      <c r="CT741" s="21"/>
    </row>
    <row r="742" spans="2:98"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1"/>
      <c r="CP742" s="21"/>
      <c r="CQ742" s="21"/>
      <c r="CR742" s="21"/>
      <c r="CS742" s="21"/>
      <c r="CT742" s="21"/>
    </row>
    <row r="743" spans="2:98"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1"/>
      <c r="CP743" s="21"/>
      <c r="CQ743" s="21"/>
      <c r="CR743" s="21"/>
      <c r="CS743" s="21"/>
      <c r="CT743" s="21"/>
    </row>
    <row r="744" spans="2:98"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1"/>
      <c r="CP744" s="21"/>
      <c r="CQ744" s="21"/>
      <c r="CR744" s="21"/>
      <c r="CS744" s="21"/>
      <c r="CT744" s="21"/>
    </row>
    <row r="745" spans="2:98"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1"/>
      <c r="CP745" s="21"/>
      <c r="CQ745" s="21"/>
      <c r="CR745" s="21"/>
      <c r="CS745" s="21"/>
      <c r="CT745" s="21"/>
    </row>
    <row r="746" spans="2:98"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1"/>
      <c r="CP746" s="21"/>
      <c r="CQ746" s="21"/>
      <c r="CR746" s="21"/>
      <c r="CS746" s="21"/>
      <c r="CT746" s="21"/>
    </row>
    <row r="747" spans="2:98"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1"/>
      <c r="CP747" s="21"/>
      <c r="CQ747" s="21"/>
      <c r="CR747" s="21"/>
      <c r="CS747" s="21"/>
      <c r="CT747" s="21"/>
    </row>
    <row r="748" spans="2:98"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1"/>
      <c r="CP748" s="21"/>
      <c r="CQ748" s="21"/>
      <c r="CR748" s="21"/>
      <c r="CS748" s="21"/>
      <c r="CT748" s="21"/>
    </row>
    <row r="749" spans="2:98"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1"/>
      <c r="CP749" s="21"/>
      <c r="CQ749" s="21"/>
      <c r="CR749" s="21"/>
      <c r="CS749" s="21"/>
      <c r="CT749" s="21"/>
    </row>
    <row r="750" spans="2:98"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1"/>
      <c r="CP750" s="21"/>
      <c r="CQ750" s="21"/>
      <c r="CR750" s="21"/>
      <c r="CS750" s="21"/>
      <c r="CT750" s="21"/>
    </row>
    <row r="751" spans="2:98"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1"/>
      <c r="CP751" s="21"/>
      <c r="CQ751" s="21"/>
      <c r="CR751" s="21"/>
      <c r="CS751" s="21"/>
      <c r="CT751" s="21"/>
    </row>
    <row r="752" spans="2:98"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1"/>
      <c r="CP752" s="21"/>
      <c r="CQ752" s="21"/>
      <c r="CR752" s="21"/>
      <c r="CS752" s="21"/>
      <c r="CT752" s="21"/>
    </row>
    <row r="753" spans="2:98"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</row>
    <row r="754" spans="2:98"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1"/>
      <c r="CP754" s="21"/>
      <c r="CQ754" s="21"/>
      <c r="CR754" s="21"/>
      <c r="CS754" s="21"/>
      <c r="CT754" s="21"/>
    </row>
    <row r="755" spans="2:98"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1"/>
      <c r="CP755" s="21"/>
      <c r="CQ755" s="21"/>
      <c r="CR755" s="21"/>
      <c r="CS755" s="21"/>
      <c r="CT755" s="21"/>
    </row>
    <row r="756" spans="2:98"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1"/>
      <c r="CP756" s="21"/>
      <c r="CQ756" s="21"/>
      <c r="CR756" s="21"/>
      <c r="CS756" s="21"/>
      <c r="CT756" s="21"/>
    </row>
    <row r="757" spans="2:98"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1"/>
      <c r="CP757" s="21"/>
      <c r="CQ757" s="21"/>
      <c r="CR757" s="21"/>
      <c r="CS757" s="21"/>
      <c r="CT757" s="21"/>
    </row>
    <row r="758" spans="2:98"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1"/>
      <c r="CP758" s="21"/>
      <c r="CQ758" s="21"/>
      <c r="CR758" s="21"/>
      <c r="CS758" s="21"/>
      <c r="CT758" s="21"/>
    </row>
    <row r="759" spans="2:98"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1"/>
      <c r="CP759" s="21"/>
      <c r="CQ759" s="21"/>
      <c r="CR759" s="21"/>
      <c r="CS759" s="21"/>
      <c r="CT759" s="21"/>
    </row>
    <row r="760" spans="2:98"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1"/>
      <c r="CP760" s="21"/>
      <c r="CQ760" s="21"/>
      <c r="CR760" s="21"/>
      <c r="CS760" s="21"/>
      <c r="CT760" s="21"/>
    </row>
    <row r="761" spans="2:98"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1"/>
      <c r="CP761" s="21"/>
      <c r="CQ761" s="21"/>
      <c r="CR761" s="21"/>
      <c r="CS761" s="21"/>
      <c r="CT761" s="21"/>
    </row>
    <row r="762" spans="2:98"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1"/>
      <c r="CP762" s="21"/>
      <c r="CQ762" s="21"/>
      <c r="CR762" s="21"/>
      <c r="CS762" s="21"/>
      <c r="CT762" s="21"/>
    </row>
    <row r="763" spans="2:98"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1"/>
      <c r="CP763" s="21"/>
      <c r="CQ763" s="21"/>
      <c r="CR763" s="21"/>
      <c r="CS763" s="21"/>
      <c r="CT763" s="21"/>
    </row>
    <row r="764" spans="2:98"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1"/>
      <c r="CP764" s="21"/>
      <c r="CQ764" s="21"/>
      <c r="CR764" s="21"/>
      <c r="CS764" s="21"/>
      <c r="CT764" s="21"/>
    </row>
    <row r="765" spans="2:98"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1"/>
      <c r="CP765" s="21"/>
      <c r="CQ765" s="21"/>
      <c r="CR765" s="21"/>
      <c r="CS765" s="21"/>
      <c r="CT765" s="21"/>
    </row>
    <row r="766" spans="2:98"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</row>
    <row r="767" spans="2:98"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1"/>
      <c r="CP767" s="21"/>
      <c r="CQ767" s="21"/>
      <c r="CR767" s="21"/>
      <c r="CS767" s="21"/>
      <c r="CT767" s="21"/>
    </row>
    <row r="768" spans="2:98"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</row>
    <row r="769" spans="2:98"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1"/>
      <c r="CP769" s="21"/>
      <c r="CQ769" s="21"/>
      <c r="CR769" s="21"/>
      <c r="CS769" s="21"/>
      <c r="CT769" s="21"/>
    </row>
    <row r="770" spans="2:98"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1"/>
      <c r="CP770" s="21"/>
      <c r="CQ770" s="21"/>
      <c r="CR770" s="21"/>
      <c r="CS770" s="21"/>
      <c r="CT770" s="21"/>
    </row>
    <row r="771" spans="2:98"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1"/>
      <c r="CP771" s="21"/>
      <c r="CQ771" s="21"/>
      <c r="CR771" s="21"/>
      <c r="CS771" s="21"/>
      <c r="CT771" s="21"/>
    </row>
    <row r="772" spans="2:98"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1"/>
      <c r="CP772" s="21"/>
      <c r="CQ772" s="21"/>
      <c r="CR772" s="21"/>
      <c r="CS772" s="21"/>
      <c r="CT772" s="21"/>
    </row>
    <row r="773" spans="2:98"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</row>
    <row r="774" spans="2:98"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1"/>
      <c r="CP774" s="21"/>
      <c r="CQ774" s="21"/>
      <c r="CR774" s="21"/>
      <c r="CS774" s="21"/>
      <c r="CT774" s="21"/>
    </row>
    <row r="775" spans="2:98"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1"/>
      <c r="CP775" s="21"/>
      <c r="CQ775" s="21"/>
      <c r="CR775" s="21"/>
      <c r="CS775" s="21"/>
      <c r="CT775" s="21"/>
    </row>
    <row r="776" spans="2:98"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1"/>
      <c r="CP776" s="21"/>
      <c r="CQ776" s="21"/>
      <c r="CR776" s="21"/>
      <c r="CS776" s="21"/>
      <c r="CT776" s="21"/>
    </row>
    <row r="777" spans="2:98"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1"/>
      <c r="CP777" s="21"/>
      <c r="CQ777" s="21"/>
      <c r="CR777" s="21"/>
      <c r="CS777" s="21"/>
      <c r="CT777" s="21"/>
    </row>
    <row r="778" spans="2:98"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1"/>
      <c r="CP778" s="21"/>
      <c r="CQ778" s="21"/>
      <c r="CR778" s="21"/>
      <c r="CS778" s="21"/>
      <c r="CT778" s="21"/>
    </row>
    <row r="779" spans="2:98"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1"/>
      <c r="CP779" s="21"/>
      <c r="CQ779" s="21"/>
      <c r="CR779" s="21"/>
      <c r="CS779" s="21"/>
      <c r="CT779" s="21"/>
    </row>
    <row r="780" spans="2:98"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1"/>
      <c r="CP780" s="21"/>
      <c r="CQ780" s="21"/>
      <c r="CR780" s="21"/>
      <c r="CS780" s="21"/>
      <c r="CT780" s="21"/>
    </row>
    <row r="781" spans="2:98"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</row>
    <row r="782" spans="2:98"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1"/>
      <c r="CP782" s="21"/>
      <c r="CQ782" s="21"/>
      <c r="CR782" s="21"/>
      <c r="CS782" s="21"/>
      <c r="CT782" s="21"/>
    </row>
    <row r="783" spans="2:98"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1"/>
      <c r="CP783" s="21"/>
      <c r="CQ783" s="21"/>
      <c r="CR783" s="21"/>
      <c r="CS783" s="21"/>
      <c r="CT783" s="21"/>
    </row>
    <row r="784" spans="2:98"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1"/>
      <c r="CP784" s="21"/>
      <c r="CQ784" s="21"/>
      <c r="CR784" s="21"/>
      <c r="CS784" s="21"/>
      <c r="CT784" s="21"/>
    </row>
    <row r="785" spans="2:98"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1"/>
      <c r="CP785" s="21"/>
      <c r="CQ785" s="21"/>
      <c r="CR785" s="21"/>
      <c r="CS785" s="21"/>
      <c r="CT785" s="21"/>
    </row>
    <row r="786" spans="2:98"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1"/>
      <c r="CP786" s="21"/>
      <c r="CQ786" s="21"/>
      <c r="CR786" s="21"/>
      <c r="CS786" s="21"/>
      <c r="CT786" s="21"/>
    </row>
    <row r="787" spans="2:98"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1"/>
      <c r="CP787" s="21"/>
      <c r="CQ787" s="21"/>
      <c r="CR787" s="21"/>
      <c r="CS787" s="21"/>
      <c r="CT787" s="21"/>
    </row>
    <row r="788" spans="2:98"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1"/>
      <c r="CP788" s="21"/>
      <c r="CQ788" s="21"/>
      <c r="CR788" s="21"/>
      <c r="CS788" s="21"/>
      <c r="CT788" s="21"/>
    </row>
    <row r="789" spans="2:98"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1"/>
      <c r="CP789" s="21"/>
      <c r="CQ789" s="21"/>
      <c r="CR789" s="21"/>
      <c r="CS789" s="21"/>
      <c r="CT789" s="21"/>
    </row>
    <row r="790" spans="2:98"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1"/>
      <c r="CP790" s="21"/>
      <c r="CQ790" s="21"/>
      <c r="CR790" s="21"/>
      <c r="CS790" s="21"/>
      <c r="CT790" s="21"/>
    </row>
    <row r="791" spans="2:98"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1"/>
      <c r="CP791" s="21"/>
      <c r="CQ791" s="21"/>
      <c r="CR791" s="21"/>
      <c r="CS791" s="21"/>
      <c r="CT791" s="21"/>
    </row>
    <row r="792" spans="2:98"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1"/>
      <c r="CP792" s="21"/>
      <c r="CQ792" s="21"/>
      <c r="CR792" s="21"/>
      <c r="CS792" s="21"/>
      <c r="CT792" s="21"/>
    </row>
    <row r="793" spans="2:98"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1"/>
      <c r="CP793" s="21"/>
      <c r="CQ793" s="21"/>
      <c r="CR793" s="21"/>
      <c r="CS793" s="21"/>
      <c r="CT793" s="21"/>
    </row>
    <row r="794" spans="2:98"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1"/>
      <c r="CP794" s="21"/>
      <c r="CQ794" s="21"/>
      <c r="CR794" s="21"/>
      <c r="CS794" s="21"/>
      <c r="CT794" s="21"/>
    </row>
    <row r="795" spans="2:98"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1"/>
      <c r="CP795" s="21"/>
      <c r="CQ795" s="21"/>
      <c r="CR795" s="21"/>
      <c r="CS795" s="21"/>
      <c r="CT795" s="21"/>
    </row>
    <row r="796" spans="2:98"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1"/>
      <c r="CP796" s="21"/>
      <c r="CQ796" s="21"/>
      <c r="CR796" s="21"/>
      <c r="CS796" s="21"/>
      <c r="CT796" s="21"/>
    </row>
    <row r="797" spans="2:98"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</row>
    <row r="798" spans="2:98"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1"/>
      <c r="CP798" s="21"/>
      <c r="CQ798" s="21"/>
      <c r="CR798" s="21"/>
      <c r="CS798" s="21"/>
      <c r="CT798" s="21"/>
    </row>
    <row r="799" spans="2:98"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1"/>
      <c r="CP799" s="21"/>
      <c r="CQ799" s="21"/>
      <c r="CR799" s="21"/>
      <c r="CS799" s="21"/>
      <c r="CT799" s="21"/>
    </row>
    <row r="800" spans="2:98"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1"/>
      <c r="CP800" s="21"/>
      <c r="CQ800" s="21"/>
      <c r="CR800" s="21"/>
      <c r="CS800" s="21"/>
      <c r="CT800" s="21"/>
    </row>
    <row r="801" spans="2:98"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1"/>
      <c r="CP801" s="21"/>
      <c r="CQ801" s="21"/>
      <c r="CR801" s="21"/>
      <c r="CS801" s="21"/>
      <c r="CT801" s="21"/>
    </row>
    <row r="802" spans="2:98"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1"/>
      <c r="CP802" s="21"/>
      <c r="CQ802" s="21"/>
      <c r="CR802" s="21"/>
      <c r="CS802" s="21"/>
      <c r="CT802" s="21"/>
    </row>
    <row r="803" spans="2:98"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1"/>
      <c r="CP803" s="21"/>
      <c r="CQ803" s="21"/>
      <c r="CR803" s="21"/>
      <c r="CS803" s="21"/>
      <c r="CT803" s="21"/>
    </row>
    <row r="804" spans="2:98"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1"/>
      <c r="CP804" s="21"/>
      <c r="CQ804" s="21"/>
      <c r="CR804" s="21"/>
      <c r="CS804" s="21"/>
      <c r="CT804" s="21"/>
    </row>
    <row r="805" spans="2:98"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1"/>
      <c r="CP805" s="21"/>
      <c r="CQ805" s="21"/>
      <c r="CR805" s="21"/>
      <c r="CS805" s="21"/>
      <c r="CT805" s="21"/>
    </row>
    <row r="806" spans="2:98"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1"/>
      <c r="CP806" s="21"/>
      <c r="CQ806" s="21"/>
      <c r="CR806" s="21"/>
      <c r="CS806" s="21"/>
      <c r="CT806" s="21"/>
    </row>
    <row r="807" spans="2:98"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1"/>
      <c r="CP807" s="21"/>
      <c r="CQ807" s="21"/>
      <c r="CR807" s="21"/>
      <c r="CS807" s="21"/>
      <c r="CT807" s="21"/>
    </row>
    <row r="808" spans="2:98"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1"/>
      <c r="CP808" s="21"/>
      <c r="CQ808" s="21"/>
      <c r="CR808" s="21"/>
      <c r="CS808" s="21"/>
      <c r="CT808" s="21"/>
    </row>
    <row r="809" spans="2:98"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1"/>
      <c r="CP809" s="21"/>
      <c r="CQ809" s="21"/>
      <c r="CR809" s="21"/>
      <c r="CS809" s="21"/>
      <c r="CT809" s="21"/>
    </row>
    <row r="810" spans="2:98"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1"/>
      <c r="CP810" s="21"/>
      <c r="CQ810" s="21"/>
      <c r="CR810" s="21"/>
      <c r="CS810" s="21"/>
      <c r="CT810" s="21"/>
    </row>
    <row r="811" spans="2:98"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1"/>
      <c r="CP811" s="21"/>
      <c r="CQ811" s="21"/>
      <c r="CR811" s="21"/>
      <c r="CS811" s="21"/>
      <c r="CT811" s="21"/>
    </row>
    <row r="812" spans="2:98"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</row>
    <row r="813" spans="2:98"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1"/>
      <c r="CP813" s="21"/>
      <c r="CQ813" s="21"/>
      <c r="CR813" s="21"/>
      <c r="CS813" s="21"/>
      <c r="CT813" s="21"/>
    </row>
    <row r="814" spans="2:98"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1"/>
      <c r="CP814" s="21"/>
      <c r="CQ814" s="21"/>
      <c r="CR814" s="21"/>
      <c r="CS814" s="21"/>
      <c r="CT814" s="21"/>
    </row>
    <row r="815" spans="2:98"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1"/>
      <c r="CP815" s="21"/>
      <c r="CQ815" s="21"/>
      <c r="CR815" s="21"/>
      <c r="CS815" s="21"/>
      <c r="CT815" s="21"/>
    </row>
    <row r="816" spans="2:98"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1"/>
      <c r="CP816" s="21"/>
      <c r="CQ816" s="21"/>
      <c r="CR816" s="21"/>
      <c r="CS816" s="21"/>
      <c r="CT816" s="21"/>
    </row>
    <row r="817" spans="2:98"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1"/>
      <c r="CP817" s="21"/>
      <c r="CQ817" s="21"/>
      <c r="CR817" s="21"/>
      <c r="CS817" s="21"/>
      <c r="CT817" s="21"/>
    </row>
    <row r="818" spans="2:98"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1"/>
      <c r="CP818" s="21"/>
      <c r="CQ818" s="21"/>
      <c r="CR818" s="21"/>
      <c r="CS818" s="21"/>
      <c r="CT818" s="21"/>
    </row>
    <row r="819" spans="2:98"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1"/>
      <c r="CP819" s="21"/>
      <c r="CQ819" s="21"/>
      <c r="CR819" s="21"/>
      <c r="CS819" s="21"/>
      <c r="CT819" s="21"/>
    </row>
    <row r="820" spans="2:98"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1"/>
      <c r="CP820" s="21"/>
      <c r="CQ820" s="21"/>
      <c r="CR820" s="21"/>
      <c r="CS820" s="21"/>
      <c r="CT820" s="21"/>
    </row>
    <row r="821" spans="2:98"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1"/>
      <c r="CP821" s="21"/>
      <c r="CQ821" s="21"/>
      <c r="CR821" s="21"/>
      <c r="CS821" s="21"/>
      <c r="CT821" s="21"/>
    </row>
    <row r="822" spans="2:98"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1"/>
      <c r="CP822" s="21"/>
      <c r="CQ822" s="21"/>
      <c r="CR822" s="21"/>
      <c r="CS822" s="21"/>
      <c r="CT822" s="21"/>
    </row>
    <row r="823" spans="2:98"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1"/>
      <c r="CP823" s="21"/>
      <c r="CQ823" s="21"/>
      <c r="CR823" s="21"/>
      <c r="CS823" s="21"/>
      <c r="CT823" s="21"/>
    </row>
    <row r="824" spans="2:98"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1"/>
      <c r="CP824" s="21"/>
      <c r="CQ824" s="21"/>
      <c r="CR824" s="21"/>
      <c r="CS824" s="21"/>
      <c r="CT824" s="21"/>
    </row>
    <row r="825" spans="2:98"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1"/>
      <c r="CP825" s="21"/>
      <c r="CQ825" s="21"/>
      <c r="CR825" s="21"/>
      <c r="CS825" s="21"/>
      <c r="CT825" s="21"/>
    </row>
    <row r="826" spans="2:98"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1"/>
      <c r="CP826" s="21"/>
      <c r="CQ826" s="21"/>
      <c r="CR826" s="21"/>
      <c r="CS826" s="21"/>
      <c r="CT826" s="21"/>
    </row>
    <row r="827" spans="2:98"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1"/>
      <c r="CP827" s="21"/>
      <c r="CQ827" s="21"/>
      <c r="CR827" s="21"/>
      <c r="CS827" s="21"/>
      <c r="CT827" s="21"/>
    </row>
    <row r="828" spans="2:98"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1"/>
      <c r="CP828" s="21"/>
      <c r="CQ828" s="21"/>
      <c r="CR828" s="21"/>
      <c r="CS828" s="21"/>
      <c r="CT828" s="21"/>
    </row>
    <row r="829" spans="2:98"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1"/>
      <c r="CP829" s="21"/>
      <c r="CQ829" s="21"/>
      <c r="CR829" s="21"/>
      <c r="CS829" s="21"/>
      <c r="CT829" s="21"/>
    </row>
    <row r="830" spans="2:98"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1"/>
      <c r="CP830" s="21"/>
      <c r="CQ830" s="21"/>
      <c r="CR830" s="21"/>
      <c r="CS830" s="21"/>
      <c r="CT830" s="21"/>
    </row>
    <row r="831" spans="2:98"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1"/>
      <c r="CP831" s="21"/>
      <c r="CQ831" s="21"/>
      <c r="CR831" s="21"/>
      <c r="CS831" s="21"/>
      <c r="CT831" s="21"/>
    </row>
    <row r="832" spans="2:98"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1"/>
      <c r="CP832" s="21"/>
      <c r="CQ832" s="21"/>
      <c r="CR832" s="21"/>
      <c r="CS832" s="21"/>
      <c r="CT832" s="21"/>
    </row>
    <row r="833" spans="2:98"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1"/>
      <c r="CP833" s="21"/>
      <c r="CQ833" s="21"/>
      <c r="CR833" s="21"/>
      <c r="CS833" s="21"/>
      <c r="CT833" s="21"/>
    </row>
    <row r="834" spans="2:98"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1"/>
      <c r="CP834" s="21"/>
      <c r="CQ834" s="21"/>
      <c r="CR834" s="21"/>
      <c r="CS834" s="21"/>
      <c r="CT834" s="21"/>
    </row>
    <row r="835" spans="2:98"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1"/>
      <c r="CP835" s="21"/>
      <c r="CQ835" s="21"/>
      <c r="CR835" s="21"/>
      <c r="CS835" s="21"/>
      <c r="CT835" s="21"/>
    </row>
    <row r="836" spans="2:98"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1"/>
      <c r="CP836" s="21"/>
      <c r="CQ836" s="21"/>
      <c r="CR836" s="21"/>
      <c r="CS836" s="21"/>
      <c r="CT836" s="21"/>
    </row>
    <row r="837" spans="2:98"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1"/>
      <c r="CP837" s="21"/>
      <c r="CQ837" s="21"/>
      <c r="CR837" s="21"/>
      <c r="CS837" s="21"/>
      <c r="CT837" s="21"/>
    </row>
    <row r="838" spans="2:98"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1"/>
      <c r="CP838" s="21"/>
      <c r="CQ838" s="21"/>
      <c r="CR838" s="21"/>
      <c r="CS838" s="21"/>
      <c r="CT838" s="21"/>
    </row>
    <row r="839" spans="2:98"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1"/>
      <c r="CP839" s="21"/>
      <c r="CQ839" s="21"/>
      <c r="CR839" s="21"/>
      <c r="CS839" s="21"/>
      <c r="CT839" s="21"/>
    </row>
    <row r="840" spans="2:98"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1"/>
      <c r="CP840" s="21"/>
      <c r="CQ840" s="21"/>
      <c r="CR840" s="21"/>
      <c r="CS840" s="21"/>
      <c r="CT840" s="21"/>
    </row>
    <row r="841" spans="2:98"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1"/>
      <c r="CP841" s="21"/>
      <c r="CQ841" s="21"/>
      <c r="CR841" s="21"/>
      <c r="CS841" s="21"/>
      <c r="CT841" s="21"/>
    </row>
    <row r="842" spans="2:98"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1"/>
      <c r="CP842" s="21"/>
      <c r="CQ842" s="21"/>
      <c r="CR842" s="21"/>
      <c r="CS842" s="21"/>
      <c r="CT842" s="21"/>
    </row>
    <row r="843" spans="2:98"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1"/>
      <c r="CP843" s="21"/>
      <c r="CQ843" s="21"/>
      <c r="CR843" s="21"/>
      <c r="CS843" s="21"/>
      <c r="CT843" s="21"/>
    </row>
    <row r="844" spans="2:98"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1"/>
      <c r="CP844" s="21"/>
      <c r="CQ844" s="21"/>
      <c r="CR844" s="21"/>
      <c r="CS844" s="21"/>
      <c r="CT844" s="21"/>
    </row>
    <row r="845" spans="2:98"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1"/>
      <c r="CP845" s="21"/>
      <c r="CQ845" s="21"/>
      <c r="CR845" s="21"/>
      <c r="CS845" s="21"/>
      <c r="CT845" s="21"/>
    </row>
    <row r="846" spans="2:98"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1"/>
      <c r="CP846" s="21"/>
      <c r="CQ846" s="21"/>
      <c r="CR846" s="21"/>
      <c r="CS846" s="21"/>
      <c r="CT846" s="21"/>
    </row>
    <row r="847" spans="2:98"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1"/>
      <c r="CP847" s="21"/>
      <c r="CQ847" s="21"/>
      <c r="CR847" s="21"/>
      <c r="CS847" s="21"/>
      <c r="CT847" s="21"/>
    </row>
    <row r="848" spans="2:98"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1"/>
      <c r="CP848" s="21"/>
      <c r="CQ848" s="21"/>
      <c r="CR848" s="21"/>
      <c r="CS848" s="21"/>
      <c r="CT848" s="21"/>
    </row>
    <row r="849" spans="2:98"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1"/>
      <c r="CP849" s="21"/>
      <c r="CQ849" s="21"/>
      <c r="CR849" s="21"/>
      <c r="CS849" s="21"/>
      <c r="CT849" s="21"/>
    </row>
    <row r="850" spans="2:98"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1"/>
      <c r="CP850" s="21"/>
      <c r="CQ850" s="21"/>
      <c r="CR850" s="21"/>
      <c r="CS850" s="21"/>
      <c r="CT850" s="21"/>
    </row>
    <row r="851" spans="2:98"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1"/>
      <c r="CP851" s="21"/>
      <c r="CQ851" s="21"/>
      <c r="CR851" s="21"/>
      <c r="CS851" s="21"/>
      <c r="CT851" s="21"/>
    </row>
    <row r="852" spans="2:98"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1"/>
      <c r="CP852" s="21"/>
      <c r="CQ852" s="21"/>
      <c r="CR852" s="21"/>
      <c r="CS852" s="21"/>
      <c r="CT852" s="21"/>
    </row>
    <row r="853" spans="2:98"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1"/>
      <c r="CP853" s="21"/>
      <c r="CQ853" s="21"/>
      <c r="CR853" s="21"/>
      <c r="CS853" s="21"/>
      <c r="CT853" s="21"/>
    </row>
    <row r="854" spans="2:98"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1"/>
      <c r="CP854" s="21"/>
      <c r="CQ854" s="21"/>
      <c r="CR854" s="21"/>
      <c r="CS854" s="21"/>
      <c r="CT854" s="21"/>
    </row>
    <row r="855" spans="2:98"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1"/>
      <c r="CP855" s="21"/>
      <c r="CQ855" s="21"/>
      <c r="CR855" s="21"/>
      <c r="CS855" s="21"/>
      <c r="CT855" s="21"/>
    </row>
    <row r="856" spans="2:98"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1"/>
      <c r="CP856" s="21"/>
      <c r="CQ856" s="21"/>
      <c r="CR856" s="21"/>
      <c r="CS856" s="21"/>
      <c r="CT856" s="21"/>
    </row>
    <row r="857" spans="2:98"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1"/>
      <c r="CP857" s="21"/>
      <c r="CQ857" s="21"/>
      <c r="CR857" s="21"/>
      <c r="CS857" s="21"/>
      <c r="CT857" s="21"/>
    </row>
    <row r="858" spans="2:98"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1"/>
      <c r="CP858" s="21"/>
      <c r="CQ858" s="21"/>
      <c r="CR858" s="21"/>
      <c r="CS858" s="21"/>
      <c r="CT858" s="21"/>
    </row>
    <row r="859" spans="2:98"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1"/>
      <c r="CP859" s="21"/>
      <c r="CQ859" s="21"/>
      <c r="CR859" s="21"/>
      <c r="CS859" s="21"/>
      <c r="CT859" s="21"/>
    </row>
    <row r="860" spans="2:98"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1"/>
      <c r="CP860" s="21"/>
      <c r="CQ860" s="21"/>
      <c r="CR860" s="21"/>
      <c r="CS860" s="21"/>
      <c r="CT860" s="21"/>
    </row>
    <row r="861" spans="2:98"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1"/>
      <c r="CP861" s="21"/>
      <c r="CQ861" s="21"/>
      <c r="CR861" s="21"/>
      <c r="CS861" s="21"/>
      <c r="CT861" s="21"/>
    </row>
    <row r="862" spans="2:98"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1"/>
      <c r="CP862" s="21"/>
      <c r="CQ862" s="21"/>
      <c r="CR862" s="21"/>
      <c r="CS862" s="21"/>
      <c r="CT862" s="21"/>
    </row>
    <row r="863" spans="2:98"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1"/>
      <c r="CP863" s="21"/>
      <c r="CQ863" s="21"/>
      <c r="CR863" s="21"/>
      <c r="CS863" s="21"/>
      <c r="CT863" s="21"/>
    </row>
    <row r="864" spans="2:98"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1"/>
      <c r="CP864" s="21"/>
      <c r="CQ864" s="21"/>
      <c r="CR864" s="21"/>
      <c r="CS864" s="21"/>
      <c r="CT864" s="21"/>
    </row>
    <row r="865" spans="2:98"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1"/>
      <c r="CP865" s="21"/>
      <c r="CQ865" s="21"/>
      <c r="CR865" s="21"/>
      <c r="CS865" s="21"/>
      <c r="CT865" s="21"/>
    </row>
    <row r="866" spans="2:98"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1"/>
      <c r="CP866" s="21"/>
      <c r="CQ866" s="21"/>
      <c r="CR866" s="21"/>
      <c r="CS866" s="21"/>
      <c r="CT866" s="21"/>
    </row>
    <row r="867" spans="2:98"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1"/>
      <c r="CP867" s="21"/>
      <c r="CQ867" s="21"/>
      <c r="CR867" s="21"/>
      <c r="CS867" s="21"/>
      <c r="CT867" s="21"/>
    </row>
    <row r="868" spans="2:98"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1"/>
      <c r="CP868" s="21"/>
      <c r="CQ868" s="21"/>
      <c r="CR868" s="21"/>
      <c r="CS868" s="21"/>
      <c r="CT868" s="21"/>
    </row>
    <row r="869" spans="2:98"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1"/>
      <c r="CP869" s="21"/>
      <c r="CQ869" s="21"/>
      <c r="CR869" s="21"/>
      <c r="CS869" s="21"/>
      <c r="CT869" s="21"/>
    </row>
    <row r="870" spans="2:98"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1"/>
      <c r="CP870" s="21"/>
      <c r="CQ870" s="21"/>
      <c r="CR870" s="21"/>
      <c r="CS870" s="21"/>
      <c r="CT870" s="21"/>
    </row>
    <row r="871" spans="2:98"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1"/>
      <c r="CP871" s="21"/>
      <c r="CQ871" s="21"/>
      <c r="CR871" s="21"/>
      <c r="CS871" s="21"/>
      <c r="CT871" s="21"/>
    </row>
    <row r="872" spans="2:98"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1"/>
      <c r="CP872" s="21"/>
      <c r="CQ872" s="21"/>
      <c r="CR872" s="21"/>
      <c r="CS872" s="21"/>
      <c r="CT872" s="21"/>
    </row>
    <row r="873" spans="2:98"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1"/>
      <c r="CP873" s="21"/>
      <c r="CQ873" s="21"/>
      <c r="CR873" s="21"/>
      <c r="CS873" s="21"/>
      <c r="CT873" s="21"/>
    </row>
    <row r="874" spans="2:98"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1"/>
      <c r="CP874" s="21"/>
      <c r="CQ874" s="21"/>
      <c r="CR874" s="21"/>
      <c r="CS874" s="21"/>
      <c r="CT874" s="21"/>
    </row>
    <row r="875" spans="2:98"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1"/>
      <c r="CP875" s="21"/>
      <c r="CQ875" s="21"/>
      <c r="CR875" s="21"/>
      <c r="CS875" s="21"/>
      <c r="CT875" s="21"/>
    </row>
    <row r="876" spans="2:98"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1"/>
      <c r="CP876" s="21"/>
      <c r="CQ876" s="21"/>
      <c r="CR876" s="21"/>
      <c r="CS876" s="21"/>
      <c r="CT876" s="21"/>
    </row>
    <row r="877" spans="2:98"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1"/>
      <c r="CP877" s="21"/>
      <c r="CQ877" s="21"/>
      <c r="CR877" s="21"/>
      <c r="CS877" s="21"/>
      <c r="CT877" s="21"/>
    </row>
    <row r="878" spans="2:98"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1"/>
      <c r="CP878" s="21"/>
      <c r="CQ878" s="21"/>
      <c r="CR878" s="21"/>
      <c r="CS878" s="21"/>
      <c r="CT878" s="21"/>
    </row>
  </sheetData>
  <mergeCells count="13">
    <mergeCell ref="C52:D52"/>
    <mergeCell ref="N76:N80"/>
    <mergeCell ref="P76:P80"/>
    <mergeCell ref="O78:O80"/>
    <mergeCell ref="C82:D82"/>
    <mergeCell ref="I68:J68"/>
    <mergeCell ref="O14:O16"/>
    <mergeCell ref="C18:D18"/>
    <mergeCell ref="N12:N16"/>
    <mergeCell ref="P12:P16"/>
    <mergeCell ref="N46:N50"/>
    <mergeCell ref="P46:P50"/>
    <mergeCell ref="O48:O50"/>
  </mergeCells>
  <pageMargins left="0.7" right="0.2" top="0.25" bottom="0.25" header="0.3" footer="0.3"/>
  <pageSetup scale="50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05"/>
  <sheetViews>
    <sheetView topLeftCell="A76" zoomScaleNormal="100" workbookViewId="0">
      <selection activeCell="L87" sqref="L87"/>
    </sheetView>
  </sheetViews>
  <sheetFormatPr defaultColWidth="9.08984375" defaultRowHeight="14.5"/>
  <cols>
    <col min="1" max="1" width="1.6328125" style="25" customWidth="1"/>
    <col min="2" max="2" width="6.90625" style="25" customWidth="1"/>
    <col min="3" max="3" width="19.54296875" style="25" customWidth="1"/>
    <col min="4" max="4" width="8.6328125" style="25" customWidth="1"/>
    <col min="5" max="5" width="13.54296875" style="25" customWidth="1"/>
    <col min="6" max="6" width="14.54296875" style="25" customWidth="1"/>
    <col min="7" max="7" width="17.08984375" style="25" customWidth="1"/>
    <col min="8" max="8" width="14.54296875" style="25" customWidth="1"/>
    <col min="9" max="9" width="13.08984375" style="25" customWidth="1"/>
    <col min="10" max="10" width="12.6328125" style="25" customWidth="1"/>
    <col min="11" max="11" width="13.36328125" style="25" customWidth="1"/>
    <col min="12" max="12" width="17.453125" style="25" customWidth="1"/>
    <col min="13" max="13" width="3.90625" style="25" customWidth="1"/>
    <col min="14" max="14" width="14.6328125" style="25" customWidth="1"/>
    <col min="15" max="15" width="14.36328125" style="25" customWidth="1"/>
    <col min="16" max="16" width="14.90625" style="25" customWidth="1"/>
    <col min="17" max="16384" width="9.08984375" style="25"/>
  </cols>
  <sheetData>
    <row r="1" spans="2:16">
      <c r="B1" s="138" t="s">
        <v>154</v>
      </c>
    </row>
    <row r="2" spans="2:16">
      <c r="B2" s="185" t="s">
        <v>206</v>
      </c>
    </row>
    <row r="3" spans="2:16">
      <c r="B3" s="138" t="s">
        <v>127</v>
      </c>
    </row>
    <row r="4" spans="2:16" ht="15" thickBot="1"/>
    <row r="5" spans="2:16" ht="18.5">
      <c r="B5" s="94" t="s">
        <v>155</v>
      </c>
      <c r="C5" s="95"/>
      <c r="D5" s="95"/>
      <c r="E5" s="95"/>
      <c r="F5" s="153">
        <f>VLOOKUP(D7,'List of ROE by TO'!$B$8:$D$29,3,FALSE)</f>
        <v>0.12379999999999999</v>
      </c>
      <c r="G5" s="95"/>
      <c r="H5" s="95"/>
      <c r="I5" s="95"/>
      <c r="J5" s="95"/>
      <c r="K5" s="95"/>
      <c r="L5" s="96"/>
    </row>
    <row r="6" spans="2:16">
      <c r="B6" s="97" t="s">
        <v>78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16" ht="18.5">
      <c r="B7" s="97"/>
      <c r="C7" s="100" t="s">
        <v>20</v>
      </c>
      <c r="D7" s="135" t="str">
        <f>'2016 TU'!A1</f>
        <v>OTP</v>
      </c>
      <c r="E7" s="98"/>
      <c r="F7" s="98"/>
      <c r="G7" s="98"/>
      <c r="H7" s="98"/>
      <c r="I7" s="98"/>
      <c r="J7" s="98"/>
      <c r="K7" s="98"/>
      <c r="L7" s="99"/>
    </row>
    <row r="8" spans="2:16">
      <c r="B8" s="64" t="s">
        <v>22</v>
      </c>
      <c r="C8" s="1" t="s">
        <v>23</v>
      </c>
      <c r="D8" s="1" t="s">
        <v>24</v>
      </c>
      <c r="E8" s="1" t="s">
        <v>25</v>
      </c>
      <c r="F8" s="1" t="s">
        <v>26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01" t="s">
        <v>32</v>
      </c>
    </row>
    <row r="9" spans="2:16">
      <c r="B9" s="102"/>
      <c r="C9" s="27"/>
      <c r="D9" s="27"/>
      <c r="E9" s="27"/>
      <c r="F9" s="27"/>
      <c r="G9" s="28" t="s">
        <v>33</v>
      </c>
      <c r="H9" s="27"/>
      <c r="I9" s="27"/>
      <c r="J9" s="27"/>
      <c r="K9" s="27"/>
      <c r="L9" s="103"/>
    </row>
    <row r="10" spans="2:16">
      <c r="B10" s="104"/>
      <c r="C10" s="29"/>
      <c r="D10" s="29"/>
      <c r="E10" s="29"/>
      <c r="F10" s="1" t="s">
        <v>34</v>
      </c>
      <c r="G10" s="1" t="s">
        <v>79</v>
      </c>
      <c r="H10" s="1" t="s">
        <v>33</v>
      </c>
      <c r="I10" s="1" t="s">
        <v>36</v>
      </c>
      <c r="J10" s="1"/>
      <c r="K10" s="1"/>
      <c r="L10" s="105"/>
    </row>
    <row r="11" spans="2:16">
      <c r="B11" s="104"/>
      <c r="C11" s="29"/>
      <c r="D11" s="1" t="s">
        <v>38</v>
      </c>
      <c r="E11" s="1" t="s">
        <v>33</v>
      </c>
      <c r="F11" s="1" t="s">
        <v>39</v>
      </c>
      <c r="G11" s="1" t="s">
        <v>40</v>
      </c>
      <c r="H11" s="1" t="s">
        <v>39</v>
      </c>
      <c r="I11" s="1" t="s">
        <v>41</v>
      </c>
      <c r="J11" s="1"/>
      <c r="K11" s="1"/>
      <c r="L11" s="101"/>
    </row>
    <row r="12" spans="2:16">
      <c r="B12" s="64" t="s">
        <v>43</v>
      </c>
      <c r="C12" s="1" t="s">
        <v>44</v>
      </c>
      <c r="D12" s="1" t="s">
        <v>44</v>
      </c>
      <c r="E12" s="1" t="s">
        <v>79</v>
      </c>
      <c r="F12" s="1" t="s">
        <v>5</v>
      </c>
      <c r="G12" s="1" t="s">
        <v>45</v>
      </c>
      <c r="H12" s="1" t="s">
        <v>5</v>
      </c>
      <c r="I12" s="1" t="s">
        <v>46</v>
      </c>
      <c r="J12" s="1"/>
      <c r="K12" s="1"/>
      <c r="L12" s="101"/>
      <c r="N12" s="387"/>
      <c r="O12" s="5"/>
      <c r="P12" s="387"/>
    </row>
    <row r="13" spans="2:16" ht="17.25" customHeight="1">
      <c r="B13" s="106" t="s">
        <v>48</v>
      </c>
      <c r="C13" s="30" t="s">
        <v>49</v>
      </c>
      <c r="D13" s="30" t="s">
        <v>50</v>
      </c>
      <c r="E13" s="165" t="s">
        <v>191</v>
      </c>
      <c r="F13" s="30" t="s">
        <v>51</v>
      </c>
      <c r="G13" s="30" t="s">
        <v>52</v>
      </c>
      <c r="H13" s="30" t="s">
        <v>51</v>
      </c>
      <c r="I13" s="30" t="s">
        <v>53</v>
      </c>
      <c r="J13" s="30"/>
      <c r="K13" s="30"/>
      <c r="L13" s="107"/>
      <c r="N13" s="387"/>
      <c r="O13" s="5"/>
      <c r="P13" s="387"/>
    </row>
    <row r="14" spans="2:16">
      <c r="B14" s="104"/>
      <c r="C14" s="29"/>
      <c r="D14" s="29"/>
      <c r="E14" s="29"/>
      <c r="F14" s="31" t="s">
        <v>34</v>
      </c>
      <c r="G14" s="31" t="s">
        <v>54</v>
      </c>
      <c r="H14" s="31" t="s">
        <v>33</v>
      </c>
      <c r="I14" s="29"/>
      <c r="J14" s="29"/>
      <c r="K14" s="29"/>
      <c r="L14" s="105"/>
      <c r="N14" s="387"/>
      <c r="O14" s="387"/>
      <c r="P14" s="387"/>
    </row>
    <row r="15" spans="2:16" ht="15" customHeight="1">
      <c r="B15" s="104"/>
      <c r="C15" s="29"/>
      <c r="D15" s="29"/>
      <c r="E15" s="29"/>
      <c r="F15" s="31" t="s">
        <v>79</v>
      </c>
      <c r="G15" s="31" t="s">
        <v>55</v>
      </c>
      <c r="H15" s="31" t="s">
        <v>79</v>
      </c>
      <c r="I15" s="29"/>
      <c r="J15" s="31"/>
      <c r="K15" s="31"/>
      <c r="L15" s="105"/>
      <c r="N15" s="387"/>
      <c r="O15" s="387"/>
      <c r="P15" s="387"/>
    </row>
    <row r="16" spans="2:16" ht="16.5">
      <c r="B16" s="108"/>
      <c r="C16" s="32"/>
      <c r="D16" s="32"/>
      <c r="E16" s="32"/>
      <c r="F16" s="33" t="s">
        <v>80</v>
      </c>
      <c r="G16" s="33" t="s">
        <v>58</v>
      </c>
      <c r="H16" s="33" t="s">
        <v>80</v>
      </c>
      <c r="I16" s="33" t="s">
        <v>59</v>
      </c>
      <c r="J16" s="33"/>
      <c r="K16" s="33"/>
      <c r="L16" s="107"/>
      <c r="N16" s="387"/>
      <c r="O16" s="387"/>
      <c r="P16" s="387"/>
    </row>
    <row r="17" spans="2:16" ht="9.75" customHeight="1">
      <c r="B17" s="102"/>
      <c r="C17" s="27"/>
      <c r="D17" s="27"/>
      <c r="E17" s="27"/>
      <c r="F17" s="27"/>
      <c r="G17" s="27"/>
      <c r="H17" s="27"/>
      <c r="I17" s="27"/>
      <c r="J17" s="27"/>
      <c r="K17" s="27"/>
      <c r="L17" s="103"/>
    </row>
    <row r="18" spans="2:16" ht="32.25" customHeight="1">
      <c r="B18" s="109">
        <v>1</v>
      </c>
      <c r="C18" s="386" t="s">
        <v>81</v>
      </c>
      <c r="D18" s="386"/>
      <c r="E18" s="24">
        <f>'2016 TU'!E104</f>
        <v>12469863</v>
      </c>
      <c r="F18" s="29"/>
      <c r="G18" s="29"/>
      <c r="H18" s="29"/>
      <c r="I18" s="29"/>
      <c r="J18" s="29"/>
      <c r="K18" s="29"/>
      <c r="L18" s="105"/>
      <c r="N18" s="5"/>
      <c r="O18" s="22"/>
      <c r="P18" s="5"/>
    </row>
    <row r="19" spans="2:16" ht="6.75" customHeight="1">
      <c r="B19" s="64"/>
      <c r="C19" s="29"/>
      <c r="D19" s="29"/>
      <c r="E19" s="29"/>
      <c r="F19" s="29"/>
      <c r="G19" s="29"/>
      <c r="H19" s="29"/>
      <c r="I19" s="29"/>
      <c r="J19" s="29"/>
      <c r="K19" s="29"/>
      <c r="L19" s="105"/>
      <c r="N19" s="22"/>
      <c r="O19" s="5"/>
      <c r="P19" s="5"/>
    </row>
    <row r="20" spans="2:16">
      <c r="B20" s="64" t="s">
        <v>64</v>
      </c>
      <c r="C20" s="15" t="s">
        <v>238</v>
      </c>
      <c r="D20" s="139">
        <v>1203</v>
      </c>
      <c r="E20" s="35"/>
      <c r="F20" s="141">
        <v>3993270</v>
      </c>
      <c r="G20" s="35">
        <f t="shared" ref="G20:G28" si="0">IF(F20=0,0,ROUND($E$18*(F20/$F$30),0))</f>
        <v>3667135</v>
      </c>
      <c r="H20" s="141">
        <v>4060018</v>
      </c>
      <c r="I20" s="36">
        <f>ROUND(+H20-G20,0)</f>
        <v>392883</v>
      </c>
      <c r="J20" s="37"/>
      <c r="K20" s="36"/>
      <c r="L20" s="110"/>
      <c r="N20" s="23"/>
      <c r="O20" s="5"/>
      <c r="P20" s="23"/>
    </row>
    <row r="21" spans="2:16">
      <c r="B21" s="64" t="s">
        <v>65</v>
      </c>
      <c r="C21" s="15" t="s">
        <v>239</v>
      </c>
      <c r="D21" s="139">
        <v>2220</v>
      </c>
      <c r="E21" s="35"/>
      <c r="F21" s="141">
        <v>4326003</v>
      </c>
      <c r="G21" s="35">
        <f t="shared" si="0"/>
        <v>3972694</v>
      </c>
      <c r="H21" s="141">
        <v>4262463</v>
      </c>
      <c r="I21" s="36">
        <f t="shared" ref="I21:I28" si="1">ROUND(+H21-G21,0)</f>
        <v>289769</v>
      </c>
      <c r="J21" s="37"/>
      <c r="K21" s="36"/>
      <c r="L21" s="110"/>
      <c r="N21" s="23"/>
      <c r="O21" s="5"/>
      <c r="P21" s="23"/>
    </row>
    <row r="22" spans="2:16">
      <c r="B22" s="64" t="s">
        <v>66</v>
      </c>
      <c r="C22" s="15" t="s">
        <v>240</v>
      </c>
      <c r="D22" s="139">
        <v>2221</v>
      </c>
      <c r="E22" s="35"/>
      <c r="F22" s="141">
        <v>5259590</v>
      </c>
      <c r="G22" s="35">
        <f t="shared" si="0"/>
        <v>4830034</v>
      </c>
      <c r="H22" s="141">
        <v>5892975</v>
      </c>
      <c r="I22" s="36">
        <f t="shared" si="1"/>
        <v>1062941</v>
      </c>
      <c r="J22" s="37"/>
      <c r="K22" s="36"/>
      <c r="L22" s="110"/>
      <c r="N22" s="23"/>
      <c r="O22" s="5"/>
      <c r="P22" s="23"/>
    </row>
    <row r="23" spans="2:16">
      <c r="B23" s="64" t="s">
        <v>67</v>
      </c>
      <c r="C23" s="15" t="s">
        <v>77</v>
      </c>
      <c r="D23" s="139">
        <v>0</v>
      </c>
      <c r="E23" s="35"/>
      <c r="F23" s="141">
        <v>0</v>
      </c>
      <c r="G23" s="35">
        <f t="shared" si="0"/>
        <v>0</v>
      </c>
      <c r="H23" s="141">
        <v>0</v>
      </c>
      <c r="I23" s="36">
        <f t="shared" si="1"/>
        <v>0</v>
      </c>
      <c r="J23" s="37"/>
      <c r="K23" s="36"/>
      <c r="L23" s="110"/>
      <c r="N23" s="23"/>
      <c r="O23" s="5"/>
      <c r="P23" s="23"/>
    </row>
    <row r="24" spans="2:16">
      <c r="B24" s="64" t="s">
        <v>82</v>
      </c>
      <c r="C24" s="15" t="s">
        <v>178</v>
      </c>
      <c r="D24" s="139">
        <v>0</v>
      </c>
      <c r="E24" s="35"/>
      <c r="F24" s="141">
        <v>0</v>
      </c>
      <c r="G24" s="35">
        <f t="shared" si="0"/>
        <v>0</v>
      </c>
      <c r="H24" s="141">
        <v>0</v>
      </c>
      <c r="I24" s="36">
        <f t="shared" si="1"/>
        <v>0</v>
      </c>
      <c r="J24" s="37"/>
      <c r="K24" s="36"/>
      <c r="L24" s="110"/>
      <c r="N24" s="23"/>
      <c r="P24" s="23"/>
    </row>
    <row r="25" spans="2:16">
      <c r="B25" s="64" t="s">
        <v>83</v>
      </c>
      <c r="C25" s="15" t="s">
        <v>179</v>
      </c>
      <c r="D25" s="139">
        <v>0</v>
      </c>
      <c r="E25" s="29"/>
      <c r="F25" s="141">
        <v>0</v>
      </c>
      <c r="G25" s="35">
        <f t="shared" si="0"/>
        <v>0</v>
      </c>
      <c r="H25" s="141">
        <v>0</v>
      </c>
      <c r="I25" s="36">
        <f t="shared" si="1"/>
        <v>0</v>
      </c>
      <c r="J25" s="37"/>
      <c r="K25" s="36"/>
      <c r="L25" s="110"/>
      <c r="N25" s="23"/>
      <c r="P25" s="23"/>
    </row>
    <row r="26" spans="2:16">
      <c r="B26" s="64" t="s">
        <v>84</v>
      </c>
      <c r="C26" s="15" t="s">
        <v>180</v>
      </c>
      <c r="D26" s="139">
        <v>0</v>
      </c>
      <c r="E26" s="29"/>
      <c r="F26" s="141">
        <v>0</v>
      </c>
      <c r="G26" s="35">
        <f t="shared" si="0"/>
        <v>0</v>
      </c>
      <c r="H26" s="141">
        <v>0</v>
      </c>
      <c r="I26" s="36">
        <f t="shared" si="1"/>
        <v>0</v>
      </c>
      <c r="J26" s="37"/>
      <c r="K26" s="36"/>
      <c r="L26" s="110"/>
      <c r="N26" s="23"/>
      <c r="P26" s="23"/>
    </row>
    <row r="27" spans="2:16">
      <c r="B27" s="161" t="s">
        <v>85</v>
      </c>
      <c r="C27" s="15" t="s">
        <v>181</v>
      </c>
      <c r="D27" s="139">
        <v>0</v>
      </c>
      <c r="E27" s="29"/>
      <c r="F27" s="141">
        <v>0</v>
      </c>
      <c r="G27" s="35">
        <f t="shared" si="0"/>
        <v>0</v>
      </c>
      <c r="H27" s="141">
        <v>0</v>
      </c>
      <c r="I27" s="36">
        <f t="shared" si="1"/>
        <v>0</v>
      </c>
      <c r="J27" s="37"/>
      <c r="K27" s="36"/>
      <c r="L27" s="110"/>
      <c r="N27" s="23"/>
      <c r="P27" s="23"/>
    </row>
    <row r="28" spans="2:16">
      <c r="B28" s="161" t="s">
        <v>86</v>
      </c>
      <c r="C28" s="34"/>
      <c r="D28" s="139">
        <v>0</v>
      </c>
      <c r="E28" s="29"/>
      <c r="F28" s="141">
        <v>0</v>
      </c>
      <c r="G28" s="35">
        <f t="shared" si="0"/>
        <v>0</v>
      </c>
      <c r="H28" s="141">
        <v>0</v>
      </c>
      <c r="I28" s="36">
        <f t="shared" si="1"/>
        <v>0</v>
      </c>
      <c r="J28" s="37"/>
      <c r="K28" s="36"/>
      <c r="L28" s="110"/>
      <c r="N28" s="23"/>
      <c r="P28" s="23"/>
    </row>
    <row r="29" spans="2:16">
      <c r="B29" s="106"/>
      <c r="C29" s="32"/>
      <c r="D29" s="32"/>
      <c r="E29" s="32"/>
      <c r="F29" s="32"/>
      <c r="G29" s="32"/>
      <c r="H29" s="32"/>
      <c r="I29" s="32"/>
      <c r="J29" s="32"/>
      <c r="K29" s="32"/>
      <c r="L29" s="111"/>
    </row>
    <row r="30" spans="2:16">
      <c r="B30" s="64">
        <v>3</v>
      </c>
      <c r="C30" s="29" t="s">
        <v>68</v>
      </c>
      <c r="D30" s="29"/>
      <c r="E30" s="112"/>
      <c r="F30" s="112">
        <f>SUM(F20:F29)</f>
        <v>13578863</v>
      </c>
      <c r="G30" s="112">
        <f>SUM(G20:G29)</f>
        <v>12469863</v>
      </c>
      <c r="H30" s="112">
        <f>SUM(H20:H29)</f>
        <v>14215456</v>
      </c>
      <c r="I30" s="112"/>
      <c r="J30" s="29"/>
      <c r="K30" s="29"/>
      <c r="L30" s="105"/>
    </row>
    <row r="31" spans="2:16">
      <c r="B31" s="64">
        <v>4</v>
      </c>
      <c r="C31" s="29" t="s">
        <v>69</v>
      </c>
      <c r="D31" s="29"/>
      <c r="E31" s="29"/>
      <c r="F31" s="29"/>
      <c r="G31" s="29"/>
      <c r="H31" s="29"/>
      <c r="I31" s="112">
        <f>SUM(I20:I29)</f>
        <v>1745593</v>
      </c>
      <c r="J31" s="29"/>
      <c r="K31" s="112"/>
      <c r="L31" s="113"/>
      <c r="N31" s="38"/>
      <c r="P31" s="38"/>
    </row>
    <row r="32" spans="2:16" ht="15.75" customHeight="1">
      <c r="B32" s="114" t="s">
        <v>71</v>
      </c>
      <c r="C32" s="29" t="s">
        <v>88</v>
      </c>
      <c r="D32" s="29"/>
      <c r="E32" s="29"/>
      <c r="F32" s="29"/>
      <c r="G32" s="29"/>
      <c r="H32" s="29"/>
      <c r="I32" s="29"/>
      <c r="J32" s="29"/>
      <c r="K32" s="29"/>
      <c r="L32" s="105"/>
    </row>
    <row r="33" spans="2:12" ht="15.75" customHeight="1">
      <c r="B33" s="114"/>
      <c r="C33" s="166" t="s">
        <v>188</v>
      </c>
      <c r="D33" s="29"/>
      <c r="E33" s="29"/>
      <c r="F33" s="29"/>
      <c r="G33" s="29"/>
      <c r="H33" s="29"/>
      <c r="I33" s="29"/>
      <c r="J33" s="29"/>
      <c r="K33" s="29"/>
      <c r="L33" s="105"/>
    </row>
    <row r="34" spans="2:12" ht="15.75" customHeight="1" thickBot="1">
      <c r="B34" s="115" t="s">
        <v>72</v>
      </c>
      <c r="C34" s="116" t="s">
        <v>73</v>
      </c>
      <c r="D34" s="116"/>
      <c r="E34" s="116"/>
      <c r="F34" s="116"/>
      <c r="G34" s="116"/>
      <c r="H34" s="116"/>
      <c r="I34" s="116"/>
      <c r="J34" s="116"/>
      <c r="K34" s="116"/>
      <c r="L34" s="117"/>
    </row>
    <row r="35" spans="2:12" ht="15.75" customHeight="1" thickBot="1"/>
    <row r="36" spans="2:12" ht="15.75" customHeight="1">
      <c r="B36" s="118" t="s">
        <v>155</v>
      </c>
      <c r="C36" s="119"/>
      <c r="D36" s="119"/>
      <c r="E36" s="119"/>
      <c r="F36" s="154">
        <f>VLOOKUP(D38,'List of ROE by TO'!$B$8:$E$29,4,FALSE)</f>
        <v>0.1082</v>
      </c>
      <c r="G36" s="119"/>
      <c r="H36" s="119"/>
      <c r="I36" s="119"/>
      <c r="J36" s="119"/>
      <c r="K36" s="119"/>
      <c r="L36" s="120"/>
    </row>
    <row r="37" spans="2:12" ht="15.75" customHeight="1">
      <c r="B37" s="121" t="s">
        <v>78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3"/>
    </row>
    <row r="38" spans="2:12" ht="15.75" customHeight="1">
      <c r="B38" s="121"/>
      <c r="C38" s="124" t="s">
        <v>20</v>
      </c>
      <c r="D38" s="136" t="str">
        <f>D7</f>
        <v>OTP</v>
      </c>
      <c r="E38" s="122"/>
      <c r="F38" s="122"/>
      <c r="G38" s="122"/>
      <c r="H38" s="122"/>
      <c r="I38" s="122"/>
      <c r="J38" s="122"/>
      <c r="K38" s="122"/>
      <c r="L38" s="123"/>
    </row>
    <row r="39" spans="2:12" ht="15.7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3"/>
    </row>
    <row r="40" spans="2:12" ht="15.75" customHeight="1">
      <c r="B40" s="64" t="s">
        <v>22</v>
      </c>
      <c r="C40" s="1" t="s">
        <v>23</v>
      </c>
      <c r="D40" s="1" t="s">
        <v>24</v>
      </c>
      <c r="E40" s="1" t="s">
        <v>25</v>
      </c>
      <c r="F40" s="1" t="s">
        <v>26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01" t="s">
        <v>32</v>
      </c>
    </row>
    <row r="41" spans="2:12" ht="15.75" customHeight="1">
      <c r="B41" s="102"/>
      <c r="C41" s="27"/>
      <c r="D41" s="27"/>
      <c r="E41" s="27"/>
      <c r="F41" s="27"/>
      <c r="G41" s="28" t="s">
        <v>33</v>
      </c>
      <c r="H41" s="27"/>
      <c r="I41" s="27"/>
      <c r="J41" s="27"/>
      <c r="K41" s="27"/>
      <c r="L41" s="103"/>
    </row>
    <row r="42" spans="2:12" ht="15.75" customHeight="1">
      <c r="B42" s="104"/>
      <c r="C42" s="29"/>
      <c r="D42" s="29"/>
      <c r="E42" s="29"/>
      <c r="F42" s="1" t="s">
        <v>34</v>
      </c>
      <c r="G42" s="1" t="s">
        <v>79</v>
      </c>
      <c r="H42" s="1" t="s">
        <v>33</v>
      </c>
      <c r="I42" s="1" t="s">
        <v>36</v>
      </c>
      <c r="J42" s="1"/>
      <c r="K42" s="1"/>
      <c r="L42" s="105"/>
    </row>
    <row r="43" spans="2:12" ht="15.75" customHeight="1">
      <c r="B43" s="104"/>
      <c r="C43" s="29"/>
      <c r="D43" s="1" t="s">
        <v>38</v>
      </c>
      <c r="E43" s="1" t="s">
        <v>33</v>
      </c>
      <c r="F43" s="1" t="s">
        <v>39</v>
      </c>
      <c r="G43" s="1" t="s">
        <v>40</v>
      </c>
      <c r="H43" s="1" t="s">
        <v>39</v>
      </c>
      <c r="I43" s="1" t="s">
        <v>41</v>
      </c>
      <c r="J43" s="1"/>
      <c r="K43" s="1"/>
      <c r="L43" s="101"/>
    </row>
    <row r="44" spans="2:12">
      <c r="B44" s="64" t="s">
        <v>43</v>
      </c>
      <c r="C44" s="1" t="s">
        <v>44</v>
      </c>
      <c r="D44" s="1" t="s">
        <v>44</v>
      </c>
      <c r="E44" s="1" t="s">
        <v>79</v>
      </c>
      <c r="F44" s="1" t="s">
        <v>5</v>
      </c>
      <c r="G44" s="1" t="s">
        <v>45</v>
      </c>
      <c r="H44" s="1" t="s">
        <v>5</v>
      </c>
      <c r="I44" s="1" t="s">
        <v>46</v>
      </c>
      <c r="J44" s="1"/>
      <c r="K44" s="1"/>
      <c r="L44" s="101"/>
    </row>
    <row r="45" spans="2:12" ht="16.5">
      <c r="B45" s="106" t="s">
        <v>48</v>
      </c>
      <c r="C45" s="30" t="s">
        <v>49</v>
      </c>
      <c r="D45" s="30" t="s">
        <v>50</v>
      </c>
      <c r="E45" s="165" t="s">
        <v>189</v>
      </c>
      <c r="F45" s="30" t="s">
        <v>51</v>
      </c>
      <c r="G45" s="30" t="s">
        <v>52</v>
      </c>
      <c r="H45" s="30" t="s">
        <v>51</v>
      </c>
      <c r="I45" s="30" t="s">
        <v>53</v>
      </c>
      <c r="J45" s="30"/>
      <c r="K45" s="30"/>
      <c r="L45" s="107"/>
    </row>
    <row r="46" spans="2:12">
      <c r="B46" s="104"/>
      <c r="C46" s="29"/>
      <c r="D46" s="29"/>
      <c r="E46" s="29"/>
      <c r="F46" s="31" t="s">
        <v>34</v>
      </c>
      <c r="G46" s="31" t="s">
        <v>54</v>
      </c>
      <c r="H46" s="31" t="s">
        <v>33</v>
      </c>
      <c r="I46" s="29"/>
      <c r="J46" s="29"/>
      <c r="K46" s="29"/>
      <c r="L46" s="105"/>
    </row>
    <row r="47" spans="2:12">
      <c r="B47" s="104"/>
      <c r="C47" s="29"/>
      <c r="D47" s="29"/>
      <c r="E47" s="29"/>
      <c r="F47" s="31" t="s">
        <v>79</v>
      </c>
      <c r="G47" s="31" t="s">
        <v>55</v>
      </c>
      <c r="H47" s="31" t="s">
        <v>79</v>
      </c>
      <c r="I47" s="29"/>
      <c r="J47" s="31"/>
      <c r="K47" s="31"/>
      <c r="L47" s="105"/>
    </row>
    <row r="48" spans="2:12" ht="16.5">
      <c r="B48" s="108"/>
      <c r="C48" s="32"/>
      <c r="D48" s="32"/>
      <c r="E48" s="32"/>
      <c r="F48" s="33" t="s">
        <v>80</v>
      </c>
      <c r="G48" s="33" t="s">
        <v>58</v>
      </c>
      <c r="H48" s="33" t="s">
        <v>80</v>
      </c>
      <c r="I48" s="33" t="s">
        <v>59</v>
      </c>
      <c r="J48" s="33"/>
      <c r="K48" s="33"/>
      <c r="L48" s="107"/>
    </row>
    <row r="49" spans="2:12">
      <c r="B49" s="102"/>
      <c r="C49" s="27"/>
      <c r="D49" s="27"/>
      <c r="E49" s="27"/>
      <c r="F49" s="27"/>
      <c r="G49" s="27"/>
      <c r="H49" s="27"/>
      <c r="I49" s="27"/>
      <c r="J49" s="27"/>
      <c r="K49" s="27"/>
      <c r="L49" s="103"/>
    </row>
    <row r="50" spans="2:12">
      <c r="B50" s="109">
        <v>1</v>
      </c>
      <c r="C50" s="386" t="s">
        <v>81</v>
      </c>
      <c r="D50" s="386"/>
      <c r="E50" s="24">
        <f>$E$18</f>
        <v>12469863</v>
      </c>
      <c r="F50" s="29"/>
      <c r="G50" s="29"/>
      <c r="H50" s="29"/>
      <c r="I50" s="29"/>
      <c r="J50" s="29"/>
      <c r="K50" s="29"/>
      <c r="L50" s="105"/>
    </row>
    <row r="51" spans="2:12">
      <c r="B51" s="64"/>
      <c r="C51" s="29"/>
      <c r="D51" s="29"/>
      <c r="E51" s="29"/>
      <c r="F51" s="29"/>
      <c r="G51" s="29"/>
      <c r="H51" s="29"/>
      <c r="I51" s="29"/>
      <c r="J51" s="29"/>
      <c r="K51" s="29"/>
      <c r="L51" s="105"/>
    </row>
    <row r="52" spans="2:12">
      <c r="B52" s="64" t="s">
        <v>64</v>
      </c>
      <c r="C52" s="15" t="str">
        <f t="shared" ref="C52:D54" si="2">C20</f>
        <v>Brookings CAPX</v>
      </c>
      <c r="D52" s="142">
        <f t="shared" si="2"/>
        <v>1203</v>
      </c>
      <c r="E52" s="35"/>
      <c r="F52" s="141">
        <v>3694068.8817685675</v>
      </c>
      <c r="G52" s="35">
        <f t="shared" ref="G52:G60" si="3">IF(F52=0,0,ROUND($E$50*(F52/$F$62),0))</f>
        <v>3701491</v>
      </c>
      <c r="H52" s="141">
        <v>3752048</v>
      </c>
      <c r="I52" s="36">
        <f>ROUND(+H52-G52,0)</f>
        <v>50557</v>
      </c>
      <c r="J52" s="37"/>
      <c r="K52" s="36"/>
      <c r="L52" s="110"/>
    </row>
    <row r="53" spans="2:12">
      <c r="B53" s="64" t="s">
        <v>65</v>
      </c>
      <c r="C53" s="15" t="str">
        <f t="shared" si="2"/>
        <v>BSAT - BSS - Ellendale</v>
      </c>
      <c r="D53" s="142">
        <f t="shared" si="2"/>
        <v>2220</v>
      </c>
      <c r="E53" s="35"/>
      <c r="F53" s="141">
        <v>3949254.5154347643</v>
      </c>
      <c r="G53" s="35">
        <f t="shared" si="3"/>
        <v>3957189</v>
      </c>
      <c r="H53" s="141">
        <v>3891906</v>
      </c>
      <c r="I53" s="36">
        <f t="shared" ref="I53:I60" si="4">ROUND(+H53-G53,0)</f>
        <v>-65283</v>
      </c>
      <c r="J53" s="37"/>
      <c r="K53" s="36"/>
      <c r="L53" s="110"/>
    </row>
    <row r="54" spans="2:12">
      <c r="B54" s="64" t="s">
        <v>66</v>
      </c>
      <c r="C54" s="15" t="str">
        <f t="shared" si="2"/>
        <v>BSAT - BSS - Brookings</v>
      </c>
      <c r="D54" s="142">
        <f t="shared" si="2"/>
        <v>2221</v>
      </c>
      <c r="E54" s="35"/>
      <c r="F54" s="141">
        <v>4801535.3573795864</v>
      </c>
      <c r="G54" s="35">
        <f t="shared" si="3"/>
        <v>4811183</v>
      </c>
      <c r="H54" s="141">
        <v>5381237</v>
      </c>
      <c r="I54" s="36">
        <f t="shared" si="4"/>
        <v>570054</v>
      </c>
      <c r="J54" s="37"/>
      <c r="K54" s="36"/>
      <c r="L54" s="110"/>
    </row>
    <row r="55" spans="2:12">
      <c r="B55" s="64" t="s">
        <v>67</v>
      </c>
      <c r="C55" s="15" t="str">
        <f>C23</f>
        <v>project 4</v>
      </c>
      <c r="D55" s="142">
        <f t="shared" ref="D55:D60" si="5">D23</f>
        <v>0</v>
      </c>
      <c r="E55" s="35"/>
      <c r="F55" s="141">
        <v>0</v>
      </c>
      <c r="G55" s="35">
        <f t="shared" si="3"/>
        <v>0</v>
      </c>
      <c r="H55" s="141">
        <v>0</v>
      </c>
      <c r="I55" s="36">
        <f t="shared" si="4"/>
        <v>0</v>
      </c>
      <c r="J55" s="37"/>
      <c r="K55" s="36"/>
      <c r="L55" s="110"/>
    </row>
    <row r="56" spans="2:12">
      <c r="B56" s="64" t="s">
        <v>82</v>
      </c>
      <c r="C56" s="15" t="str">
        <f>C24</f>
        <v>project 5</v>
      </c>
      <c r="D56" s="142">
        <f t="shared" si="5"/>
        <v>0</v>
      </c>
      <c r="E56" s="35"/>
      <c r="F56" s="141">
        <v>0</v>
      </c>
      <c r="G56" s="35">
        <f t="shared" si="3"/>
        <v>0</v>
      </c>
      <c r="H56" s="141">
        <v>0</v>
      </c>
      <c r="I56" s="36">
        <f t="shared" si="4"/>
        <v>0</v>
      </c>
      <c r="J56" s="37"/>
      <c r="K56" s="36"/>
      <c r="L56" s="110"/>
    </row>
    <row r="57" spans="2:12">
      <c r="B57" s="64" t="s">
        <v>83</v>
      </c>
      <c r="C57" s="15" t="str">
        <f>C25</f>
        <v>project 6</v>
      </c>
      <c r="D57" s="142">
        <f t="shared" si="5"/>
        <v>0</v>
      </c>
      <c r="E57" s="29"/>
      <c r="F57" s="141">
        <v>0</v>
      </c>
      <c r="G57" s="35">
        <f t="shared" si="3"/>
        <v>0</v>
      </c>
      <c r="H57" s="141">
        <v>0</v>
      </c>
      <c r="I57" s="36">
        <f t="shared" si="4"/>
        <v>0</v>
      </c>
      <c r="J57" s="37"/>
      <c r="K57" s="36"/>
      <c r="L57" s="110"/>
    </row>
    <row r="58" spans="2:12">
      <c r="B58" s="64" t="s">
        <v>84</v>
      </c>
      <c r="C58" s="15" t="str">
        <f>C26</f>
        <v>project 7</v>
      </c>
      <c r="D58" s="142">
        <f t="shared" si="5"/>
        <v>0</v>
      </c>
      <c r="E58" s="29"/>
      <c r="F58" s="141">
        <v>0</v>
      </c>
      <c r="G58" s="35">
        <f t="shared" si="3"/>
        <v>0</v>
      </c>
      <c r="H58" s="141">
        <v>0</v>
      </c>
      <c r="I58" s="36">
        <f t="shared" si="4"/>
        <v>0</v>
      </c>
      <c r="J58" s="37"/>
      <c r="K58" s="36"/>
      <c r="L58" s="110"/>
    </row>
    <row r="59" spans="2:12">
      <c r="B59" s="161" t="s">
        <v>85</v>
      </c>
      <c r="C59" s="15" t="str">
        <f>C27</f>
        <v>project 8</v>
      </c>
      <c r="D59" s="142">
        <f t="shared" si="5"/>
        <v>0</v>
      </c>
      <c r="E59" s="29"/>
      <c r="F59" s="141">
        <v>0</v>
      </c>
      <c r="G59" s="35">
        <f t="shared" si="3"/>
        <v>0</v>
      </c>
      <c r="H59" s="141">
        <v>0</v>
      </c>
      <c r="I59" s="36">
        <f t="shared" si="4"/>
        <v>0</v>
      </c>
      <c r="J59" s="37"/>
      <c r="K59" s="36"/>
      <c r="L59" s="110"/>
    </row>
    <row r="60" spans="2:12">
      <c r="B60" s="161" t="s">
        <v>86</v>
      </c>
      <c r="C60" s="34"/>
      <c r="D60" s="142">
        <f t="shared" si="5"/>
        <v>0</v>
      </c>
      <c r="E60" s="29"/>
      <c r="F60" s="141">
        <v>0</v>
      </c>
      <c r="G60" s="35">
        <f t="shared" si="3"/>
        <v>0</v>
      </c>
      <c r="H60" s="141">
        <v>0</v>
      </c>
      <c r="I60" s="36">
        <f t="shared" si="4"/>
        <v>0</v>
      </c>
      <c r="J60" s="37"/>
      <c r="K60" s="36"/>
      <c r="L60" s="110"/>
    </row>
    <row r="61" spans="2:12">
      <c r="B61" s="106"/>
      <c r="C61" s="32"/>
      <c r="D61" s="32"/>
      <c r="E61" s="32"/>
      <c r="F61" s="32"/>
      <c r="G61" s="32"/>
      <c r="H61" s="32"/>
      <c r="I61" s="32"/>
      <c r="J61" s="32"/>
      <c r="K61" s="32"/>
      <c r="L61" s="111"/>
    </row>
    <row r="62" spans="2:12">
      <c r="B62" s="64">
        <v>3</v>
      </c>
      <c r="C62" s="29" t="s">
        <v>68</v>
      </c>
      <c r="D62" s="29"/>
      <c r="E62" s="112"/>
      <c r="F62" s="112">
        <f>SUM(F52:F61)</f>
        <v>12444858.754582919</v>
      </c>
      <c r="G62" s="112">
        <f>SUM(G52:G61)</f>
        <v>12469863</v>
      </c>
      <c r="H62" s="112">
        <f>SUM(H52:H61)</f>
        <v>13025191</v>
      </c>
      <c r="I62" s="112"/>
      <c r="J62" s="29"/>
      <c r="K62" s="29"/>
      <c r="L62" s="105"/>
    </row>
    <row r="63" spans="2:12" ht="15" thickBot="1">
      <c r="B63" s="125">
        <v>4</v>
      </c>
      <c r="C63" s="116" t="s">
        <v>69</v>
      </c>
      <c r="D63" s="116"/>
      <c r="E63" s="116"/>
      <c r="F63" s="116"/>
      <c r="G63" s="116"/>
      <c r="H63" s="116"/>
      <c r="I63" s="126">
        <f>SUM(I52:I61)</f>
        <v>555328</v>
      </c>
      <c r="J63" s="116"/>
      <c r="K63" s="126"/>
      <c r="L63" s="127"/>
    </row>
    <row r="64" spans="2:12">
      <c r="B64" s="26"/>
    </row>
    <row r="65" spans="2:12" ht="15" thickBot="1"/>
    <row r="66" spans="2:12" ht="18.5">
      <c r="B66" s="128" t="s">
        <v>120</v>
      </c>
      <c r="C66" s="129"/>
      <c r="D66" s="129"/>
      <c r="E66" s="129"/>
      <c r="F66" s="129"/>
      <c r="G66" s="129"/>
      <c r="H66" s="129"/>
      <c r="I66" s="388" t="s">
        <v>227</v>
      </c>
      <c r="J66" s="388"/>
      <c r="K66" s="129"/>
      <c r="L66" s="130"/>
    </row>
    <row r="67" spans="2:12">
      <c r="B67" s="131" t="s">
        <v>78</v>
      </c>
      <c r="C67" s="132"/>
      <c r="D67" s="132"/>
      <c r="E67" s="132"/>
      <c r="F67" s="132"/>
      <c r="G67" s="132"/>
      <c r="H67" s="132"/>
      <c r="I67" s="197" t="s">
        <v>228</v>
      </c>
      <c r="J67" s="197" t="s">
        <v>224</v>
      </c>
      <c r="K67" s="132"/>
      <c r="L67" s="133"/>
    </row>
    <row r="68" spans="2:12">
      <c r="B68" s="131"/>
      <c r="C68" s="132"/>
      <c r="D68" s="132"/>
      <c r="E68" s="132"/>
      <c r="F68" s="132"/>
      <c r="G68" s="132"/>
      <c r="H68" s="132"/>
      <c r="I68" s="198">
        <f>F5</f>
        <v>0.12379999999999999</v>
      </c>
      <c r="J68" s="198">
        <f>'2016 TU'!L30</f>
        <v>0.78610000000000002</v>
      </c>
      <c r="K68" s="132"/>
      <c r="L68" s="133"/>
    </row>
    <row r="69" spans="2:12" ht="18.5">
      <c r="B69" s="131"/>
      <c r="C69" s="134" t="s">
        <v>20</v>
      </c>
      <c r="D69" s="137" t="str">
        <f>D7</f>
        <v>OTP</v>
      </c>
      <c r="E69" s="132"/>
      <c r="F69" s="132" t="str">
        <f>VLOOKUP(D69,'List of ROE by TO'!B8:C29,2,FALSE)</f>
        <v>Aggregate</v>
      </c>
      <c r="G69" s="132"/>
      <c r="H69" s="132"/>
      <c r="I69" s="198">
        <f>F36</f>
        <v>0.1082</v>
      </c>
      <c r="J69" s="198">
        <f>'2016 TU'!L34</f>
        <v>0.21390000000000001</v>
      </c>
      <c r="K69" s="132"/>
      <c r="L69" s="133"/>
    </row>
    <row r="70" spans="2:12">
      <c r="B70" s="131"/>
      <c r="C70" s="132"/>
      <c r="D70" s="132"/>
      <c r="E70" s="132"/>
      <c r="F70" s="132"/>
      <c r="G70" s="132"/>
      <c r="H70" s="132"/>
      <c r="I70" s="132"/>
      <c r="J70" s="132"/>
      <c r="K70" s="132"/>
      <c r="L70" s="133"/>
    </row>
    <row r="71" spans="2:12">
      <c r="B71" s="64" t="s">
        <v>22</v>
      </c>
      <c r="C71" s="1" t="s">
        <v>23</v>
      </c>
      <c r="D71" s="1" t="s">
        <v>24</v>
      </c>
      <c r="E71" s="1" t="s">
        <v>25</v>
      </c>
      <c r="F71" s="1" t="s">
        <v>26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01" t="s">
        <v>32</v>
      </c>
    </row>
    <row r="72" spans="2:12">
      <c r="B72" s="102"/>
      <c r="C72" s="27"/>
      <c r="D72" s="27"/>
      <c r="E72" s="27"/>
      <c r="F72" s="27"/>
      <c r="G72" s="28" t="s">
        <v>33</v>
      </c>
      <c r="H72" s="27"/>
      <c r="I72" s="27"/>
      <c r="J72" s="27"/>
      <c r="K72" s="27"/>
      <c r="L72" s="103"/>
    </row>
    <row r="73" spans="2:12">
      <c r="B73" s="104"/>
      <c r="C73" s="29"/>
      <c r="D73" s="29"/>
      <c r="E73" s="29"/>
      <c r="F73" s="1" t="s">
        <v>34</v>
      </c>
      <c r="G73" s="1" t="s">
        <v>79</v>
      </c>
      <c r="H73" s="1" t="s">
        <v>33</v>
      </c>
      <c r="I73" s="1" t="s">
        <v>36</v>
      </c>
      <c r="J73" s="1" t="s">
        <v>37</v>
      </c>
      <c r="K73" s="1" t="s">
        <v>36</v>
      </c>
      <c r="L73" s="105"/>
    </row>
    <row r="74" spans="2:12">
      <c r="B74" s="104"/>
      <c r="C74" s="29"/>
      <c r="D74" s="1" t="s">
        <v>38</v>
      </c>
      <c r="E74" s="1" t="s">
        <v>33</v>
      </c>
      <c r="F74" s="1" t="s">
        <v>39</v>
      </c>
      <c r="G74" s="1" t="s">
        <v>40</v>
      </c>
      <c r="H74" s="1" t="s">
        <v>39</v>
      </c>
      <c r="I74" s="1" t="s">
        <v>41</v>
      </c>
      <c r="J74" s="1" t="s">
        <v>42</v>
      </c>
      <c r="K74" s="1" t="s">
        <v>41</v>
      </c>
      <c r="L74" s="101" t="s">
        <v>18</v>
      </c>
    </row>
    <row r="75" spans="2:12">
      <c r="B75" s="64" t="s">
        <v>43</v>
      </c>
      <c r="C75" s="1" t="s">
        <v>44</v>
      </c>
      <c r="D75" s="1" t="s">
        <v>44</v>
      </c>
      <c r="E75" s="1" t="s">
        <v>79</v>
      </c>
      <c r="F75" s="1" t="s">
        <v>5</v>
      </c>
      <c r="G75" s="1" t="s">
        <v>45</v>
      </c>
      <c r="H75" s="1" t="s">
        <v>5</v>
      </c>
      <c r="I75" s="1" t="s">
        <v>46</v>
      </c>
      <c r="J75" s="1" t="s">
        <v>47</v>
      </c>
      <c r="K75" s="1" t="s">
        <v>42</v>
      </c>
      <c r="L75" s="101" t="s">
        <v>36</v>
      </c>
    </row>
    <row r="76" spans="2:12" ht="16.5">
      <c r="B76" s="106" t="s">
        <v>48</v>
      </c>
      <c r="C76" s="30" t="s">
        <v>49</v>
      </c>
      <c r="D76" s="30" t="s">
        <v>50</v>
      </c>
      <c r="E76" s="165" t="s">
        <v>192</v>
      </c>
      <c r="F76" s="30" t="s">
        <v>51</v>
      </c>
      <c r="G76" s="30" t="s">
        <v>52</v>
      </c>
      <c r="H76" s="30" t="s">
        <v>51</v>
      </c>
      <c r="I76" s="30" t="s">
        <v>53</v>
      </c>
      <c r="J76" s="30" t="s">
        <v>53</v>
      </c>
      <c r="K76" s="30" t="s">
        <v>53</v>
      </c>
      <c r="L76" s="107" t="s">
        <v>41</v>
      </c>
    </row>
    <row r="77" spans="2:12">
      <c r="B77" s="104"/>
      <c r="C77" s="29"/>
      <c r="D77" s="29"/>
      <c r="E77" s="29"/>
      <c r="F77" s="31" t="s">
        <v>34</v>
      </c>
      <c r="G77" s="31" t="s">
        <v>54</v>
      </c>
      <c r="H77" s="31" t="s">
        <v>33</v>
      </c>
      <c r="I77" s="29"/>
      <c r="J77" s="29"/>
      <c r="K77" s="29"/>
      <c r="L77" s="105"/>
    </row>
    <row r="78" spans="2:12">
      <c r="B78" s="104"/>
      <c r="C78" s="29"/>
      <c r="D78" s="29"/>
      <c r="E78" s="29"/>
      <c r="F78" s="31" t="s">
        <v>79</v>
      </c>
      <c r="G78" s="31" t="s">
        <v>55</v>
      </c>
      <c r="H78" s="31" t="s">
        <v>79</v>
      </c>
      <c r="I78" s="29"/>
      <c r="J78" s="31"/>
      <c r="K78" s="31" t="s">
        <v>56</v>
      </c>
      <c r="L78" s="105"/>
    </row>
    <row r="79" spans="2:12" ht="16.5">
      <c r="B79" s="108"/>
      <c r="C79" s="32"/>
      <c r="D79" s="32"/>
      <c r="E79" s="32"/>
      <c r="F79" s="33" t="s">
        <v>80</v>
      </c>
      <c r="G79" s="33" t="s">
        <v>58</v>
      </c>
      <c r="H79" s="33" t="s">
        <v>80</v>
      </c>
      <c r="I79" s="33" t="s">
        <v>59</v>
      </c>
      <c r="J79" s="162" t="s">
        <v>177</v>
      </c>
      <c r="K79" s="33" t="s">
        <v>61</v>
      </c>
      <c r="L79" s="107" t="s">
        <v>62</v>
      </c>
    </row>
    <row r="80" spans="2:12">
      <c r="B80" s="102"/>
      <c r="C80" s="27"/>
      <c r="D80" s="27"/>
      <c r="E80" s="27"/>
      <c r="F80" s="27"/>
      <c r="G80" s="27"/>
      <c r="H80" s="27"/>
      <c r="I80" s="27"/>
      <c r="J80" s="27"/>
      <c r="K80" s="27"/>
      <c r="L80" s="103"/>
    </row>
    <row r="81" spans="2:12">
      <c r="B81" s="109">
        <v>1</v>
      </c>
      <c r="C81" s="386" t="s">
        <v>81</v>
      </c>
      <c r="D81" s="386"/>
      <c r="E81" s="24">
        <f>$E$18</f>
        <v>12469863</v>
      </c>
      <c r="F81" s="29"/>
      <c r="G81" s="29"/>
      <c r="H81" s="29"/>
      <c r="I81" s="29"/>
      <c r="J81" s="29"/>
      <c r="K81" s="29"/>
      <c r="L81" s="105"/>
    </row>
    <row r="82" spans="2:12">
      <c r="B82" s="64"/>
      <c r="C82" s="29"/>
      <c r="D82" s="29"/>
      <c r="E82" s="29"/>
      <c r="F82" s="29"/>
      <c r="G82" s="29"/>
      <c r="H82" s="29"/>
      <c r="I82" s="29"/>
      <c r="J82" s="29"/>
      <c r="K82" s="29"/>
      <c r="L82" s="105"/>
    </row>
    <row r="83" spans="2:12">
      <c r="B83" s="64" t="s">
        <v>64</v>
      </c>
      <c r="C83" s="15" t="str">
        <f t="shared" ref="C83:D85" si="6">C20</f>
        <v>Brookings CAPX</v>
      </c>
      <c r="D83" s="142">
        <f t="shared" si="6"/>
        <v>1203</v>
      </c>
      <c r="E83" s="35"/>
      <c r="F83" s="19">
        <f>ROUND((F20*'2016 TU'!$L$30)+(F52*'2016 TU'!$L$34),0)</f>
        <v>3929271</v>
      </c>
      <c r="G83" s="35">
        <f t="shared" ref="G83:G91" si="7">IF(F83=0,0,ROUND($E$81*(F83/$F$93),0))</f>
        <v>3673993</v>
      </c>
      <c r="H83" s="19">
        <f>ROUND((H20*'2016 TU'!$L$30)+(H52*'2016 TU'!$L$34),0)</f>
        <v>3994143</v>
      </c>
      <c r="I83" s="36">
        <f>ROUND(+H83-G83,0)</f>
        <v>320150</v>
      </c>
      <c r="J83" s="25">
        <f>IF($F$69="Individual",IF(I83&gt;0,'2016 TU'!$C$10,'2016 TU'!$C$9),IF($I$94&gt;0,'2016 TU'!$C$10,'2016 TU'!$C$9))</f>
        <v>1.578E-3</v>
      </c>
      <c r="K83" s="36">
        <f>ROUND((I83*J83)*24,0)</f>
        <v>12125</v>
      </c>
      <c r="L83" s="110">
        <f>ROUND(+I83+K83,0)</f>
        <v>332275</v>
      </c>
    </row>
    <row r="84" spans="2:12">
      <c r="B84" s="64" t="s">
        <v>65</v>
      </c>
      <c r="C84" s="15" t="str">
        <f t="shared" si="6"/>
        <v>BSAT - BSS - Ellendale</v>
      </c>
      <c r="D84" s="142">
        <f t="shared" si="6"/>
        <v>2220</v>
      </c>
      <c r="E84" s="35"/>
      <c r="F84" s="19">
        <f>ROUND((F21*'2016 TU'!$L$30)+(F53*'2016 TU'!$L$34),0)</f>
        <v>4245416</v>
      </c>
      <c r="G84" s="35">
        <f t="shared" si="7"/>
        <v>3969599</v>
      </c>
      <c r="H84" s="19">
        <f>ROUND((H21*'2016 TU'!$L$30)+(H53*'2016 TU'!$L$34),0)</f>
        <v>4183201</v>
      </c>
      <c r="I84" s="36">
        <f t="shared" ref="I84:I91" si="8">ROUND(+H84-G84,0)</f>
        <v>213602</v>
      </c>
      <c r="J84" s="25">
        <f>IF($F$69="Individual",IF(I84&gt;0,'2016 TU'!$C$10,'2016 TU'!$C$9),IF($I$94&gt;0,'2016 TU'!$C$10,'2016 TU'!$C$9))</f>
        <v>1.578E-3</v>
      </c>
      <c r="K84" s="36">
        <f t="shared" ref="K84:K85" si="9">ROUND((I84*J84)*24,0)</f>
        <v>8090</v>
      </c>
      <c r="L84" s="110">
        <f t="shared" ref="L84:L91" si="10">ROUND(+I84+K84,0)</f>
        <v>221692</v>
      </c>
    </row>
    <row r="85" spans="2:12">
      <c r="B85" s="64" t="s">
        <v>66</v>
      </c>
      <c r="C85" s="15" t="str">
        <f t="shared" si="6"/>
        <v>BSAT - BSS - Brookings</v>
      </c>
      <c r="D85" s="142">
        <f t="shared" si="6"/>
        <v>2221</v>
      </c>
      <c r="E85" s="35"/>
      <c r="F85" s="19">
        <f>ROUND((F22*'2016 TU'!$L$30)+(F54*'2016 TU'!$L$34),0)</f>
        <v>5161612</v>
      </c>
      <c r="G85" s="35">
        <f t="shared" si="7"/>
        <v>4826271</v>
      </c>
      <c r="H85" s="19">
        <f>ROUND((H22*'2016 TU'!$L$30)+(H54*'2016 TU'!$L$34),0)</f>
        <v>5783514</v>
      </c>
      <c r="I85" s="36">
        <f t="shared" si="8"/>
        <v>957243</v>
      </c>
      <c r="J85" s="25">
        <f>IF($F$69="Individual",IF(I85&gt;0,'2016 TU'!$C$10,'2016 TU'!$C$9),IF($I$94&gt;0,'2016 TU'!$C$10,'2016 TU'!$C$9))</f>
        <v>1.578E-3</v>
      </c>
      <c r="K85" s="36">
        <f t="shared" si="9"/>
        <v>36253</v>
      </c>
      <c r="L85" s="110">
        <f t="shared" si="10"/>
        <v>993496</v>
      </c>
    </row>
    <row r="86" spans="2:12">
      <c r="B86" s="64" t="s">
        <v>67</v>
      </c>
      <c r="C86" s="15" t="str">
        <f>C23</f>
        <v>project 4</v>
      </c>
      <c r="D86" s="142">
        <f t="shared" ref="D86:D91" si="11">D23</f>
        <v>0</v>
      </c>
      <c r="E86" s="35"/>
      <c r="F86" s="19">
        <f>ROUND((F23*'2016 TU'!$L$30)+(F55*'2016 TU'!$L$34),0)</f>
        <v>0</v>
      </c>
      <c r="G86" s="35">
        <f t="shared" si="7"/>
        <v>0</v>
      </c>
      <c r="H86" s="19">
        <f>ROUND((H23*'2016 TU'!$L$30)+(H55*'2016 TU'!$L$34),0)</f>
        <v>0</v>
      </c>
      <c r="I86" s="36">
        <f t="shared" si="8"/>
        <v>0</v>
      </c>
      <c r="J86" s="25">
        <f>IF($F$69="Individual",IF(I86&gt;0,'2016 TU'!$C$10,'2016 TU'!$C$9),IF($I$94&gt;0,'2016 TU'!$C$10,'2016 TU'!$C$9))</f>
        <v>1.578E-3</v>
      </c>
      <c r="K86" s="36">
        <f>ROUND((I86*J86)*24,0)</f>
        <v>0</v>
      </c>
      <c r="L86" s="110">
        <f t="shared" si="10"/>
        <v>0</v>
      </c>
    </row>
    <row r="87" spans="2:12">
      <c r="B87" s="64" t="s">
        <v>82</v>
      </c>
      <c r="C87" s="15" t="str">
        <f>C24</f>
        <v>project 5</v>
      </c>
      <c r="D87" s="142">
        <f t="shared" si="11"/>
        <v>0</v>
      </c>
      <c r="E87" s="35"/>
      <c r="F87" s="19">
        <f>ROUND((F24*'2016 TU'!$L$30)+(F56*'2016 TU'!$L$34),0)</f>
        <v>0</v>
      </c>
      <c r="G87" s="35">
        <f t="shared" si="7"/>
        <v>0</v>
      </c>
      <c r="H87" s="19">
        <f>ROUND((H24*'2016 TU'!$L$30)+(H56*'2016 TU'!$L$34),0)</f>
        <v>0</v>
      </c>
      <c r="I87" s="36">
        <f t="shared" si="8"/>
        <v>0</v>
      </c>
      <c r="J87" s="25">
        <f>IF($F$69="Individual",IF(I87&gt;0,'2016 TU'!$C$10,'2016 TU'!$C$9),IF($I$94&gt;0,'2016 TU'!$C$10,'2016 TU'!$C$9))</f>
        <v>1.578E-3</v>
      </c>
      <c r="K87" s="36">
        <f t="shared" ref="K87:K91" si="12">ROUND((I87*J87)*24,0)</f>
        <v>0</v>
      </c>
      <c r="L87" s="110">
        <f t="shared" si="10"/>
        <v>0</v>
      </c>
    </row>
    <row r="88" spans="2:12">
      <c r="B88" s="64" t="s">
        <v>83</v>
      </c>
      <c r="C88" s="15" t="str">
        <f>C25</f>
        <v>project 6</v>
      </c>
      <c r="D88" s="142">
        <f t="shared" si="11"/>
        <v>0</v>
      </c>
      <c r="E88" s="29"/>
      <c r="F88" s="19">
        <f>ROUND((F25*'2016 TU'!$L$30)+(F57*'2016 TU'!$L$34),0)</f>
        <v>0</v>
      </c>
      <c r="G88" s="35">
        <f t="shared" si="7"/>
        <v>0</v>
      </c>
      <c r="H88" s="19">
        <f>ROUND((H25*'2016 TU'!$L$30)+(H57*'2016 TU'!$L$34),0)</f>
        <v>0</v>
      </c>
      <c r="I88" s="36">
        <f t="shared" si="8"/>
        <v>0</v>
      </c>
      <c r="J88" s="25">
        <f>IF($F$69="Individual",IF(I88&gt;0,'2016 TU'!$C$10,'2016 TU'!$C$9),IF($I$94&gt;0,'2016 TU'!$C$10,'2016 TU'!$C$9))</f>
        <v>1.578E-3</v>
      </c>
      <c r="K88" s="36">
        <f t="shared" si="12"/>
        <v>0</v>
      </c>
      <c r="L88" s="110">
        <f t="shared" si="10"/>
        <v>0</v>
      </c>
    </row>
    <row r="89" spans="2:12">
      <c r="B89" s="64" t="s">
        <v>84</v>
      </c>
      <c r="C89" s="15" t="str">
        <f>C26</f>
        <v>project 7</v>
      </c>
      <c r="D89" s="142">
        <f t="shared" si="11"/>
        <v>0</v>
      </c>
      <c r="E89" s="29"/>
      <c r="F89" s="19">
        <f>ROUND((F26*'2016 TU'!$L$30)+(F58*'2016 TU'!$L$34),0)</f>
        <v>0</v>
      </c>
      <c r="G89" s="35">
        <f t="shared" si="7"/>
        <v>0</v>
      </c>
      <c r="H89" s="19">
        <f>ROUND((H26*'2016 TU'!$L$30)+(H58*'2016 TU'!$L$34),0)</f>
        <v>0</v>
      </c>
      <c r="I89" s="36">
        <f t="shared" si="8"/>
        <v>0</v>
      </c>
      <c r="J89" s="25">
        <f>IF($F$69="Individual",IF(I89&gt;0,'2016 TU'!$C$10,'2016 TU'!$C$9),IF($I$94&gt;0,'2016 TU'!$C$10,'2016 TU'!$C$9))</f>
        <v>1.578E-3</v>
      </c>
      <c r="K89" s="36">
        <f t="shared" si="12"/>
        <v>0</v>
      </c>
      <c r="L89" s="110">
        <f t="shared" si="10"/>
        <v>0</v>
      </c>
    </row>
    <row r="90" spans="2:12">
      <c r="B90" s="161" t="s">
        <v>85</v>
      </c>
      <c r="C90" s="15" t="str">
        <f>C27</f>
        <v>project 8</v>
      </c>
      <c r="D90" s="142">
        <f t="shared" si="11"/>
        <v>0</v>
      </c>
      <c r="E90" s="29"/>
      <c r="F90" s="19">
        <f>ROUND((F27*'2016 TU'!$L$30)+(F59*'2016 TU'!$L$34),0)</f>
        <v>0</v>
      </c>
      <c r="G90" s="35">
        <f t="shared" si="7"/>
        <v>0</v>
      </c>
      <c r="H90" s="19">
        <f>ROUND((H27*'2016 TU'!$L$30)+(H59*'2016 TU'!$L$34),0)</f>
        <v>0</v>
      </c>
      <c r="I90" s="36">
        <f t="shared" si="8"/>
        <v>0</v>
      </c>
      <c r="J90" s="25">
        <f>IF($F$69="Individual",IF(I90&gt;0,'2016 TU'!$C$10,'2016 TU'!$C$9),IF($I$94&gt;0,'2016 TU'!$C$10,'2016 TU'!$C$9))</f>
        <v>1.578E-3</v>
      </c>
      <c r="K90" s="36">
        <f t="shared" ref="K90" si="13">ROUND((I90*J90)*24,0)</f>
        <v>0</v>
      </c>
      <c r="L90" s="110">
        <f t="shared" si="10"/>
        <v>0</v>
      </c>
    </row>
    <row r="91" spans="2:12">
      <c r="B91" s="161" t="s">
        <v>86</v>
      </c>
      <c r="C91" s="34"/>
      <c r="D91" s="142">
        <f t="shared" si="11"/>
        <v>0</v>
      </c>
      <c r="E91" s="29"/>
      <c r="F91" s="19">
        <f>ROUND((F28*'2016 TU'!$L$30)+(F60*'2016 TU'!$L$34),0)</f>
        <v>0</v>
      </c>
      <c r="G91" s="35">
        <f t="shared" si="7"/>
        <v>0</v>
      </c>
      <c r="H91" s="19">
        <f>ROUND((H28*'2016 TU'!$L$30)+(H60*'2016 TU'!$L$34),0)</f>
        <v>0</v>
      </c>
      <c r="I91" s="36">
        <f t="shared" si="8"/>
        <v>0</v>
      </c>
      <c r="J91" s="25">
        <f>IF($F$69="Individual",IF(I91&gt;0,'2016 TU'!$C$10,'2016 TU'!$C$9),IF($I$94&gt;0,'2016 TU'!$C$10,'2016 TU'!$C$9))</f>
        <v>1.578E-3</v>
      </c>
      <c r="K91" s="36">
        <f t="shared" si="12"/>
        <v>0</v>
      </c>
      <c r="L91" s="110">
        <f t="shared" si="10"/>
        <v>0</v>
      </c>
    </row>
    <row r="92" spans="2:12">
      <c r="B92" s="106"/>
      <c r="C92" s="32"/>
      <c r="D92" s="32"/>
      <c r="E92" s="32"/>
      <c r="F92" s="32"/>
      <c r="G92" s="32"/>
      <c r="H92" s="32"/>
      <c r="I92" s="32"/>
      <c r="J92" s="32"/>
      <c r="K92" s="32"/>
      <c r="L92" s="111"/>
    </row>
    <row r="93" spans="2:12">
      <c r="B93" s="64">
        <v>3</v>
      </c>
      <c r="C93" s="29" t="s">
        <v>68</v>
      </c>
      <c r="D93" s="29"/>
      <c r="E93" s="112"/>
      <c r="F93" s="112">
        <f>SUM(F83:F92)</f>
        <v>13336299</v>
      </c>
      <c r="G93" s="112">
        <f>SUM(G83:G92)</f>
        <v>12469863</v>
      </c>
      <c r="H93" s="112">
        <f>SUM(H83:H92)</f>
        <v>13960858</v>
      </c>
      <c r="I93" s="112"/>
      <c r="J93" s="29"/>
      <c r="K93" s="29"/>
      <c r="L93" s="105"/>
    </row>
    <row r="94" spans="2:12" ht="18.5">
      <c r="B94" s="64">
        <v>4</v>
      </c>
      <c r="C94" s="29" t="s">
        <v>69</v>
      </c>
      <c r="D94" s="29"/>
      <c r="E94" s="29"/>
      <c r="F94" s="29"/>
      <c r="G94" s="29"/>
      <c r="H94" s="29"/>
      <c r="I94" s="112">
        <f>SUM(I83:I92)</f>
        <v>1490995</v>
      </c>
      <c r="J94" s="29"/>
      <c r="K94" s="112">
        <f>SUM(K83:K92)</f>
        <v>56468</v>
      </c>
      <c r="L94" s="144">
        <f>SUM(L83:L92)</f>
        <v>1547463</v>
      </c>
    </row>
    <row r="95" spans="2:12" ht="15" thickBot="1">
      <c r="B95" s="125">
        <v>5</v>
      </c>
      <c r="C95" s="156" t="s">
        <v>167</v>
      </c>
      <c r="D95" s="116"/>
      <c r="E95" s="116"/>
      <c r="F95" s="116"/>
      <c r="G95" s="85"/>
      <c r="H95" s="116"/>
      <c r="I95" s="116"/>
      <c r="J95" s="42"/>
      <c r="K95" s="116"/>
      <c r="L95" s="117"/>
    </row>
    <row r="97" spans="2:6">
      <c r="B97" s="158" t="s">
        <v>168</v>
      </c>
      <c r="C97" s="157" t="s">
        <v>176</v>
      </c>
    </row>
    <row r="98" spans="2:6">
      <c r="B98" s="157"/>
      <c r="C98" s="159" t="s">
        <v>171</v>
      </c>
    </row>
    <row r="99" spans="2:6">
      <c r="C99" s="160" t="s">
        <v>129</v>
      </c>
      <c r="D99" s="157" t="s">
        <v>130</v>
      </c>
      <c r="E99" s="157" t="s">
        <v>121</v>
      </c>
      <c r="F99" s="157" t="s">
        <v>169</v>
      </c>
    </row>
    <row r="100" spans="2:6">
      <c r="C100" s="160" t="s">
        <v>137</v>
      </c>
      <c r="D100" s="157" t="s">
        <v>135</v>
      </c>
      <c r="E100" s="157" t="s">
        <v>136</v>
      </c>
      <c r="F100" s="157" t="s">
        <v>143</v>
      </c>
    </row>
    <row r="101" spans="2:6">
      <c r="C101" s="160" t="s">
        <v>141</v>
      </c>
      <c r="D101" s="157" t="s">
        <v>144</v>
      </c>
      <c r="E101" s="157" t="s">
        <v>170</v>
      </c>
    </row>
    <row r="103" spans="2:6">
      <c r="C103" s="159" t="s">
        <v>172</v>
      </c>
    </row>
    <row r="104" spans="2:6">
      <c r="C104" s="160" t="s">
        <v>139</v>
      </c>
      <c r="D104" s="157" t="s">
        <v>132</v>
      </c>
      <c r="E104" s="157" t="s">
        <v>133</v>
      </c>
      <c r="F104" s="157"/>
    </row>
    <row r="105" spans="2:6">
      <c r="C105" s="160" t="s">
        <v>166</v>
      </c>
      <c r="D105" s="157" t="s">
        <v>134</v>
      </c>
    </row>
  </sheetData>
  <mergeCells count="7">
    <mergeCell ref="C81:D81"/>
    <mergeCell ref="C18:D18"/>
    <mergeCell ref="N12:N16"/>
    <mergeCell ref="P12:P16"/>
    <mergeCell ref="O14:O16"/>
    <mergeCell ref="C50:D50"/>
    <mergeCell ref="I66:J66"/>
  </mergeCells>
  <pageMargins left="0.7" right="0.2" top="0.25" bottom="0.25" header="0.3" footer="0.3"/>
  <pageSetup scale="53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66"/>
  <sheetViews>
    <sheetView workbookViewId="0">
      <selection activeCell="F17" sqref="F17"/>
    </sheetView>
  </sheetViews>
  <sheetFormatPr defaultRowHeight="14.5"/>
  <cols>
    <col min="2" max="2" width="22" customWidth="1"/>
    <col min="4" max="5" width="11.6328125" customWidth="1"/>
    <col min="6" max="6" width="11.54296875" customWidth="1"/>
    <col min="7" max="7" width="10.08984375" customWidth="1"/>
  </cols>
  <sheetData>
    <row r="1" spans="1:9">
      <c r="A1" s="138" t="s">
        <v>154</v>
      </c>
      <c r="B1" s="5"/>
      <c r="C1" s="5"/>
      <c r="D1" s="5"/>
      <c r="E1" s="5"/>
      <c r="F1" s="5"/>
      <c r="G1" s="5"/>
      <c r="H1" s="5"/>
      <c r="I1" s="5"/>
    </row>
    <row r="2" spans="1:9">
      <c r="A2" s="195" t="s">
        <v>217</v>
      </c>
      <c r="B2" s="5"/>
      <c r="C2" s="5"/>
      <c r="D2" s="5"/>
      <c r="E2" s="5"/>
      <c r="F2" s="5"/>
      <c r="G2" s="5"/>
      <c r="H2" s="5"/>
      <c r="I2" s="5"/>
    </row>
    <row r="3" spans="1:9">
      <c r="A3" s="138" t="s">
        <v>193</v>
      </c>
      <c r="B3" s="5"/>
      <c r="C3" s="5"/>
      <c r="D3" s="5"/>
      <c r="E3" s="5"/>
      <c r="F3" s="5"/>
      <c r="G3" s="5"/>
      <c r="H3" s="5"/>
      <c r="I3" s="5"/>
    </row>
    <row r="5" spans="1:9">
      <c r="A5" s="148" t="s">
        <v>203</v>
      </c>
    </row>
    <row r="6" spans="1:9">
      <c r="A6" s="169" t="s">
        <v>194</v>
      </c>
    </row>
    <row r="7" spans="1:9">
      <c r="A7" s="169" t="s">
        <v>208</v>
      </c>
    </row>
    <row r="8" spans="1:9">
      <c r="A8" s="189" t="s">
        <v>205</v>
      </c>
    </row>
    <row r="9" spans="1:9">
      <c r="A9" s="170" t="s">
        <v>195</v>
      </c>
    </row>
    <row r="10" spans="1:9">
      <c r="A10" s="171" t="s">
        <v>199</v>
      </c>
    </row>
    <row r="11" spans="1:9">
      <c r="A11" s="171"/>
    </row>
    <row r="12" spans="1:9" ht="15.5">
      <c r="A12" s="391" t="str">
        <f>'2016 TU'!A1</f>
        <v>OTP</v>
      </c>
      <c r="B12" s="391"/>
      <c r="C12" s="391"/>
      <c r="D12" s="391"/>
      <c r="E12" s="391"/>
      <c r="F12" s="391"/>
      <c r="G12" s="391"/>
    </row>
    <row r="13" spans="1:9">
      <c r="A13" s="172"/>
      <c r="D13" s="177" t="s">
        <v>196</v>
      </c>
      <c r="E13" s="148" t="s">
        <v>197</v>
      </c>
      <c r="G13" s="148" t="s">
        <v>197</v>
      </c>
    </row>
    <row r="14" spans="1:9" ht="16.5">
      <c r="D14" s="168" t="s">
        <v>201</v>
      </c>
      <c r="E14" s="168" t="s">
        <v>204</v>
      </c>
      <c r="F14" s="168" t="s">
        <v>198</v>
      </c>
      <c r="G14" s="184" t="s">
        <v>198</v>
      </c>
    </row>
    <row r="15" spans="1:9">
      <c r="A15">
        <v>1</v>
      </c>
      <c r="B15" s="358" t="s">
        <v>258</v>
      </c>
      <c r="D15" s="174">
        <v>2.0662100000000002E-3</v>
      </c>
      <c r="E15" s="175"/>
      <c r="F15" s="149">
        <v>3.3E-3</v>
      </c>
    </row>
    <row r="16" spans="1:9">
      <c r="A16">
        <f>A15+1</f>
        <v>2</v>
      </c>
      <c r="B16" s="206" t="s">
        <v>12</v>
      </c>
      <c r="D16" s="174">
        <v>1.9703310000000001E-3</v>
      </c>
      <c r="E16" s="175"/>
      <c r="F16" s="149">
        <v>3.0999999999999999E-3</v>
      </c>
    </row>
    <row r="17" spans="1:32">
      <c r="A17">
        <f t="shared" ref="A17:A33" si="0">A16+1</f>
        <v>3</v>
      </c>
      <c r="B17" s="205" t="s">
        <v>11</v>
      </c>
      <c r="D17" s="174">
        <v>1.8996250000000001E-3</v>
      </c>
      <c r="E17" s="175"/>
      <c r="F17" s="149">
        <v>3.0999999999999999E-3</v>
      </c>
    </row>
    <row r="18" spans="1:32" ht="15.5">
      <c r="A18">
        <f t="shared" si="0"/>
        <v>4</v>
      </c>
      <c r="B18" s="205" t="s">
        <v>10</v>
      </c>
      <c r="D18" s="174">
        <v>1.8734329999999999E-3</v>
      </c>
      <c r="E18" s="175"/>
      <c r="F18" s="149">
        <v>3.0999999999999999E-3</v>
      </c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</row>
    <row r="19" spans="1:32">
      <c r="A19">
        <f t="shared" si="0"/>
        <v>5</v>
      </c>
      <c r="B19" s="205" t="s">
        <v>9</v>
      </c>
      <c r="D19" s="174">
        <v>1.7662050000000001E-3</v>
      </c>
      <c r="E19" s="175"/>
      <c r="F19" s="149">
        <v>2.8999999999999998E-3</v>
      </c>
    </row>
    <row r="20" spans="1:32">
      <c r="A20">
        <f t="shared" si="0"/>
        <v>6</v>
      </c>
      <c r="B20" s="205" t="s">
        <v>241</v>
      </c>
      <c r="D20" s="174">
        <v>1.7104449999999999E-3</v>
      </c>
      <c r="E20" s="175"/>
      <c r="F20" s="149">
        <v>2.8999999999999998E-3</v>
      </c>
    </row>
    <row r="21" spans="1:32">
      <c r="A21">
        <f t="shared" si="0"/>
        <v>7</v>
      </c>
      <c r="B21" s="205" t="s">
        <v>242</v>
      </c>
      <c r="D21" s="174">
        <v>1.6879969999999999E-3</v>
      </c>
      <c r="E21" s="175"/>
      <c r="F21" s="149">
        <v>2.8999999999999998E-3</v>
      </c>
      <c r="G21" s="176"/>
      <c r="K21" s="201"/>
      <c r="L21" s="201"/>
      <c r="M21" s="201"/>
      <c r="N21" s="200"/>
      <c r="O21" s="200"/>
      <c r="P21" s="200"/>
      <c r="Q21" s="200"/>
      <c r="R21" s="200"/>
      <c r="S21" s="200"/>
      <c r="T21" s="200"/>
      <c r="U21" s="200"/>
      <c r="V21" s="200"/>
    </row>
    <row r="22" spans="1:32">
      <c r="A22">
        <f t="shared" si="0"/>
        <v>8</v>
      </c>
      <c r="B22" s="206" t="s">
        <v>243</v>
      </c>
      <c r="D22" s="174">
        <v>1.5917220000000001E-3</v>
      </c>
      <c r="E22" s="175"/>
      <c r="F22" s="149">
        <v>2.8999999999999998E-3</v>
      </c>
      <c r="G22" s="176"/>
    </row>
    <row r="23" spans="1:32">
      <c r="A23">
        <f t="shared" si="0"/>
        <v>9</v>
      </c>
      <c r="B23" s="205" t="s">
        <v>244</v>
      </c>
      <c r="D23" s="174">
        <v>1.2297829999999999E-3</v>
      </c>
      <c r="E23" s="175"/>
      <c r="F23" s="149">
        <v>2.8999999999999998E-3</v>
      </c>
      <c r="G23" s="176"/>
    </row>
    <row r="24" spans="1:32">
      <c r="A24">
        <f t="shared" si="0"/>
        <v>10</v>
      </c>
      <c r="B24" s="205" t="s">
        <v>245</v>
      </c>
      <c r="D24" s="174">
        <v>1.502658E-3</v>
      </c>
      <c r="E24" s="175"/>
      <c r="F24" s="149">
        <v>2.8999999999999998E-3</v>
      </c>
      <c r="G24" s="176"/>
      <c r="K24" s="202"/>
    </row>
    <row r="25" spans="1:32">
      <c r="A25">
        <f t="shared" si="0"/>
        <v>11</v>
      </c>
      <c r="B25" s="205" t="s">
        <v>246</v>
      </c>
      <c r="D25" s="174">
        <v>1.493142E-3</v>
      </c>
      <c r="E25" s="175"/>
      <c r="F25" s="149">
        <v>2.8999999999999998E-3</v>
      </c>
      <c r="G25" s="176"/>
    </row>
    <row r="26" spans="1:32">
      <c r="A26">
        <f t="shared" si="0"/>
        <v>12</v>
      </c>
      <c r="B26" s="205" t="s">
        <v>247</v>
      </c>
      <c r="D26" s="174">
        <v>1.4748579999999999E-3</v>
      </c>
      <c r="E26" s="175"/>
      <c r="F26" s="149">
        <v>2.8999999999999998E-3</v>
      </c>
      <c r="G26" s="176"/>
    </row>
    <row r="27" spans="1:32">
      <c r="A27">
        <f t="shared" si="0"/>
        <v>13</v>
      </c>
      <c r="B27" s="205" t="s">
        <v>13</v>
      </c>
      <c r="D27" s="174">
        <v>1.472175E-3</v>
      </c>
      <c r="E27" s="175"/>
      <c r="F27" s="149">
        <v>2.8999999999999998E-3</v>
      </c>
      <c r="G27" s="176"/>
    </row>
    <row r="28" spans="1:32">
      <c r="A28">
        <f t="shared" si="0"/>
        <v>14</v>
      </c>
      <c r="B28" s="205" t="s">
        <v>12</v>
      </c>
      <c r="D28" s="174">
        <v>1.175833E-3</v>
      </c>
      <c r="E28" s="175"/>
      <c r="F28" s="149">
        <v>2.8999999999999998E-3</v>
      </c>
      <c r="G28" s="176"/>
    </row>
    <row r="29" spans="1:32">
      <c r="A29">
        <f t="shared" si="0"/>
        <v>15</v>
      </c>
      <c r="B29" s="205" t="s">
        <v>11</v>
      </c>
      <c r="D29" s="174">
        <v>1.426133E-3</v>
      </c>
      <c r="E29" s="175"/>
      <c r="F29" s="149">
        <v>2.8999999999999998E-3</v>
      </c>
      <c r="G29" s="176"/>
    </row>
    <row r="30" spans="1:32">
      <c r="A30">
        <f t="shared" si="0"/>
        <v>16</v>
      </c>
      <c r="B30" s="205" t="s">
        <v>10</v>
      </c>
      <c r="D30" s="174">
        <v>1.4233499999999999E-3</v>
      </c>
      <c r="E30" s="175"/>
      <c r="F30" s="149">
        <v>2.8999999999999998E-3</v>
      </c>
      <c r="G30" s="176"/>
    </row>
    <row r="31" spans="1:32">
      <c r="A31">
        <f t="shared" si="0"/>
        <v>17</v>
      </c>
      <c r="B31" s="205" t="s">
        <v>9</v>
      </c>
      <c r="D31" s="174">
        <v>1.4220579999999999E-3</v>
      </c>
      <c r="E31" s="175"/>
      <c r="F31" s="149">
        <v>2.7000000000000001E-3</v>
      </c>
      <c r="G31" s="176"/>
    </row>
    <row r="32" spans="1:32">
      <c r="A32">
        <f t="shared" si="0"/>
        <v>18</v>
      </c>
      <c r="B32" s="205" t="s">
        <v>241</v>
      </c>
      <c r="D32" s="174">
        <v>1.3987420000000001E-3</v>
      </c>
      <c r="E32" s="175"/>
      <c r="F32" s="149">
        <v>2.7000000000000001E-3</v>
      </c>
      <c r="G32" s="176"/>
    </row>
    <row r="33" spans="1:7">
      <c r="A33">
        <f t="shared" si="0"/>
        <v>19</v>
      </c>
      <c r="B33" s="207" t="s">
        <v>257</v>
      </c>
      <c r="D33" s="174">
        <v>1.396617E-3</v>
      </c>
      <c r="E33" s="175"/>
      <c r="F33" s="149">
        <v>2.7000000000000001E-3</v>
      </c>
    </row>
    <row r="34" spans="1:7" ht="15" thickBot="1">
      <c r="B34" s="173"/>
    </row>
    <row r="35" spans="1:7" ht="15" thickBot="1">
      <c r="C35" s="149"/>
      <c r="D35" s="359">
        <f>AVERAGE(D15:D33)</f>
        <v>1.5779640526315791E-3</v>
      </c>
      <c r="E35" s="188">
        <f>IF(D35*12&gt;G35,G35,ROUND(D35*12,6))</f>
        <v>1.8936000000000001E-2</v>
      </c>
      <c r="F35" s="186">
        <f>AVERAGE(F15:F33)</f>
        <v>2.9210526315789475E-3</v>
      </c>
      <c r="G35" s="187">
        <f>ROUND(F35*12,6)</f>
        <v>3.5053000000000001E-2</v>
      </c>
    </row>
    <row r="37" spans="1:7" ht="16.5">
      <c r="B37" t="s">
        <v>200</v>
      </c>
    </row>
    <row r="41" spans="1:7">
      <c r="C41" s="176"/>
    </row>
    <row r="44" spans="1:7">
      <c r="A44" s="39"/>
      <c r="B44" s="40"/>
      <c r="C44" s="178"/>
      <c r="D44" s="40"/>
      <c r="E44" s="40"/>
      <c r="F44" s="39"/>
    </row>
    <row r="45" spans="1:7">
      <c r="A45" s="39"/>
      <c r="B45" s="40"/>
      <c r="C45" s="40"/>
      <c r="D45" s="40"/>
      <c r="E45" s="40"/>
      <c r="F45" s="39"/>
    </row>
    <row r="46" spans="1:7">
      <c r="A46" s="39"/>
      <c r="B46" s="389"/>
      <c r="C46" s="389"/>
      <c r="D46" s="179"/>
      <c r="E46" s="180"/>
      <c r="F46" s="39"/>
    </row>
    <row r="47" spans="1:7">
      <c r="A47" s="39"/>
      <c r="B47" s="389"/>
      <c r="C47" s="389"/>
      <c r="D47" s="179"/>
      <c r="E47" s="180"/>
      <c r="F47" s="39"/>
    </row>
    <row r="48" spans="1:7">
      <c r="A48" s="39"/>
      <c r="B48" s="181"/>
      <c r="C48" s="182"/>
      <c r="D48" s="181"/>
      <c r="E48" s="181"/>
      <c r="F48" s="39"/>
    </row>
    <row r="49" spans="1:6">
      <c r="A49" s="39"/>
      <c r="B49" s="181"/>
      <c r="C49" s="181"/>
      <c r="D49" s="181"/>
      <c r="E49" s="181"/>
      <c r="F49" s="39"/>
    </row>
    <row r="50" spans="1:6">
      <c r="A50" s="39"/>
      <c r="B50" s="181"/>
      <c r="C50" s="181"/>
      <c r="D50" s="181"/>
      <c r="E50" s="181"/>
      <c r="F50" s="39"/>
    </row>
    <row r="51" spans="1:6">
      <c r="A51" s="39"/>
      <c r="B51" s="181"/>
      <c r="C51" s="182"/>
      <c r="D51" s="181"/>
      <c r="E51" s="181"/>
      <c r="F51" s="39"/>
    </row>
    <row r="52" spans="1:6">
      <c r="A52" s="39"/>
      <c r="B52" s="181"/>
      <c r="C52" s="181"/>
      <c r="D52" s="181"/>
      <c r="E52" s="181"/>
      <c r="F52" s="39"/>
    </row>
    <row r="53" spans="1:6">
      <c r="A53" s="39"/>
      <c r="B53" s="181"/>
      <c r="C53" s="181"/>
      <c r="D53" s="181"/>
      <c r="E53" s="181"/>
      <c r="F53" s="39"/>
    </row>
    <row r="54" spans="1:6">
      <c r="A54" s="39"/>
      <c r="B54" s="181"/>
      <c r="C54" s="182"/>
      <c r="D54" s="181"/>
      <c r="E54" s="181"/>
      <c r="F54" s="39"/>
    </row>
    <row r="55" spans="1:6">
      <c r="A55" s="39"/>
      <c r="B55" s="181"/>
      <c r="C55" s="181"/>
      <c r="D55" s="181"/>
      <c r="E55" s="181"/>
      <c r="F55" s="39"/>
    </row>
    <row r="56" spans="1:6">
      <c r="A56" s="39"/>
      <c r="B56" s="181"/>
      <c r="C56" s="181"/>
      <c r="D56" s="181"/>
      <c r="E56" s="181"/>
      <c r="F56" s="39"/>
    </row>
    <row r="57" spans="1:6">
      <c r="A57" s="39"/>
      <c r="B57" s="181"/>
      <c r="C57" s="182"/>
      <c r="D57" s="181"/>
      <c r="E57" s="181"/>
      <c r="F57" s="39"/>
    </row>
    <row r="58" spans="1:6">
      <c r="A58" s="39"/>
      <c r="B58" s="181"/>
      <c r="C58" s="181"/>
      <c r="D58" s="181"/>
      <c r="E58" s="181"/>
      <c r="F58" s="39"/>
    </row>
    <row r="59" spans="1:6">
      <c r="A59" s="39"/>
      <c r="B59" s="181"/>
      <c r="C59" s="181"/>
      <c r="D59" s="181"/>
      <c r="E59" s="181"/>
      <c r="F59" s="39"/>
    </row>
    <row r="60" spans="1:6">
      <c r="A60" s="39"/>
      <c r="B60" s="181"/>
      <c r="C60" s="181"/>
      <c r="D60" s="181"/>
      <c r="E60" s="181"/>
      <c r="F60" s="39"/>
    </row>
    <row r="61" spans="1:6">
      <c r="A61" s="39"/>
      <c r="B61" s="181"/>
      <c r="C61" s="181"/>
      <c r="D61" s="181"/>
      <c r="E61" s="181"/>
      <c r="F61" s="39"/>
    </row>
    <row r="62" spans="1:6">
      <c r="A62" s="39"/>
      <c r="B62" s="181"/>
      <c r="C62" s="181"/>
      <c r="D62" s="181"/>
      <c r="E62" s="181"/>
      <c r="F62" s="39"/>
    </row>
    <row r="63" spans="1:6">
      <c r="A63" s="39"/>
      <c r="B63" s="181"/>
      <c r="C63" s="181"/>
      <c r="D63" s="181"/>
      <c r="E63" s="181"/>
      <c r="F63" s="39"/>
    </row>
    <row r="64" spans="1:6">
      <c r="A64" s="39"/>
      <c r="B64" s="181"/>
      <c r="C64" s="181"/>
      <c r="D64" s="181"/>
      <c r="E64" s="181"/>
      <c r="F64" s="39"/>
    </row>
    <row r="65" spans="1:6">
      <c r="A65" s="39"/>
      <c r="B65" s="181"/>
      <c r="C65" s="181"/>
      <c r="D65" s="181"/>
      <c r="E65" s="181"/>
      <c r="F65" s="39"/>
    </row>
    <row r="66" spans="1:6">
      <c r="A66" s="39"/>
      <c r="B66" s="390"/>
      <c r="C66" s="390"/>
      <c r="D66" s="390"/>
      <c r="E66" s="390"/>
      <c r="F66" s="39"/>
    </row>
  </sheetData>
  <mergeCells count="4">
    <mergeCell ref="B46:B47"/>
    <mergeCell ref="C46:C47"/>
    <mergeCell ref="B66:E66"/>
    <mergeCell ref="A12:G12"/>
  </mergeCells>
  <pageMargins left="0.7" right="0.7" top="0.75" bottom="0.75" header="0.3" footer="0.3"/>
  <pageSetup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8"/>
  <sheetViews>
    <sheetView workbookViewId="0">
      <selection activeCell="B32" sqref="B32:E38"/>
    </sheetView>
  </sheetViews>
  <sheetFormatPr defaultRowHeight="14.5"/>
  <cols>
    <col min="1" max="1" width="5.6328125" customWidth="1"/>
    <col min="2" max="3" width="12.6328125" customWidth="1"/>
    <col min="4" max="4" width="12.453125" customWidth="1"/>
    <col min="5" max="5" width="12.54296875" customWidth="1"/>
    <col min="6" max="6" width="2.453125" customWidth="1"/>
    <col min="10" max="10" width="9.453125" customWidth="1"/>
    <col min="11" max="11" width="14.36328125" customWidth="1"/>
    <col min="12" max="12" width="15.6328125" customWidth="1"/>
    <col min="13" max="13" width="13.36328125" customWidth="1"/>
  </cols>
  <sheetData>
    <row r="1" spans="1:17" ht="18.5">
      <c r="A1" s="190" t="s">
        <v>209</v>
      </c>
      <c r="B1" s="190"/>
      <c r="C1" s="190"/>
      <c r="D1" s="190"/>
      <c r="E1" s="190"/>
      <c r="F1" s="190"/>
      <c r="G1" s="190"/>
      <c r="H1" s="190"/>
      <c r="I1" s="190"/>
    </row>
    <row r="2" spans="1:17">
      <c r="A2" s="191" t="s">
        <v>210</v>
      </c>
      <c r="B2" s="192"/>
      <c r="C2" s="190"/>
      <c r="D2" s="190"/>
      <c r="E2" s="190"/>
      <c r="F2" s="190"/>
      <c r="G2" s="190"/>
      <c r="H2" s="190"/>
      <c r="I2" s="190"/>
    </row>
    <row r="3" spans="1:17">
      <c r="A3" s="191" t="s">
        <v>211</v>
      </c>
      <c r="B3" s="190"/>
      <c r="C3" s="190"/>
      <c r="D3" s="190"/>
      <c r="E3" s="190"/>
      <c r="F3" s="190"/>
      <c r="G3" s="190"/>
      <c r="H3" s="190"/>
      <c r="I3" s="190"/>
    </row>
    <row r="4" spans="1:17">
      <c r="A4" s="191"/>
      <c r="B4" s="190"/>
      <c r="C4" s="190"/>
      <c r="D4" s="190"/>
      <c r="E4" s="190"/>
      <c r="F4" s="190"/>
      <c r="G4" s="190"/>
      <c r="H4" s="190"/>
      <c r="I4" s="190"/>
    </row>
    <row r="5" spans="1:17">
      <c r="A5" s="148" t="s">
        <v>149</v>
      </c>
      <c r="B5" s="148"/>
      <c r="C5" s="148"/>
    </row>
    <row r="6" spans="1:17">
      <c r="B6" s="148"/>
      <c r="C6" s="148"/>
      <c r="J6" s="393"/>
      <c r="K6" s="393"/>
      <c r="L6" s="393"/>
      <c r="M6" s="40"/>
      <c r="N6" s="40"/>
      <c r="O6" s="40"/>
      <c r="P6" s="40"/>
      <c r="Q6" s="40"/>
    </row>
    <row r="7" spans="1:17">
      <c r="B7" s="43" t="s">
        <v>150</v>
      </c>
      <c r="C7" s="43" t="s">
        <v>175</v>
      </c>
      <c r="D7" s="152" t="s">
        <v>147</v>
      </c>
      <c r="E7" s="152" t="s">
        <v>148</v>
      </c>
      <c r="J7" s="193"/>
      <c r="K7" s="193"/>
      <c r="L7" s="193"/>
      <c r="M7" s="193"/>
      <c r="N7" s="40"/>
      <c r="O7" s="40"/>
      <c r="P7" s="40"/>
      <c r="Q7" s="40"/>
    </row>
    <row r="8" spans="1:17">
      <c r="A8" s="151">
        <v>1</v>
      </c>
      <c r="B8" t="s">
        <v>128</v>
      </c>
      <c r="C8" t="s">
        <v>173</v>
      </c>
      <c r="D8" s="149">
        <v>0.12379999999999999</v>
      </c>
      <c r="E8" s="149">
        <v>0.1082</v>
      </c>
      <c r="J8" s="40"/>
      <c r="K8" s="40"/>
      <c r="L8" s="40"/>
      <c r="M8" s="40"/>
      <c r="N8" s="40"/>
      <c r="O8" s="40"/>
      <c r="P8" s="40"/>
      <c r="Q8" s="40"/>
    </row>
    <row r="9" spans="1:17">
      <c r="A9" s="151">
        <v>2</v>
      </c>
      <c r="B9" s="167" t="s">
        <v>129</v>
      </c>
      <c r="C9" t="s">
        <v>173</v>
      </c>
      <c r="D9" s="149">
        <v>0.12379999999999999</v>
      </c>
      <c r="E9" s="149">
        <v>0.1082</v>
      </c>
      <c r="J9" s="194"/>
      <c r="K9" s="194"/>
      <c r="L9" s="194"/>
      <c r="M9" s="194"/>
      <c r="N9" s="40"/>
      <c r="O9" s="194"/>
      <c r="P9" s="40"/>
      <c r="Q9" s="40"/>
    </row>
    <row r="10" spans="1:17">
      <c r="A10" s="151">
        <v>3</v>
      </c>
      <c r="B10" s="167" t="s">
        <v>130</v>
      </c>
      <c r="C10" t="s">
        <v>173</v>
      </c>
      <c r="D10" s="149">
        <v>0.12379999999999999</v>
      </c>
      <c r="E10" s="149">
        <v>0.1082</v>
      </c>
      <c r="J10" s="194"/>
      <c r="K10" s="194"/>
      <c r="L10" s="194"/>
      <c r="M10" s="194"/>
      <c r="N10" s="40"/>
      <c r="O10" s="194"/>
      <c r="P10" s="40"/>
      <c r="Q10" s="40"/>
    </row>
    <row r="11" spans="1:17">
      <c r="A11" s="151">
        <v>4</v>
      </c>
      <c r="B11" s="167" t="s">
        <v>131</v>
      </c>
      <c r="C11" t="s">
        <v>173</v>
      </c>
      <c r="D11" s="149">
        <v>0.122</v>
      </c>
      <c r="E11" s="149">
        <v>0.1082</v>
      </c>
      <c r="J11" s="194"/>
      <c r="K11" s="194"/>
      <c r="L11" s="194"/>
      <c r="M11" s="194"/>
      <c r="N11" s="40"/>
      <c r="O11" s="40"/>
      <c r="P11" s="40"/>
      <c r="Q11" s="40"/>
    </row>
    <row r="12" spans="1:17">
      <c r="A12" s="151"/>
      <c r="B12" s="155" t="s">
        <v>162</v>
      </c>
      <c r="C12" s="155" t="s">
        <v>173</v>
      </c>
      <c r="D12" s="149">
        <v>0.12379999999999999</v>
      </c>
      <c r="E12" s="149">
        <v>0.1082</v>
      </c>
      <c r="J12" s="194"/>
      <c r="K12" s="194"/>
      <c r="L12" s="194"/>
      <c r="M12" s="194"/>
      <c r="N12" s="40"/>
      <c r="O12" s="40"/>
      <c r="P12" s="40"/>
      <c r="Q12" s="40"/>
    </row>
    <row r="13" spans="1:17">
      <c r="A13" s="151">
        <v>5</v>
      </c>
      <c r="B13" t="s">
        <v>143</v>
      </c>
      <c r="C13" t="s">
        <v>173</v>
      </c>
      <c r="D13" s="149">
        <v>0.12379999999999999</v>
      </c>
      <c r="E13" s="149">
        <v>0.1082</v>
      </c>
      <c r="J13" s="194"/>
      <c r="K13" s="194"/>
      <c r="L13" s="194"/>
      <c r="M13" s="194"/>
      <c r="N13" s="40"/>
      <c r="O13" s="40"/>
      <c r="P13" s="40"/>
      <c r="Q13" s="40"/>
    </row>
    <row r="14" spans="1:17">
      <c r="A14" s="151">
        <v>6</v>
      </c>
      <c r="B14" t="s">
        <v>141</v>
      </c>
      <c r="C14" t="s">
        <v>173</v>
      </c>
      <c r="D14" s="149">
        <v>0.12379999999999999</v>
      </c>
      <c r="E14" s="150">
        <v>0.1032</v>
      </c>
      <c r="G14" t="s">
        <v>161</v>
      </c>
      <c r="J14" s="194"/>
      <c r="K14" s="194"/>
      <c r="L14" s="194"/>
      <c r="M14" s="194"/>
      <c r="N14" s="40"/>
      <c r="O14" s="194"/>
      <c r="P14" s="40"/>
      <c r="Q14" s="40"/>
    </row>
    <row r="15" spans="1:17">
      <c r="A15" s="151">
        <v>7</v>
      </c>
      <c r="B15" t="s">
        <v>139</v>
      </c>
      <c r="C15" t="s">
        <v>174</v>
      </c>
      <c r="D15" s="149">
        <v>0.12379999999999999</v>
      </c>
      <c r="E15" s="149">
        <v>0.1082</v>
      </c>
      <c r="J15" s="194"/>
      <c r="K15" s="194"/>
      <c r="L15" s="194"/>
      <c r="M15" s="194"/>
      <c r="N15" s="40"/>
      <c r="O15" s="194"/>
      <c r="P15" s="40"/>
      <c r="Q15" s="40"/>
    </row>
    <row r="16" spans="1:17">
      <c r="A16" s="151">
        <v>8</v>
      </c>
      <c r="B16" t="s">
        <v>132</v>
      </c>
      <c r="C16" t="s">
        <v>174</v>
      </c>
      <c r="D16" s="149">
        <v>0.13880000000000001</v>
      </c>
      <c r="E16" s="150">
        <v>0.1135</v>
      </c>
      <c r="J16" s="194"/>
      <c r="K16" s="194"/>
      <c r="L16" s="194"/>
      <c r="M16" s="194"/>
      <c r="N16" s="40"/>
      <c r="O16" s="40"/>
      <c r="P16" s="40"/>
      <c r="Q16" s="40"/>
    </row>
    <row r="17" spans="1:17">
      <c r="A17" s="151">
        <v>9</v>
      </c>
      <c r="B17" s="167" t="s">
        <v>133</v>
      </c>
      <c r="C17" t="s">
        <v>174</v>
      </c>
      <c r="D17" s="149">
        <v>0.12379999999999999</v>
      </c>
      <c r="E17" s="150">
        <v>0.1132</v>
      </c>
      <c r="J17" s="194"/>
      <c r="K17" s="194"/>
      <c r="L17" s="194"/>
      <c r="M17" s="194"/>
      <c r="N17" s="40"/>
      <c r="O17" s="40"/>
      <c r="P17" s="40"/>
      <c r="Q17" s="40"/>
    </row>
    <row r="18" spans="1:17">
      <c r="A18" s="151">
        <v>10</v>
      </c>
      <c r="B18" t="s">
        <v>140</v>
      </c>
      <c r="D18" s="149">
        <v>0.12379999999999999</v>
      </c>
      <c r="E18" s="149">
        <v>0.1082</v>
      </c>
      <c r="J18" s="194"/>
      <c r="K18" s="194"/>
      <c r="L18" s="194"/>
      <c r="M18" s="194"/>
      <c r="N18" s="40"/>
      <c r="O18" s="40"/>
      <c r="P18" s="40"/>
      <c r="Q18" s="40"/>
    </row>
    <row r="19" spans="1:17">
      <c r="A19" s="151">
        <v>11</v>
      </c>
      <c r="B19" t="s">
        <v>134</v>
      </c>
      <c r="C19" t="s">
        <v>174</v>
      </c>
      <c r="D19" s="149">
        <v>0.1338</v>
      </c>
      <c r="E19" s="150">
        <v>0.1135</v>
      </c>
      <c r="J19" s="194"/>
      <c r="K19" s="194"/>
      <c r="L19" s="194"/>
      <c r="M19" s="194"/>
      <c r="N19" s="40"/>
      <c r="O19" s="40"/>
      <c r="P19" s="40"/>
      <c r="Q19" s="40"/>
    </row>
    <row r="20" spans="1:17">
      <c r="A20" s="151">
        <v>12</v>
      </c>
      <c r="B20" t="s">
        <v>135</v>
      </c>
      <c r="C20" t="s">
        <v>173</v>
      </c>
      <c r="D20" s="149">
        <v>0.12379999999999999</v>
      </c>
      <c r="E20" s="149">
        <v>0.1082</v>
      </c>
      <c r="J20" s="194"/>
      <c r="K20" s="194"/>
      <c r="L20" s="194"/>
      <c r="M20" s="194"/>
      <c r="N20" s="40"/>
      <c r="O20" s="40"/>
      <c r="P20" s="40"/>
      <c r="Q20" s="40"/>
    </row>
    <row r="21" spans="1:17">
      <c r="A21" s="151">
        <v>13</v>
      </c>
      <c r="B21" t="s">
        <v>136</v>
      </c>
      <c r="C21" t="s">
        <v>173</v>
      </c>
      <c r="D21" s="149">
        <v>0.12379999999999999</v>
      </c>
      <c r="E21" s="149">
        <v>0.1082</v>
      </c>
      <c r="J21" s="194"/>
      <c r="K21" s="194"/>
      <c r="L21" s="194"/>
      <c r="M21" s="194"/>
      <c r="N21" s="40"/>
      <c r="O21" s="40"/>
      <c r="P21" s="40"/>
      <c r="Q21" s="40"/>
    </row>
    <row r="22" spans="1:17">
      <c r="A22" s="151">
        <v>14</v>
      </c>
      <c r="B22" t="s">
        <v>146</v>
      </c>
      <c r="C22" t="s">
        <v>173</v>
      </c>
      <c r="D22" s="149">
        <v>0.12379999999999999</v>
      </c>
      <c r="E22" s="150">
        <v>0.1032</v>
      </c>
      <c r="J22" s="194"/>
      <c r="K22" s="194"/>
      <c r="L22" s="194"/>
      <c r="M22" s="194"/>
      <c r="N22" s="40"/>
      <c r="O22" s="40"/>
      <c r="P22" s="40"/>
      <c r="Q22" s="40"/>
    </row>
    <row r="23" spans="1:17">
      <c r="A23" s="151">
        <v>15</v>
      </c>
      <c r="B23" t="s">
        <v>121</v>
      </c>
      <c r="C23" t="s">
        <v>173</v>
      </c>
      <c r="D23" s="149">
        <v>0.12379999999999999</v>
      </c>
      <c r="E23" s="149">
        <v>0.1082</v>
      </c>
      <c r="J23" s="194"/>
      <c r="K23" s="194"/>
      <c r="L23" s="194"/>
      <c r="M23" s="194"/>
      <c r="N23" s="40"/>
      <c r="O23" s="40"/>
      <c r="P23" s="40"/>
      <c r="Q23" s="40"/>
    </row>
    <row r="24" spans="1:17">
      <c r="A24" s="151">
        <v>16</v>
      </c>
      <c r="B24" t="s">
        <v>166</v>
      </c>
      <c r="C24" t="s">
        <v>174</v>
      </c>
      <c r="D24" s="149">
        <v>0.12379999999999999</v>
      </c>
      <c r="E24" s="149">
        <v>0.1082</v>
      </c>
      <c r="J24" s="194"/>
      <c r="K24" s="194"/>
      <c r="L24" s="194"/>
      <c r="M24" s="194"/>
      <c r="N24" s="40"/>
      <c r="O24" s="40"/>
      <c r="P24" s="40"/>
      <c r="Q24" s="40"/>
    </row>
    <row r="25" spans="1:17">
      <c r="A25" s="151">
        <v>17</v>
      </c>
      <c r="B25" t="s">
        <v>137</v>
      </c>
      <c r="C25" t="s">
        <v>173</v>
      </c>
      <c r="D25" s="149">
        <v>0.12379999999999999</v>
      </c>
      <c r="E25" s="149">
        <v>0.1082</v>
      </c>
      <c r="J25" s="194"/>
      <c r="K25" s="194"/>
      <c r="L25" s="194"/>
      <c r="M25" s="194"/>
      <c r="N25" s="40"/>
      <c r="O25" s="40"/>
      <c r="P25" s="40"/>
      <c r="Q25" s="40"/>
    </row>
    <row r="26" spans="1:17">
      <c r="A26" s="151">
        <v>18</v>
      </c>
      <c r="B26" s="167" t="s">
        <v>144</v>
      </c>
      <c r="C26" t="s">
        <v>173</v>
      </c>
      <c r="D26" s="149">
        <v>0.12379999999999999</v>
      </c>
      <c r="E26" s="149">
        <v>0.1082</v>
      </c>
      <c r="J26" s="194"/>
      <c r="K26" s="194"/>
      <c r="L26" s="194"/>
      <c r="M26" s="194"/>
      <c r="N26" s="40"/>
      <c r="O26" s="40"/>
      <c r="P26" s="40"/>
      <c r="Q26" s="40"/>
    </row>
    <row r="27" spans="1:17" ht="29" customHeight="1">
      <c r="A27" s="151">
        <v>19</v>
      </c>
      <c r="B27" t="s">
        <v>142</v>
      </c>
      <c r="D27" s="149">
        <v>0.12379999999999999</v>
      </c>
      <c r="E27" s="149">
        <v>0.1082</v>
      </c>
      <c r="G27" s="392" t="s">
        <v>151</v>
      </c>
      <c r="H27" s="392"/>
      <c r="I27" s="392"/>
      <c r="J27" s="194"/>
      <c r="K27" s="194"/>
      <c r="L27" s="194"/>
      <c r="M27" s="194"/>
      <c r="N27" s="40"/>
      <c r="O27" s="40"/>
      <c r="P27" s="40"/>
      <c r="Q27" s="40"/>
    </row>
    <row r="28" spans="1:17">
      <c r="A28" s="151">
        <v>20</v>
      </c>
      <c r="B28" t="s">
        <v>138</v>
      </c>
      <c r="D28" s="149">
        <v>0.12379999999999999</v>
      </c>
      <c r="E28" s="149">
        <v>0.1082</v>
      </c>
      <c r="J28" s="194"/>
      <c r="K28" s="194"/>
      <c r="L28" s="194"/>
      <c r="M28" s="194"/>
      <c r="N28" s="40"/>
      <c r="O28" s="40"/>
      <c r="P28" s="40"/>
      <c r="Q28" s="40"/>
    </row>
    <row r="29" spans="1:17">
      <c r="A29" s="151">
        <v>21</v>
      </c>
      <c r="B29" t="s">
        <v>145</v>
      </c>
      <c r="C29" t="s">
        <v>173</v>
      </c>
      <c r="D29" s="149">
        <v>0.12379999999999999</v>
      </c>
      <c r="E29" s="149">
        <v>0.1082</v>
      </c>
      <c r="J29" s="194"/>
      <c r="K29" s="194"/>
      <c r="L29" s="194"/>
      <c r="M29" s="194"/>
      <c r="N29" s="40"/>
      <c r="O29" s="40"/>
      <c r="P29" s="40"/>
      <c r="Q29" s="40"/>
    </row>
    <row r="31" spans="1:17">
      <c r="B31" s="148"/>
      <c r="C31" s="148"/>
    </row>
    <row r="32" spans="1:17">
      <c r="D32" s="149"/>
      <c r="E32" s="149"/>
    </row>
    <row r="33" spans="4:5">
      <c r="D33" s="149"/>
      <c r="E33" s="149"/>
    </row>
    <row r="34" spans="4:5">
      <c r="D34" s="149"/>
      <c r="E34" s="149"/>
    </row>
    <row r="35" spans="4:5">
      <c r="D35" s="149"/>
      <c r="E35" s="149"/>
    </row>
    <row r="36" spans="4:5">
      <c r="D36" s="149"/>
      <c r="E36" s="149"/>
    </row>
    <row r="37" spans="4:5">
      <c r="D37" s="149"/>
      <c r="E37" s="149"/>
    </row>
    <row r="38" spans="4:5">
      <c r="D38" s="149"/>
      <c r="E38" s="149"/>
    </row>
  </sheetData>
  <mergeCells count="2">
    <mergeCell ref="G27:I27"/>
    <mergeCell ref="J6:L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F9B2DBB093EA43A5D64860B5BF6B9E" ma:contentTypeVersion="" ma:contentTypeDescription="Create a new document." ma:contentTypeScope="" ma:versionID="e4cdbf82538e4b8536a0cbff33ab819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CPEC/Ada/Hillsboro/EGF in divisor, no schedule 9 revenue included as revenue credit</Comments>
  </documentManagement>
</p:properties>
</file>

<file path=customXml/itemProps1.xml><?xml version="1.0" encoding="utf-8"?>
<ds:datastoreItem xmlns:ds="http://schemas.openxmlformats.org/officeDocument/2006/customXml" ds:itemID="{1D1EE426-033A-43A8-ADFD-2258B7702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3BA07A-3FA3-46BD-BA88-5DAD8171B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A0B273-D586-419C-8F31-CA25FBD442F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2016 TU</vt:lpstr>
      <vt:lpstr>2016 GG TU Weighted ROE</vt:lpstr>
      <vt:lpstr>2016 MM TU Weighted ROE</vt:lpstr>
      <vt:lpstr>Interest Rates</vt:lpstr>
      <vt:lpstr>List of ROE by TO</vt:lpstr>
      <vt:lpstr>'2016 GG TU Weighted ROE'!Print_Area</vt:lpstr>
      <vt:lpstr>'2016 MM TU Weighted ROE'!Print_Area</vt:lpstr>
      <vt:lpstr>'2016 TU'!Print_Area</vt:lpstr>
      <vt:lpstr>'Interest Rates'!Print_Area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Gudeman, Greg M</dc:creator>
  <cp:lastModifiedBy>Ice, Gina</cp:lastModifiedBy>
  <cp:lastPrinted>2017-05-16T12:26:53Z</cp:lastPrinted>
  <dcterms:created xsi:type="dcterms:W3CDTF">2016-12-15T18:01:36Z</dcterms:created>
  <dcterms:modified xsi:type="dcterms:W3CDTF">2017-12-11T14:54:16Z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0x010100ECF9B2DBB093EA43A5D64860B5BF6B9E</vt:lpwstr>
  </property>
</Properties>
</file>